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gness\Desktop\"/>
    </mc:Choice>
  </mc:AlternateContent>
  <xr:revisionPtr revIDLastSave="0" documentId="8_{E2A67F30-C25C-4492-96BD-A338CE09E9B2}" xr6:coauthVersionLast="34" xr6:coauthVersionMax="34" xr10:uidLastSave="{00000000-0000-0000-0000-000000000000}"/>
  <bookViews>
    <workbookView xWindow="0" yWindow="0" windowWidth="19200" windowHeight="6960" tabRatio="849" xr2:uid="{00000000-000D-0000-FFFF-FFFF00000000}"/>
  </bookViews>
  <sheets>
    <sheet name="NSWP-III Burden Table OMB " sheetId="8" r:id="rId1"/>
    <sheet name="Appendices" sheetId="12" state="hidden" r:id="rId2"/>
  </sheets>
  <calcPr calcId="179017"/>
</workbook>
</file>

<file path=xl/calcChain.xml><?xml version="1.0" encoding="utf-8"?>
<calcChain xmlns="http://schemas.openxmlformats.org/spreadsheetml/2006/main">
  <c r="B127" i="8" l="1"/>
  <c r="K127" i="8"/>
  <c r="M127" i="8" s="1"/>
  <c r="N127" i="8"/>
  <c r="P127" i="8" s="1"/>
  <c r="R127" i="8" s="1"/>
  <c r="K128" i="8"/>
  <c r="M128" i="8" s="1"/>
  <c r="N128" i="8"/>
  <c r="P128" i="8" s="1"/>
  <c r="I129" i="8"/>
  <c r="N129" i="8" s="1"/>
  <c r="R131" i="8"/>
  <c r="I132" i="8"/>
  <c r="K134" i="8"/>
  <c r="M134" i="8" s="1"/>
  <c r="N134" i="8"/>
  <c r="P134" i="8" s="1"/>
  <c r="R134" i="8" s="1"/>
  <c r="I135" i="8"/>
  <c r="N135" i="8" s="1"/>
  <c r="P141" i="8"/>
  <c r="R141" i="8" s="1"/>
  <c r="H142" i="8"/>
  <c r="I142" i="8" s="1"/>
  <c r="N142" i="8" s="1"/>
  <c r="P142" i="8" s="1"/>
  <c r="R142" i="8" s="1"/>
  <c r="I143" i="8"/>
  <c r="K143" i="8" s="1"/>
  <c r="M143" i="8" s="1"/>
  <c r="I144" i="8"/>
  <c r="N144" i="8" s="1"/>
  <c r="P144" i="8" s="1"/>
  <c r="R144" i="8" s="1"/>
  <c r="K145" i="8"/>
  <c r="M145" i="8" s="1"/>
  <c r="N145" i="8"/>
  <c r="P145" i="8" s="1"/>
  <c r="R145" i="8" s="1"/>
  <c r="C146" i="8"/>
  <c r="K146" i="8"/>
  <c r="M146" i="8" s="1"/>
  <c r="N146" i="8"/>
  <c r="P146" i="8"/>
  <c r="R146" i="8" s="1"/>
  <c r="K147" i="8"/>
  <c r="M147" i="8" s="1"/>
  <c r="N147" i="8"/>
  <c r="P147" i="8"/>
  <c r="R147" i="8" s="1"/>
  <c r="I148" i="8"/>
  <c r="N148" i="8" s="1"/>
  <c r="P150" i="8"/>
  <c r="R150" i="8" s="1"/>
  <c r="H151" i="8"/>
  <c r="I151" i="8" s="1"/>
  <c r="I157" i="8"/>
  <c r="N157" i="8" s="1"/>
  <c r="K159" i="8"/>
  <c r="M159" i="8" s="1"/>
  <c r="N159" i="8"/>
  <c r="P159" i="8" s="1"/>
  <c r="R159" i="8" s="1"/>
  <c r="C160" i="8"/>
  <c r="K160" i="8"/>
  <c r="M160" i="8" s="1"/>
  <c r="R160" i="8"/>
  <c r="S160" i="8" l="1"/>
  <c r="K129" i="8"/>
  <c r="M129" i="8" s="1"/>
  <c r="K157" i="8"/>
  <c r="M157" i="8" s="1"/>
  <c r="K148" i="8"/>
  <c r="M148" i="8" s="1"/>
  <c r="S146" i="8"/>
  <c r="K151" i="8"/>
  <c r="M151" i="8" s="1"/>
  <c r="N151" i="8"/>
  <c r="P151" i="8" s="1"/>
  <c r="R151" i="8" s="1"/>
  <c r="S151" i="8" s="1"/>
  <c r="K144" i="8"/>
  <c r="M144" i="8" s="1"/>
  <c r="S144" i="8" s="1"/>
  <c r="S147" i="8"/>
  <c r="N143" i="8"/>
  <c r="P143" i="8" s="1"/>
  <c r="R143" i="8" s="1"/>
  <c r="S143" i="8" s="1"/>
  <c r="P148" i="8"/>
  <c r="R148" i="8" s="1"/>
  <c r="H149" i="8"/>
  <c r="I149" i="8" s="1"/>
  <c r="K149" i="8" s="1"/>
  <c r="M149" i="8" s="1"/>
  <c r="P129" i="8"/>
  <c r="R129" i="8" s="1"/>
  <c r="H130" i="8"/>
  <c r="I130" i="8" s="1"/>
  <c r="K130" i="8" s="1"/>
  <c r="M130" i="8" s="1"/>
  <c r="N132" i="8"/>
  <c r="S145" i="8"/>
  <c r="S159" i="8"/>
  <c r="K142" i="8"/>
  <c r="M142" i="8" s="1"/>
  <c r="S142" i="8" s="1"/>
  <c r="K135" i="8"/>
  <c r="M135" i="8" s="1"/>
  <c r="S134" i="8"/>
  <c r="H158" i="8"/>
  <c r="P157" i="8"/>
  <c r="R157" i="8" s="1"/>
  <c r="R128" i="8"/>
  <c r="S128" i="8" s="1"/>
  <c r="S127" i="8"/>
  <c r="H136" i="8"/>
  <c r="P135" i="8"/>
  <c r="R135" i="8" s="1"/>
  <c r="N130" i="8" l="1"/>
  <c r="P130" i="8" s="1"/>
  <c r="S129" i="8"/>
  <c r="S157" i="8"/>
  <c r="H152" i="8"/>
  <c r="S148" i="8"/>
  <c r="N149" i="8"/>
  <c r="H150" i="8" s="1"/>
  <c r="I150" i="8" s="1"/>
  <c r="K150" i="8" s="1"/>
  <c r="M150" i="8" s="1"/>
  <c r="S150" i="8" s="1"/>
  <c r="S135" i="8"/>
  <c r="I136" i="8"/>
  <c r="K136" i="8" s="1"/>
  <c r="M136" i="8" s="1"/>
  <c r="I158" i="8"/>
  <c r="K158" i="8" s="1"/>
  <c r="M158" i="8" s="1"/>
  <c r="P149" i="8"/>
  <c r="R149" i="8" s="1"/>
  <c r="S149" i="8" s="1"/>
  <c r="I152" i="8"/>
  <c r="K152" i="8" s="1"/>
  <c r="M152" i="8" s="1"/>
  <c r="H131" i="8" l="1"/>
  <c r="N158" i="8"/>
  <c r="P158" i="8" s="1"/>
  <c r="R158" i="8" s="1"/>
  <c r="S158" i="8" s="1"/>
  <c r="R130" i="8"/>
  <c r="P132" i="8"/>
  <c r="O132" i="8" s="1"/>
  <c r="N152" i="8"/>
  <c r="I131" i="8"/>
  <c r="K131" i="8" s="1"/>
  <c r="N136" i="8"/>
  <c r="M131" i="8" l="1"/>
  <c r="K132" i="8"/>
  <c r="J132" i="8" s="1"/>
  <c r="P152" i="8"/>
  <c r="R152" i="8" s="1"/>
  <c r="S152" i="8" s="1"/>
  <c r="H153" i="8"/>
  <c r="H137" i="8"/>
  <c r="P136" i="8"/>
  <c r="R136" i="8" s="1"/>
  <c r="S136" i="8" s="1"/>
  <c r="N131" i="8"/>
  <c r="S130" i="8"/>
  <c r="R132" i="8"/>
  <c r="Q132" i="8" s="1"/>
  <c r="I153" i="8" l="1"/>
  <c r="K153" i="8" s="1"/>
  <c r="M153" i="8" s="1"/>
  <c r="I137" i="8"/>
  <c r="K137" i="8" s="1"/>
  <c r="M137" i="8" s="1"/>
  <c r="S131" i="8"/>
  <c r="S132" i="8" s="1"/>
  <c r="M132" i="8"/>
  <c r="L132" i="8" s="1"/>
  <c r="N137" i="8" l="1"/>
  <c r="H138" i="8" s="1"/>
  <c r="N153" i="8"/>
  <c r="P137" i="8" l="1"/>
  <c r="R137" i="8" s="1"/>
  <c r="S137" i="8" s="1"/>
  <c r="H154" i="8"/>
  <c r="P153" i="8"/>
  <c r="R153" i="8" s="1"/>
  <c r="S153" i="8" s="1"/>
  <c r="I138" i="8"/>
  <c r="K138" i="8" s="1"/>
  <c r="M138" i="8" s="1"/>
  <c r="N138" i="8" l="1"/>
  <c r="I154" i="8"/>
  <c r="K154" i="8" s="1"/>
  <c r="M154" i="8" s="1"/>
  <c r="N154" i="8" l="1"/>
  <c r="H139" i="8"/>
  <c r="P138" i="8"/>
  <c r="R138" i="8" s="1"/>
  <c r="S138" i="8" s="1"/>
  <c r="I139" i="8" l="1"/>
  <c r="K139" i="8" s="1"/>
  <c r="M139" i="8" s="1"/>
  <c r="H155" i="8"/>
  <c r="P154" i="8"/>
  <c r="R154" i="8" s="1"/>
  <c r="S154" i="8" s="1"/>
  <c r="I155" i="8" l="1"/>
  <c r="K155" i="8" s="1"/>
  <c r="M155" i="8" s="1"/>
  <c r="N139" i="8"/>
  <c r="H140" i="8" l="1"/>
  <c r="P139" i="8"/>
  <c r="R139" i="8" s="1"/>
  <c r="S139" i="8" s="1"/>
  <c r="N155" i="8"/>
  <c r="H156" i="8" l="1"/>
  <c r="P155" i="8"/>
  <c r="R155" i="8" s="1"/>
  <c r="S155" i="8" s="1"/>
  <c r="I140" i="8"/>
  <c r="K140" i="8" s="1"/>
  <c r="M140" i="8" s="1"/>
  <c r="N140" i="8" l="1"/>
  <c r="I156" i="8"/>
  <c r="K156" i="8" s="1"/>
  <c r="M156" i="8" s="1"/>
  <c r="N156" i="8" l="1"/>
  <c r="P156" i="8" s="1"/>
  <c r="R156" i="8" s="1"/>
  <c r="S156" i="8" s="1"/>
  <c r="H141" i="8"/>
  <c r="I141" i="8" s="1"/>
  <c r="K141" i="8" s="1"/>
  <c r="M141" i="8" s="1"/>
  <c r="S141" i="8" s="1"/>
  <c r="P140" i="8"/>
  <c r="R140" i="8" s="1"/>
  <c r="S140" i="8" s="1"/>
  <c r="K69" i="8" l="1"/>
  <c r="M69" i="8" s="1"/>
  <c r="S69" i="8" s="1"/>
  <c r="I165" i="8" l="1"/>
  <c r="J165" i="8"/>
  <c r="L165" i="8"/>
  <c r="O165" i="8"/>
  <c r="Q165" i="8"/>
  <c r="I166" i="8"/>
  <c r="J166" i="8"/>
  <c r="L166" i="8"/>
  <c r="O166" i="8"/>
  <c r="Q166" i="8"/>
  <c r="J167" i="8"/>
  <c r="L167" i="8"/>
  <c r="O167" i="8"/>
  <c r="Q167" i="8"/>
  <c r="J168" i="8"/>
  <c r="L168" i="8"/>
  <c r="O168" i="8"/>
  <c r="Q168" i="8"/>
  <c r="J169" i="8"/>
  <c r="L169" i="8"/>
  <c r="O169" i="8"/>
  <c r="P169" i="8"/>
  <c r="Q169" i="8"/>
  <c r="I172" i="8"/>
  <c r="J172" i="8"/>
  <c r="L172" i="8"/>
  <c r="O172" i="8"/>
  <c r="Q172" i="8"/>
  <c r="H173" i="8"/>
  <c r="J173" i="8"/>
  <c r="L173" i="8"/>
  <c r="O173" i="8"/>
  <c r="Q173" i="8"/>
  <c r="J174" i="8"/>
  <c r="L174" i="8"/>
  <c r="O174" i="8"/>
  <c r="Q174" i="8"/>
  <c r="J175" i="8"/>
  <c r="L175" i="8"/>
  <c r="O175" i="8"/>
  <c r="Q175" i="8"/>
  <c r="J176" i="8"/>
  <c r="L176" i="8"/>
  <c r="O176" i="8"/>
  <c r="Q176" i="8"/>
  <c r="J177" i="8"/>
  <c r="L177" i="8"/>
  <c r="O177" i="8"/>
  <c r="Q177" i="8"/>
  <c r="J178" i="8"/>
  <c r="L178" i="8"/>
  <c r="O178" i="8"/>
  <c r="Q178" i="8"/>
  <c r="J179" i="8"/>
  <c r="L179" i="8"/>
  <c r="N179" i="8"/>
  <c r="O179" i="8"/>
  <c r="Q179" i="8"/>
  <c r="J180" i="8"/>
  <c r="L180" i="8"/>
  <c r="O180" i="8"/>
  <c r="Q180" i="8"/>
  <c r="H181" i="8"/>
  <c r="J181" i="8"/>
  <c r="L181" i="8"/>
  <c r="O181" i="8"/>
  <c r="H182" i="8"/>
  <c r="J182" i="8"/>
  <c r="L182" i="8"/>
  <c r="O182" i="8"/>
  <c r="Q182" i="8"/>
  <c r="H183" i="8"/>
  <c r="I183" i="8"/>
  <c r="J183" i="8"/>
  <c r="L183" i="8"/>
  <c r="H184" i="8"/>
  <c r="I184" i="8"/>
  <c r="J184" i="8"/>
  <c r="L184" i="8"/>
  <c r="O184" i="8"/>
  <c r="Q184" i="8"/>
  <c r="H185" i="8"/>
  <c r="I185" i="8"/>
  <c r="J185" i="8"/>
  <c r="L185" i="8"/>
  <c r="O185" i="8"/>
  <c r="Q185" i="8"/>
  <c r="H186" i="8"/>
  <c r="J186" i="8"/>
  <c r="L186" i="8"/>
  <c r="O186" i="8"/>
  <c r="Q186" i="8"/>
  <c r="J187" i="8"/>
  <c r="L187" i="8"/>
  <c r="O187" i="8"/>
  <c r="Q187" i="8"/>
  <c r="J188" i="8"/>
  <c r="L188" i="8"/>
  <c r="N188" i="8"/>
  <c r="O188" i="8"/>
  <c r="Q188" i="8"/>
  <c r="J189" i="8"/>
  <c r="L189" i="8"/>
  <c r="O189" i="8"/>
  <c r="Q189" i="8"/>
  <c r="J190" i="8"/>
  <c r="L190" i="8"/>
  <c r="O190" i="8"/>
  <c r="Q190" i="8"/>
  <c r="J191" i="8"/>
  <c r="L191" i="8"/>
  <c r="O191" i="8"/>
  <c r="Q191" i="8"/>
  <c r="J192" i="8"/>
  <c r="L192" i="8"/>
  <c r="O192" i="8"/>
  <c r="Q192" i="8"/>
  <c r="J193" i="8"/>
  <c r="L193" i="8"/>
  <c r="O193" i="8"/>
  <c r="Q193" i="8"/>
  <c r="J194" i="8"/>
  <c r="L194" i="8"/>
  <c r="O194" i="8"/>
  <c r="Q194" i="8"/>
  <c r="H195" i="8"/>
  <c r="J195" i="8"/>
  <c r="L195" i="8"/>
  <c r="O195" i="8"/>
  <c r="Q195" i="8"/>
  <c r="J196" i="8"/>
  <c r="L196" i="8"/>
  <c r="O196" i="8"/>
  <c r="Q196" i="8"/>
  <c r="H197" i="8"/>
  <c r="I197" i="8"/>
  <c r="J197" i="8"/>
  <c r="L197" i="8"/>
  <c r="O197" i="8"/>
  <c r="Q197" i="8"/>
  <c r="H198" i="8"/>
  <c r="I198" i="8"/>
  <c r="J198" i="8"/>
  <c r="L198" i="8"/>
  <c r="N198" i="8"/>
  <c r="O198" i="8"/>
  <c r="P198" i="8"/>
  <c r="Q198" i="8"/>
  <c r="I70" i="8" l="1"/>
  <c r="N37" i="8"/>
  <c r="P37" i="8" s="1"/>
  <c r="R37" i="8" s="1"/>
  <c r="N38" i="8"/>
  <c r="P38" i="8" s="1"/>
  <c r="R38" i="8" s="1"/>
  <c r="N39" i="8"/>
  <c r="P39" i="8" s="1"/>
  <c r="R39" i="8" s="1"/>
  <c r="N40" i="8"/>
  <c r="P40" i="8" s="1"/>
  <c r="R40" i="8" s="1"/>
  <c r="N41" i="8"/>
  <c r="P41" i="8" s="1"/>
  <c r="R41" i="8" s="1"/>
  <c r="N42" i="8"/>
  <c r="P42" i="8" s="1"/>
  <c r="R42" i="8" s="1"/>
  <c r="N36" i="8"/>
  <c r="P36" i="8" s="1"/>
  <c r="R36" i="8" s="1"/>
  <c r="K42" i="8"/>
  <c r="M42" i="8" s="1"/>
  <c r="K41" i="8"/>
  <c r="M41" i="8" s="1"/>
  <c r="K40" i="8"/>
  <c r="M40" i="8" s="1"/>
  <c r="K39" i="8"/>
  <c r="M39" i="8" s="1"/>
  <c r="K38" i="8"/>
  <c r="M38" i="8" s="1"/>
  <c r="K37" i="8"/>
  <c r="M37" i="8" s="1"/>
  <c r="K36" i="8"/>
  <c r="M36" i="8" s="1"/>
  <c r="K35" i="8"/>
  <c r="M35" i="8" s="1"/>
  <c r="K34" i="8"/>
  <c r="M34" i="8" s="1"/>
  <c r="K33" i="8"/>
  <c r="M33" i="8" s="1"/>
  <c r="I29" i="8"/>
  <c r="N29" i="8" s="1"/>
  <c r="H30" i="8" s="1"/>
  <c r="I30" i="8" s="1"/>
  <c r="K28" i="8"/>
  <c r="M28" i="8" s="1"/>
  <c r="S28" i="8" s="1"/>
  <c r="K27" i="8"/>
  <c r="M27" i="8" s="1"/>
  <c r="S27" i="8" s="1"/>
  <c r="S36" i="8" l="1"/>
  <c r="S40" i="8"/>
  <c r="S38" i="8"/>
  <c r="S42" i="8"/>
  <c r="S37" i="8"/>
  <c r="S41" i="8"/>
  <c r="S39" i="8"/>
  <c r="N30" i="8"/>
  <c r="P29" i="8"/>
  <c r="R29" i="8" s="1"/>
  <c r="K30" i="8"/>
  <c r="M30" i="8" s="1"/>
  <c r="K29" i="8"/>
  <c r="M29" i="8" s="1"/>
  <c r="L62" i="8"/>
  <c r="R66" i="8"/>
  <c r="K68" i="8"/>
  <c r="M68" i="8" s="1"/>
  <c r="S68" i="8" s="1"/>
  <c r="K66" i="8"/>
  <c r="M66" i="8" s="1"/>
  <c r="H67" i="8"/>
  <c r="H31" i="8" l="1"/>
  <c r="I31" i="8" s="1"/>
  <c r="P30" i="8"/>
  <c r="R30" i="8" s="1"/>
  <c r="S30" i="8" s="1"/>
  <c r="S29" i="8"/>
  <c r="S66" i="8"/>
  <c r="K67" i="8"/>
  <c r="L61" i="8"/>
  <c r="M67" i="8" l="1"/>
  <c r="K31" i="8"/>
  <c r="M31" i="8" s="1"/>
  <c r="N67" i="8"/>
  <c r="P67" i="8" s="1"/>
  <c r="D8" i="8"/>
  <c r="R67" i="8" l="1"/>
  <c r="N31" i="8"/>
  <c r="P31" i="8" s="1"/>
  <c r="R31" i="8" s="1"/>
  <c r="S31" i="8" s="1"/>
  <c r="R198" i="8"/>
  <c r="R169" i="8"/>
  <c r="R115" i="8"/>
  <c r="R65" i="8"/>
  <c r="S67" i="8" l="1"/>
  <c r="H32" i="8"/>
  <c r="I32" i="8" s="1"/>
  <c r="G85" i="8"/>
  <c r="F85" i="8"/>
  <c r="E85" i="8"/>
  <c r="D85" i="8"/>
  <c r="K32" i="8" l="1"/>
  <c r="M32" i="8" s="1"/>
  <c r="F122" i="8"/>
  <c r="F117" i="8"/>
  <c r="F116" i="8"/>
  <c r="F115" i="8"/>
  <c r="F114" i="8"/>
  <c r="F159" i="8" s="1"/>
  <c r="F113" i="8"/>
  <c r="F158" i="8" s="1"/>
  <c r="F112" i="8"/>
  <c r="F110" i="8"/>
  <c r="F155" i="8" s="1"/>
  <c r="F103" i="8"/>
  <c r="G102" i="8"/>
  <c r="F102" i="8"/>
  <c r="E102" i="8"/>
  <c r="D122" i="8"/>
  <c r="D117" i="8"/>
  <c r="D116" i="8"/>
  <c r="D115" i="8"/>
  <c r="D114" i="8"/>
  <c r="D159" i="8" s="1"/>
  <c r="D113" i="8"/>
  <c r="D158" i="8" s="1"/>
  <c r="D112" i="8"/>
  <c r="D157" i="8" s="1"/>
  <c r="D110" i="8"/>
  <c r="D155" i="8" s="1"/>
  <c r="D103" i="8"/>
  <c r="D148" i="8" s="1"/>
  <c r="D102" i="8"/>
  <c r="F100" i="8"/>
  <c r="G99" i="8"/>
  <c r="F98" i="8"/>
  <c r="F97" i="8"/>
  <c r="F96" i="8"/>
  <c r="F95" i="8"/>
  <c r="F87" i="8"/>
  <c r="G86" i="8"/>
  <c r="F86" i="8"/>
  <c r="E86" i="8"/>
  <c r="D101" i="8"/>
  <c r="D100" i="8"/>
  <c r="D98" i="8"/>
  <c r="D97" i="8"/>
  <c r="D96" i="8"/>
  <c r="D95" i="8"/>
  <c r="D87" i="8"/>
  <c r="D86" i="8"/>
  <c r="G72" i="8"/>
  <c r="G134" i="8" s="1"/>
  <c r="F72" i="8"/>
  <c r="E72" i="8"/>
  <c r="F84" i="8"/>
  <c r="F146" i="8" s="1"/>
  <c r="F83" i="8"/>
  <c r="F82" i="8"/>
  <c r="F81" i="8"/>
  <c r="F143" i="8" s="1"/>
  <c r="F80" i="8"/>
  <c r="F73" i="8"/>
  <c r="F135" i="8" s="1"/>
  <c r="D84" i="8"/>
  <c r="D146" i="8" s="1"/>
  <c r="D83" i="8"/>
  <c r="D145" i="8" s="1"/>
  <c r="D82" i="8"/>
  <c r="D81" i="8"/>
  <c r="D80" i="8"/>
  <c r="D73" i="8"/>
  <c r="D135" i="8" s="1"/>
  <c r="D72" i="8"/>
  <c r="D134" i="8" s="1"/>
  <c r="D185" i="8" l="1"/>
  <c r="D147" i="8"/>
  <c r="G185" i="8"/>
  <c r="G147" i="8"/>
  <c r="D181" i="8"/>
  <c r="D143" i="8"/>
  <c r="F186" i="8"/>
  <c r="F148" i="8"/>
  <c r="F172" i="8"/>
  <c r="F134" i="8"/>
  <c r="F180" i="8"/>
  <c r="F142" i="8"/>
  <c r="D198" i="8"/>
  <c r="D160" i="8"/>
  <c r="E185" i="8"/>
  <c r="E147" i="8"/>
  <c r="F198" i="8"/>
  <c r="F160" i="8"/>
  <c r="D180" i="8"/>
  <c r="D142" i="8"/>
  <c r="F182" i="8"/>
  <c r="F144" i="8"/>
  <c r="F183" i="8"/>
  <c r="F145" i="8"/>
  <c r="D182" i="8"/>
  <c r="D144" i="8"/>
  <c r="E172" i="8"/>
  <c r="E134" i="8"/>
  <c r="F185" i="8"/>
  <c r="F147" i="8"/>
  <c r="F195" i="8"/>
  <c r="F157" i="8"/>
  <c r="N32" i="8"/>
  <c r="P32" i="8" s="1"/>
  <c r="R32" i="8" s="1"/>
  <c r="S32" i="8" s="1"/>
  <c r="F193" i="8"/>
  <c r="D196" i="8"/>
  <c r="D193" i="8"/>
  <c r="D195" i="8"/>
  <c r="F197" i="8"/>
  <c r="F196" i="8"/>
  <c r="D197" i="8"/>
  <c r="D186" i="8"/>
  <c r="G172" i="8"/>
  <c r="F184" i="8"/>
  <c r="F181" i="8"/>
  <c r="D184" i="8"/>
  <c r="D183" i="8"/>
  <c r="F173" i="8"/>
  <c r="D173" i="8"/>
  <c r="D172" i="8"/>
  <c r="F101" i="8"/>
  <c r="F99" i="8"/>
  <c r="E99" i="8"/>
  <c r="D99" i="8"/>
  <c r="D9" i="8"/>
  <c r="D10" i="8"/>
  <c r="D11" i="8"/>
  <c r="D18" i="8"/>
  <c r="D25" i="8"/>
  <c r="D165" i="8" s="1"/>
  <c r="D26" i="8"/>
  <c r="D44" i="8"/>
  <c r="D45" i="8"/>
  <c r="D46" i="8"/>
  <c r="D53" i="8"/>
  <c r="D60" i="8"/>
  <c r="D127" i="8" s="1"/>
  <c r="D61" i="8"/>
  <c r="D128" i="8" s="1"/>
  <c r="D62" i="8"/>
  <c r="D129" i="8" s="1"/>
  <c r="D65" i="8"/>
  <c r="H33" i="8" l="1"/>
  <c r="N33" i="8" s="1"/>
  <c r="P33" i="8" s="1"/>
  <c r="R33" i="8" s="1"/>
  <c r="S33" i="8" s="1"/>
  <c r="H43" i="8"/>
  <c r="H34" i="8" l="1"/>
  <c r="N34" i="8" s="1"/>
  <c r="P34" i="8" s="1"/>
  <c r="R34" i="8" s="1"/>
  <c r="S34" i="8" s="1"/>
  <c r="H65" i="8"/>
  <c r="I65" i="8" s="1"/>
  <c r="H44" i="8"/>
  <c r="H45" i="8" s="1"/>
  <c r="H35" i="8" l="1"/>
  <c r="N35" i="8" s="1"/>
  <c r="P35" i="8" s="1"/>
  <c r="R35" i="8" s="1"/>
  <c r="S35" i="8" s="1"/>
  <c r="D167" i="8"/>
  <c r="D166" i="8"/>
  <c r="I170" i="8"/>
  <c r="I61" i="8"/>
  <c r="I62" i="8"/>
  <c r="N166" i="8" l="1"/>
  <c r="I167" i="8"/>
  <c r="M166" i="8"/>
  <c r="K166" i="8"/>
  <c r="N167" i="8"/>
  <c r="P166" i="8" l="1"/>
  <c r="M167" i="8"/>
  <c r="K167" i="8"/>
  <c r="N170" i="8"/>
  <c r="P167" i="8"/>
  <c r="H168" i="8"/>
  <c r="K62" i="8"/>
  <c r="M62" i="8" s="1"/>
  <c r="N62" i="8"/>
  <c r="K61" i="8"/>
  <c r="M61" i="8" s="1"/>
  <c r="R166" i="8" l="1"/>
  <c r="S166" i="8"/>
  <c r="I168" i="8"/>
  <c r="H63" i="8"/>
  <c r="I63" i="8" s="1"/>
  <c r="P62" i="8"/>
  <c r="N61" i="8"/>
  <c r="P61" i="8" s="1"/>
  <c r="R61" i="8" s="1"/>
  <c r="N168" i="8" l="1"/>
  <c r="S167" i="8"/>
  <c r="R167" i="8"/>
  <c r="M168" i="8"/>
  <c r="K168" i="8"/>
  <c r="R62" i="8"/>
  <c r="S62" i="8" s="1"/>
  <c r="P168" i="8"/>
  <c r="N169" i="8"/>
  <c r="K63" i="8"/>
  <c r="M63" i="8" s="1"/>
  <c r="I169" i="8" l="1"/>
  <c r="H169" i="8"/>
  <c r="S61" i="8"/>
  <c r="N63" i="8"/>
  <c r="I161" i="8"/>
  <c r="I162" i="8" s="1"/>
  <c r="N165" i="8"/>
  <c r="I199" i="8"/>
  <c r="I200" i="8" s="1"/>
  <c r="K169" i="8" l="1"/>
  <c r="M165" i="8"/>
  <c r="K165" i="8"/>
  <c r="S168" i="8"/>
  <c r="R168" i="8"/>
  <c r="H64" i="8"/>
  <c r="I64" i="8" s="1"/>
  <c r="K64" i="8" s="1"/>
  <c r="M64" i="8" s="1"/>
  <c r="P63" i="8"/>
  <c r="R63" i="8" s="1"/>
  <c r="R165" i="8" l="1"/>
  <c r="P165" i="8"/>
  <c r="S169" i="8"/>
  <c r="M169" i="8"/>
  <c r="N64" i="8"/>
  <c r="P64" i="8" s="1"/>
  <c r="R64" i="8" s="1"/>
  <c r="M170" i="8" l="1"/>
  <c r="K170" i="8"/>
  <c r="S165" i="8"/>
  <c r="S64" i="8"/>
  <c r="S63" i="8"/>
  <c r="P170" i="8"/>
  <c r="O170" i="8" s="1"/>
  <c r="R170" i="8" l="1"/>
  <c r="C198" i="8"/>
  <c r="C184" i="8"/>
  <c r="S170" i="8" l="1"/>
  <c r="H60" i="8"/>
  <c r="K25" i="8"/>
  <c r="M25" i="8" s="1"/>
  <c r="H25" i="8"/>
  <c r="N25" i="8" l="1"/>
  <c r="P25" i="8" s="1"/>
  <c r="I123" i="8"/>
  <c r="M197" i="8" l="1"/>
  <c r="K197" i="8"/>
  <c r="M184" i="8"/>
  <c r="K184" i="8"/>
  <c r="M183" i="8"/>
  <c r="K183" i="8"/>
  <c r="M198" i="8"/>
  <c r="K198" i="8"/>
  <c r="R25" i="8"/>
  <c r="S25" i="8" s="1"/>
  <c r="N197" i="8"/>
  <c r="I195" i="8"/>
  <c r="N185" i="8"/>
  <c r="K185" i="8"/>
  <c r="N183" i="8"/>
  <c r="P183" i="8" s="1"/>
  <c r="I182" i="8"/>
  <c r="I181" i="8"/>
  <c r="N172" i="8"/>
  <c r="K172" i="8"/>
  <c r="N173" i="8" l="1"/>
  <c r="I173" i="8"/>
  <c r="N184" i="8"/>
  <c r="N186" i="8"/>
  <c r="I186" i="8"/>
  <c r="M172" i="8"/>
  <c r="M185" i="8"/>
  <c r="N199" i="8"/>
  <c r="N200" i="8" s="1"/>
  <c r="N181" i="8"/>
  <c r="N161" i="8"/>
  <c r="N162" i="8" s="1"/>
  <c r="S198" i="8"/>
  <c r="H174" i="8" l="1"/>
  <c r="R173" i="8"/>
  <c r="H187" i="8"/>
  <c r="P186" i="8"/>
  <c r="N195" i="8"/>
  <c r="M181" i="8"/>
  <c r="K181" i="8"/>
  <c r="P184" i="8"/>
  <c r="M186" i="8"/>
  <c r="K186" i="8"/>
  <c r="P197" i="8"/>
  <c r="M173" i="8"/>
  <c r="K173" i="8"/>
  <c r="P172" i="8"/>
  <c r="I187" i="8"/>
  <c r="M195" i="8"/>
  <c r="K195" i="8"/>
  <c r="R186" i="8"/>
  <c r="R185" i="8"/>
  <c r="P185" i="8"/>
  <c r="M182" i="8"/>
  <c r="K182" i="8"/>
  <c r="P173" i="8"/>
  <c r="N182" i="8"/>
  <c r="H196" i="8"/>
  <c r="I87" i="8"/>
  <c r="N87" i="8" s="1"/>
  <c r="S185" i="8" l="1"/>
  <c r="S186" i="8"/>
  <c r="M187" i="8"/>
  <c r="P181" i="8"/>
  <c r="R172" i="8"/>
  <c r="S197" i="8"/>
  <c r="R197" i="8"/>
  <c r="R184" i="8"/>
  <c r="S184" i="8"/>
  <c r="P195" i="8"/>
  <c r="S173" i="8"/>
  <c r="S172" i="8"/>
  <c r="P182" i="8"/>
  <c r="I174" i="8"/>
  <c r="S183" i="8"/>
  <c r="R183" i="8"/>
  <c r="N187" i="8"/>
  <c r="N174" i="8"/>
  <c r="K187" i="8" l="1"/>
  <c r="R182" i="8"/>
  <c r="S182" i="8"/>
  <c r="I196" i="8"/>
  <c r="R195" i="8"/>
  <c r="S195" i="8"/>
  <c r="S181" i="8"/>
  <c r="R181" i="8"/>
  <c r="M174" i="8"/>
  <c r="K174" i="8"/>
  <c r="P174" i="8" l="1"/>
  <c r="P187" i="8"/>
  <c r="N175" i="8"/>
  <c r="H175" i="8"/>
  <c r="N196" i="8"/>
  <c r="M196" i="8"/>
  <c r="K196" i="8"/>
  <c r="I188" i="8"/>
  <c r="H188" i="8"/>
  <c r="S174" i="8"/>
  <c r="P196" i="8" l="1"/>
  <c r="I175" i="8"/>
  <c r="R174" i="8"/>
  <c r="S187" i="8"/>
  <c r="R187" i="8"/>
  <c r="I73" i="8"/>
  <c r="K73" i="8" s="1"/>
  <c r="M73" i="8" s="1"/>
  <c r="I81" i="8"/>
  <c r="K81" i="8" s="1"/>
  <c r="M81" i="8" s="1"/>
  <c r="I82" i="8"/>
  <c r="K83" i="8"/>
  <c r="M83" i="8" s="1"/>
  <c r="N83" i="8"/>
  <c r="K84" i="8"/>
  <c r="M84" i="8" s="1"/>
  <c r="N84" i="8"/>
  <c r="K85" i="8"/>
  <c r="M85" i="8" s="1"/>
  <c r="N85" i="8"/>
  <c r="P85" i="8" s="1"/>
  <c r="Q85" i="8"/>
  <c r="K86" i="8"/>
  <c r="M86" i="8" s="1"/>
  <c r="N86" i="8"/>
  <c r="K87" i="8"/>
  <c r="M87" i="8" s="1"/>
  <c r="I103" i="8"/>
  <c r="H176" i="8" l="1"/>
  <c r="M175" i="8"/>
  <c r="K175" i="8"/>
  <c r="M188" i="8"/>
  <c r="K188" i="8"/>
  <c r="P175" i="8"/>
  <c r="S196" i="8"/>
  <c r="R196" i="8"/>
  <c r="R85" i="8"/>
  <c r="N82" i="8"/>
  <c r="P82" i="8" s="1"/>
  <c r="R82" i="8" s="1"/>
  <c r="K82" i="8"/>
  <c r="M82" i="8" s="1"/>
  <c r="P84" i="8"/>
  <c r="R84" i="8" s="1"/>
  <c r="S84" i="8" s="1"/>
  <c r="P83" i="8"/>
  <c r="R83" i="8" s="1"/>
  <c r="S83" i="8" s="1"/>
  <c r="P87" i="8"/>
  <c r="R87" i="8" s="1"/>
  <c r="P86" i="8"/>
  <c r="R86" i="8" s="1"/>
  <c r="S86" i="8" s="1"/>
  <c r="N73" i="8"/>
  <c r="P73" i="8" s="1"/>
  <c r="R73" i="8" s="1"/>
  <c r="N81" i="8"/>
  <c r="I45" i="8"/>
  <c r="H53" i="8" s="1"/>
  <c r="I53" i="8" s="1"/>
  <c r="N53" i="8" s="1"/>
  <c r="I44" i="8"/>
  <c r="H46" i="8" s="1"/>
  <c r="K115" i="8"/>
  <c r="M115" i="8" s="1"/>
  <c r="H26" i="8"/>
  <c r="N26" i="8" s="1"/>
  <c r="P26" i="8" s="1"/>
  <c r="R26" i="8" s="1"/>
  <c r="K26" i="8"/>
  <c r="M26" i="8" s="1"/>
  <c r="I189" i="8" l="1"/>
  <c r="H189" i="8"/>
  <c r="P188" i="8"/>
  <c r="R175" i="8"/>
  <c r="S175" i="8"/>
  <c r="I176" i="8"/>
  <c r="S85" i="8"/>
  <c r="S82" i="8"/>
  <c r="N176" i="8"/>
  <c r="S73" i="8"/>
  <c r="S87" i="8"/>
  <c r="H74" i="8"/>
  <c r="P81" i="8"/>
  <c r="R81" i="8" s="1"/>
  <c r="S81" i="8" s="1"/>
  <c r="S115" i="8"/>
  <c r="S26" i="8"/>
  <c r="I112" i="8"/>
  <c r="N112" i="8" s="1"/>
  <c r="M176" i="8" l="1"/>
  <c r="K176" i="8"/>
  <c r="N189" i="8"/>
  <c r="S188" i="8"/>
  <c r="R188" i="8"/>
  <c r="I74" i="8"/>
  <c r="N74" i="8" s="1"/>
  <c r="H113" i="8"/>
  <c r="I113" i="8" s="1"/>
  <c r="N113" i="8" s="1"/>
  <c r="P112" i="8"/>
  <c r="R112" i="8" s="1"/>
  <c r="K112" i="8"/>
  <c r="M112" i="8" s="1"/>
  <c r="I190" i="8" l="1"/>
  <c r="M189" i="8"/>
  <c r="K189" i="8"/>
  <c r="H177" i="8"/>
  <c r="P176" i="8"/>
  <c r="P74" i="8"/>
  <c r="R74" i="8" s="1"/>
  <c r="K74" i="8"/>
  <c r="M74" i="8" s="1"/>
  <c r="H75" i="8"/>
  <c r="I75" i="8" s="1"/>
  <c r="N75" i="8" s="1"/>
  <c r="P75" i="8" s="1"/>
  <c r="S112" i="8"/>
  <c r="H190" i="8" l="1"/>
  <c r="M190" i="8"/>
  <c r="I177" i="8"/>
  <c r="S74" i="8"/>
  <c r="N190" i="8"/>
  <c r="P189" i="8"/>
  <c r="S176" i="8"/>
  <c r="R176" i="8"/>
  <c r="N177" i="8"/>
  <c r="H76" i="8"/>
  <c r="R75" i="8"/>
  <c r="K75" i="8"/>
  <c r="M75" i="8" s="1"/>
  <c r="K190" i="8" l="1"/>
  <c r="S189" i="8"/>
  <c r="R189" i="8"/>
  <c r="M177" i="8"/>
  <c r="K177" i="8"/>
  <c r="H178" i="8"/>
  <c r="S75" i="8"/>
  <c r="I76" i="8"/>
  <c r="N76" i="8" s="1"/>
  <c r="I191" i="8" l="1"/>
  <c r="H191" i="8"/>
  <c r="P190" i="8"/>
  <c r="P177" i="8"/>
  <c r="P76" i="8"/>
  <c r="R76" i="8" s="1"/>
  <c r="H77" i="8"/>
  <c r="K76" i="8"/>
  <c r="M76" i="8" s="1"/>
  <c r="P113" i="8"/>
  <c r="R113" i="8" s="1"/>
  <c r="K113" i="8"/>
  <c r="M113" i="8" s="1"/>
  <c r="N114" i="8"/>
  <c r="K114" i="8"/>
  <c r="M114" i="8" s="1"/>
  <c r="N103" i="8"/>
  <c r="H104" i="8" s="1"/>
  <c r="I104" i="8" s="1"/>
  <c r="N101" i="8"/>
  <c r="K101" i="8"/>
  <c r="M101" i="8" s="1"/>
  <c r="N100" i="8"/>
  <c r="K100" i="8"/>
  <c r="M100" i="8" s="1"/>
  <c r="N97" i="8"/>
  <c r="S177" i="8" l="1"/>
  <c r="R177" i="8"/>
  <c r="N191" i="8"/>
  <c r="I178" i="8"/>
  <c r="S190" i="8"/>
  <c r="R190" i="8"/>
  <c r="S76" i="8"/>
  <c r="I77" i="8"/>
  <c r="S113" i="8"/>
  <c r="K44" i="8"/>
  <c r="M44" i="8" s="1"/>
  <c r="P114" i="8"/>
  <c r="R114" i="8" s="1"/>
  <c r="S114" i="8" s="1"/>
  <c r="N44" i="8"/>
  <c r="P101" i="8"/>
  <c r="R101" i="8" s="1"/>
  <c r="H192" i="8" l="1"/>
  <c r="H179" i="8"/>
  <c r="N178" i="8"/>
  <c r="M178" i="8"/>
  <c r="K178" i="8"/>
  <c r="M191" i="8"/>
  <c r="K191" i="8"/>
  <c r="K77" i="8"/>
  <c r="M77" i="8" s="1"/>
  <c r="N77" i="8"/>
  <c r="K104" i="8"/>
  <c r="M104" i="8" s="1"/>
  <c r="N104" i="8"/>
  <c r="H105" i="8" s="1"/>
  <c r="I105" i="8" s="1"/>
  <c r="K53" i="8"/>
  <c r="M53" i="8" s="1"/>
  <c r="P44" i="8"/>
  <c r="R44" i="8" s="1"/>
  <c r="I192" i="8" l="1"/>
  <c r="P178" i="8"/>
  <c r="P191" i="8"/>
  <c r="H78" i="8"/>
  <c r="P77" i="8"/>
  <c r="R77" i="8" s="1"/>
  <c r="S77" i="8" s="1"/>
  <c r="N105" i="8"/>
  <c r="P104" i="8"/>
  <c r="R104" i="8" s="1"/>
  <c r="S104" i="8" s="1"/>
  <c r="I179" i="8" l="1"/>
  <c r="N192" i="8"/>
  <c r="S191" i="8"/>
  <c r="R191" i="8"/>
  <c r="M179" i="8"/>
  <c r="K179" i="8"/>
  <c r="S178" i="8"/>
  <c r="R178" i="8"/>
  <c r="H54" i="8"/>
  <c r="I54" i="8" s="1"/>
  <c r="N54" i="8" s="1"/>
  <c r="P54" i="8" s="1"/>
  <c r="R54" i="8" s="1"/>
  <c r="I78" i="8"/>
  <c r="P105" i="8"/>
  <c r="R105" i="8" s="1"/>
  <c r="H106" i="8"/>
  <c r="K105" i="8"/>
  <c r="M105" i="8" s="1"/>
  <c r="P53" i="8"/>
  <c r="M192" i="8" l="1"/>
  <c r="K192" i="8"/>
  <c r="N193" i="8"/>
  <c r="H193" i="8"/>
  <c r="P179" i="8"/>
  <c r="P192" i="8"/>
  <c r="H180" i="8"/>
  <c r="I106" i="8"/>
  <c r="N106" i="8" s="1"/>
  <c r="H107" i="8" s="1"/>
  <c r="I107" i="8" s="1"/>
  <c r="R53" i="8"/>
  <c r="S53" i="8" s="1"/>
  <c r="K54" i="8"/>
  <c r="M54" i="8" s="1"/>
  <c r="H55" i="8"/>
  <c r="K78" i="8"/>
  <c r="M78" i="8" s="1"/>
  <c r="N78" i="8"/>
  <c r="H79" i="8" s="1"/>
  <c r="S105" i="8"/>
  <c r="I180" i="8" l="1"/>
  <c r="S192" i="8"/>
  <c r="R192" i="8"/>
  <c r="I193" i="8"/>
  <c r="S179" i="8"/>
  <c r="R179" i="8"/>
  <c r="I55" i="8"/>
  <c r="N55" i="8" s="1"/>
  <c r="S54" i="8"/>
  <c r="H194" i="8"/>
  <c r="N180" i="8"/>
  <c r="P78" i="8"/>
  <c r="R78" i="8" s="1"/>
  <c r="S78" i="8" s="1"/>
  <c r="K107" i="8"/>
  <c r="M107" i="8" s="1"/>
  <c r="N107" i="8"/>
  <c r="P106" i="8"/>
  <c r="R106" i="8" s="1"/>
  <c r="K106" i="8"/>
  <c r="M106" i="8" s="1"/>
  <c r="P193" i="8" l="1"/>
  <c r="H56" i="8"/>
  <c r="I56" i="8" s="1"/>
  <c r="N56" i="8" s="1"/>
  <c r="P56" i="8" s="1"/>
  <c r="P55" i="8"/>
  <c r="R55" i="8" s="1"/>
  <c r="M193" i="8"/>
  <c r="K193" i="8"/>
  <c r="M180" i="8"/>
  <c r="K180" i="8"/>
  <c r="K55" i="8"/>
  <c r="M55" i="8" s="1"/>
  <c r="I79" i="8"/>
  <c r="H108" i="8"/>
  <c r="I108" i="8" s="1"/>
  <c r="P107" i="8"/>
  <c r="R107" i="8" s="1"/>
  <c r="S107" i="8" s="1"/>
  <c r="S106" i="8"/>
  <c r="K194" i="8" l="1"/>
  <c r="I194" i="8"/>
  <c r="S193" i="8"/>
  <c r="R193" i="8"/>
  <c r="P180" i="8"/>
  <c r="K56" i="8"/>
  <c r="M56" i="8" s="1"/>
  <c r="S55" i="8"/>
  <c r="N194" i="8"/>
  <c r="K79" i="8"/>
  <c r="M79" i="8" s="1"/>
  <c r="N79" i="8"/>
  <c r="N108" i="8"/>
  <c r="H57" i="8"/>
  <c r="I57" i="8" s="1"/>
  <c r="S180" i="8" l="1"/>
  <c r="R180" i="8"/>
  <c r="K161" i="8"/>
  <c r="K162" i="8" s="1"/>
  <c r="J162" i="8" s="1"/>
  <c r="N57" i="8"/>
  <c r="P57" i="8" s="1"/>
  <c r="R57" i="8" s="1"/>
  <c r="P194" i="8"/>
  <c r="P79" i="8"/>
  <c r="R79" i="8" s="1"/>
  <c r="S79" i="8" s="1"/>
  <c r="P108" i="8"/>
  <c r="R108" i="8" s="1"/>
  <c r="H109" i="8"/>
  <c r="K108" i="8"/>
  <c r="M108" i="8" s="1"/>
  <c r="J161" i="8" l="1"/>
  <c r="M161" i="8"/>
  <c r="M194" i="8"/>
  <c r="S108" i="8"/>
  <c r="I109" i="8"/>
  <c r="N109" i="8" s="1"/>
  <c r="P161" i="8"/>
  <c r="R56" i="8"/>
  <c r="S56" i="8" s="1"/>
  <c r="K57" i="8"/>
  <c r="M57" i="8" s="1"/>
  <c r="S194" i="8" l="1"/>
  <c r="R194" i="8"/>
  <c r="R199" i="8" s="1"/>
  <c r="R200" i="8" s="1"/>
  <c r="R161" i="8"/>
  <c r="P162" i="8"/>
  <c r="O162" i="8" s="1"/>
  <c r="M162" i="8"/>
  <c r="L162" i="8" s="1"/>
  <c r="L161" i="8"/>
  <c r="O161" i="8"/>
  <c r="P109" i="8"/>
  <c r="R109" i="8" s="1"/>
  <c r="H110" i="8"/>
  <c r="I110" i="8" s="1"/>
  <c r="K109" i="8"/>
  <c r="M109" i="8" s="1"/>
  <c r="H58" i="8"/>
  <c r="S161" i="8" l="1"/>
  <c r="S162" i="8" s="1"/>
  <c r="R162" i="8"/>
  <c r="Q161" i="8"/>
  <c r="S109" i="8"/>
  <c r="K199" i="8"/>
  <c r="K200" i="8" s="1"/>
  <c r="M199" i="8"/>
  <c r="M200" i="8" s="1"/>
  <c r="I58" i="8"/>
  <c r="N58" i="8" s="1"/>
  <c r="P58" i="8" s="1"/>
  <c r="R58" i="8" s="1"/>
  <c r="S57" i="8"/>
  <c r="Q162" i="8" l="1"/>
  <c r="L200" i="8"/>
  <c r="J200" i="8"/>
  <c r="J199" i="8"/>
  <c r="L199" i="8"/>
  <c r="P199" i="8"/>
  <c r="P200" i="8" s="1"/>
  <c r="K58" i="8"/>
  <c r="M58" i="8" s="1"/>
  <c r="H80" i="8"/>
  <c r="K110" i="8"/>
  <c r="M110" i="8" s="1"/>
  <c r="N110" i="8"/>
  <c r="O200" i="8" l="1"/>
  <c r="S199" i="8"/>
  <c r="S200" i="8" s="1"/>
  <c r="O199" i="8"/>
  <c r="Q199" i="8"/>
  <c r="Q200" i="8"/>
  <c r="S58" i="8"/>
  <c r="I80" i="8"/>
  <c r="N80" i="8" s="1"/>
  <c r="H111" i="8"/>
  <c r="P110" i="8"/>
  <c r="R110" i="8" s="1"/>
  <c r="S110" i="8" s="1"/>
  <c r="H59" i="8"/>
  <c r="I59" i="8" s="1"/>
  <c r="I111" i="8" l="1"/>
  <c r="N111" i="8" s="1"/>
  <c r="N59" i="8"/>
  <c r="P59" i="8" s="1"/>
  <c r="K80" i="8"/>
  <c r="M80" i="8" s="1"/>
  <c r="K59" i="8"/>
  <c r="M59" i="8" s="1"/>
  <c r="K111" i="8" l="1"/>
  <c r="M111" i="8" s="1"/>
  <c r="P80" i="8"/>
  <c r="R80" i="8" s="1"/>
  <c r="S80" i="8" s="1"/>
  <c r="P111" i="8"/>
  <c r="R111" i="8" s="1"/>
  <c r="S111" i="8" l="1"/>
  <c r="R59" i="8"/>
  <c r="S59" i="8" s="1"/>
  <c r="K8" i="8"/>
  <c r="M8" i="8" s="1"/>
  <c r="H117" i="8"/>
  <c r="I117" i="8" s="1"/>
  <c r="H88" i="8"/>
  <c r="I88" i="8" s="1"/>
  <c r="N88" i="8" l="1"/>
  <c r="H89" i="8" s="1"/>
  <c r="I89" i="8" s="1"/>
  <c r="K96" i="8"/>
  <c r="M96" i="8" s="1"/>
  <c r="N117" i="8"/>
  <c r="H118" i="8" s="1"/>
  <c r="I118" i="8" l="1"/>
  <c r="P88" i="8"/>
  <c r="R88" i="8" s="1"/>
  <c r="K88" i="8"/>
  <c r="M88" i="8" s="1"/>
  <c r="K118" i="8" l="1"/>
  <c r="M118" i="8" s="1"/>
  <c r="N118" i="8"/>
  <c r="S88" i="8"/>
  <c r="N89" i="8"/>
  <c r="H90" i="8" s="1"/>
  <c r="I90" i="8" s="1"/>
  <c r="H119" i="8" l="1"/>
  <c r="P118" i="8"/>
  <c r="R118" i="8" s="1"/>
  <c r="P89" i="8"/>
  <c r="R89" i="8" s="1"/>
  <c r="K89" i="8"/>
  <c r="M89" i="8" s="1"/>
  <c r="I119" i="8" l="1"/>
  <c r="S89" i="8"/>
  <c r="N90" i="8"/>
  <c r="H91" i="8" s="1"/>
  <c r="I91" i="8" s="1"/>
  <c r="K119" i="8" l="1"/>
  <c r="M119" i="8" s="1"/>
  <c r="N119" i="8"/>
  <c r="P90" i="8"/>
  <c r="R90" i="8" s="1"/>
  <c r="K90" i="8"/>
  <c r="M90" i="8" s="1"/>
  <c r="P119" i="8" l="1"/>
  <c r="R119" i="8" s="1"/>
  <c r="H120" i="8"/>
  <c r="S90" i="8"/>
  <c r="I120" i="8" l="1"/>
  <c r="K91" i="8"/>
  <c r="M91" i="8" s="1"/>
  <c r="N91" i="8"/>
  <c r="H92" i="8" s="1"/>
  <c r="I92" i="8" s="1"/>
  <c r="K120" i="8" l="1"/>
  <c r="M120" i="8" s="1"/>
  <c r="N120" i="8"/>
  <c r="P91" i="8"/>
  <c r="R91" i="8" s="1"/>
  <c r="S91" i="8" s="1"/>
  <c r="P120" i="8" l="1"/>
  <c r="N92" i="8"/>
  <c r="H93" i="8" s="1"/>
  <c r="I93" i="8" s="1"/>
  <c r="H121" i="8" l="1"/>
  <c r="I121" i="8" s="1"/>
  <c r="R120" i="8"/>
  <c r="P92" i="8"/>
  <c r="R92" i="8" s="1"/>
  <c r="K92" i="8"/>
  <c r="M92" i="8" s="1"/>
  <c r="K121" i="8" l="1"/>
  <c r="M121" i="8" s="1"/>
  <c r="N121" i="8"/>
  <c r="S92" i="8"/>
  <c r="P121" i="8" l="1"/>
  <c r="R121" i="8" s="1"/>
  <c r="K93" i="8"/>
  <c r="M93" i="8" s="1"/>
  <c r="N93" i="8"/>
  <c r="H94" i="8" s="1"/>
  <c r="P93" i="8" l="1"/>
  <c r="R93" i="8" s="1"/>
  <c r="S93" i="8" s="1"/>
  <c r="K94" i="8" l="1"/>
  <c r="M94" i="8" s="1"/>
  <c r="N94" i="8"/>
  <c r="H95" i="8" l="1"/>
  <c r="P94" i="8"/>
  <c r="R94" i="8" s="1"/>
  <c r="S94" i="8" s="1"/>
  <c r="H96" i="8" l="1"/>
  <c r="N96" i="8" s="1"/>
  <c r="I95" i="8"/>
  <c r="N95" i="8" s="1"/>
  <c r="P95" i="8" s="1"/>
  <c r="R95" i="8" s="1"/>
  <c r="K95" i="8" l="1"/>
  <c r="M95" i="8" s="1"/>
  <c r="S95" i="8" s="1"/>
  <c r="K65" i="8" l="1"/>
  <c r="M65" i="8" s="1"/>
  <c r="L99" i="8"/>
  <c r="P98" i="8"/>
  <c r="R98" i="8" s="1"/>
  <c r="S118" i="8"/>
  <c r="S119" i="8"/>
  <c r="S120" i="8"/>
  <c r="S121" i="8"/>
  <c r="P100" i="8"/>
  <c r="R100" i="8" s="1"/>
  <c r="P97" i="8"/>
  <c r="R97" i="8" s="1"/>
  <c r="P96" i="8"/>
  <c r="R96" i="8" s="1"/>
  <c r="P103" i="8"/>
  <c r="R103" i="8" s="1"/>
  <c r="P117" i="8"/>
  <c r="R117" i="8" s="1"/>
  <c r="P122" i="8"/>
  <c r="R122" i="8" s="1"/>
  <c r="K99" i="8"/>
  <c r="K97" i="8"/>
  <c r="M97" i="8" s="1"/>
  <c r="K98" i="8"/>
  <c r="M98" i="8" s="1"/>
  <c r="K102" i="8"/>
  <c r="M102" i="8" s="1"/>
  <c r="K103" i="8"/>
  <c r="M103" i="8" s="1"/>
  <c r="K116" i="8"/>
  <c r="M116" i="8" s="1"/>
  <c r="K117" i="8"/>
  <c r="M117" i="8" s="1"/>
  <c r="K122" i="8"/>
  <c r="M122" i="8" s="1"/>
  <c r="N65" i="8"/>
  <c r="H10" i="8"/>
  <c r="I10" i="8" s="1"/>
  <c r="H9" i="8"/>
  <c r="I9" i="8" s="1"/>
  <c r="H11" i="8" s="1"/>
  <c r="H8" i="8"/>
  <c r="N8" i="8" s="1"/>
  <c r="P8" i="8" s="1"/>
  <c r="R8" i="8" s="1"/>
  <c r="N116" i="8"/>
  <c r="N102" i="8"/>
  <c r="N72" i="8"/>
  <c r="K72" i="8"/>
  <c r="M72" i="8" s="1"/>
  <c r="I60" i="8"/>
  <c r="K7" i="8"/>
  <c r="H7" i="8"/>
  <c r="N7" i="8" s="1"/>
  <c r="M7" i="8" l="1"/>
  <c r="M99" i="8"/>
  <c r="M123" i="8" s="1"/>
  <c r="K60" i="8"/>
  <c r="M60" i="8" s="1"/>
  <c r="N60" i="8"/>
  <c r="P60" i="8" s="1"/>
  <c r="R60" i="8" s="1"/>
  <c r="K123" i="8"/>
  <c r="P7" i="8"/>
  <c r="H99" i="8"/>
  <c r="N99" i="8" s="1"/>
  <c r="N123" i="8" s="1"/>
  <c r="S98" i="8"/>
  <c r="P102" i="8"/>
  <c r="R102" i="8" s="1"/>
  <c r="S102" i="8" s="1"/>
  <c r="S122" i="8"/>
  <c r="P116" i="8"/>
  <c r="R116" i="8" s="1"/>
  <c r="S116" i="8" s="1"/>
  <c r="S100" i="8"/>
  <c r="K10" i="8"/>
  <c r="M10" i="8" s="1"/>
  <c r="S103" i="8"/>
  <c r="K43" i="8"/>
  <c r="M43" i="8" s="1"/>
  <c r="S44" i="8"/>
  <c r="S65" i="8"/>
  <c r="S8" i="8"/>
  <c r="S117" i="8"/>
  <c r="S96" i="8"/>
  <c r="S97" i="8"/>
  <c r="S101" i="8"/>
  <c r="N43" i="8"/>
  <c r="P72" i="8"/>
  <c r="R72" i="8" s="1"/>
  <c r="R7" i="8" l="1"/>
  <c r="S60" i="8"/>
  <c r="I124" i="8"/>
  <c r="I201" i="8" s="1"/>
  <c r="P99" i="8"/>
  <c r="L123" i="8"/>
  <c r="J123" i="8"/>
  <c r="N45" i="8"/>
  <c r="P45" i="8" s="1"/>
  <c r="R45" i="8" s="1"/>
  <c r="K45" i="8"/>
  <c r="M45" i="8" s="1"/>
  <c r="N9" i="8"/>
  <c r="N70" i="8" s="1"/>
  <c r="N124" i="8" s="1"/>
  <c r="N201" i="8" s="1"/>
  <c r="K9" i="8"/>
  <c r="N10" i="8"/>
  <c r="P10" i="8" s="1"/>
  <c r="R10" i="8" s="1"/>
  <c r="P43" i="8"/>
  <c r="S72" i="8"/>
  <c r="S7" i="8" l="1"/>
  <c r="M9" i="8"/>
  <c r="P123" i="8"/>
  <c r="O123" i="8" s="1"/>
  <c r="R99" i="8"/>
  <c r="S99" i="8" s="1"/>
  <c r="S123" i="8" s="1"/>
  <c r="R43" i="8"/>
  <c r="S43" i="8" s="1"/>
  <c r="S10" i="8"/>
  <c r="P9" i="8"/>
  <c r="H18" i="8"/>
  <c r="I18" i="8" s="1"/>
  <c r="K18" i="8" s="1"/>
  <c r="M18" i="8" s="1"/>
  <c r="S45" i="8"/>
  <c r="R9" i="8" l="1"/>
  <c r="I206" i="8"/>
  <c r="R123" i="8"/>
  <c r="N18" i="8"/>
  <c r="P18" i="8" s="1"/>
  <c r="R18" i="8" s="1"/>
  <c r="I11" i="8"/>
  <c r="K11" i="8" s="1"/>
  <c r="S9" i="8" l="1"/>
  <c r="Q123" i="8"/>
  <c r="M11" i="8"/>
  <c r="H19" i="8"/>
  <c r="I19" i="8" s="1"/>
  <c r="K19" i="8" s="1"/>
  <c r="M19" i="8" s="1"/>
  <c r="N11" i="8"/>
  <c r="P11" i="8" s="1"/>
  <c r="R11" i="8" l="1"/>
  <c r="H12" i="8"/>
  <c r="I12" i="8" s="1"/>
  <c r="K12" i="8" s="1"/>
  <c r="N19" i="8"/>
  <c r="H20" i="8" s="1"/>
  <c r="S18" i="8"/>
  <c r="S11" i="8" l="1"/>
  <c r="M12" i="8"/>
  <c r="N12" i="8"/>
  <c r="P12" i="8" s="1"/>
  <c r="P19" i="8"/>
  <c r="R19" i="8" s="1"/>
  <c r="I20" i="8"/>
  <c r="K20" i="8" s="1"/>
  <c r="M20" i="8" s="1"/>
  <c r="R12" i="8" l="1"/>
  <c r="H13" i="8"/>
  <c r="I13" i="8" s="1"/>
  <c r="K13" i="8" s="1"/>
  <c r="N20" i="8"/>
  <c r="H21" i="8" s="1"/>
  <c r="S19" i="8"/>
  <c r="S12" i="8" l="1"/>
  <c r="M13" i="8"/>
  <c r="N13" i="8"/>
  <c r="H14" i="8" s="1"/>
  <c r="P20" i="8"/>
  <c r="R20" i="8" s="1"/>
  <c r="I21" i="8"/>
  <c r="K21" i="8" s="1"/>
  <c r="M21" i="8" s="1"/>
  <c r="I14" i="8" l="1"/>
  <c r="K14" i="8" s="1"/>
  <c r="M14" i="8" s="1"/>
  <c r="P13" i="8"/>
  <c r="N21" i="8"/>
  <c r="P21" i="8" s="1"/>
  <c r="R21" i="8" s="1"/>
  <c r="S20" i="8"/>
  <c r="R13" i="8" l="1"/>
  <c r="N14" i="8"/>
  <c r="P14" i="8" s="1"/>
  <c r="R14" i="8" s="1"/>
  <c r="H22" i="8"/>
  <c r="I22" i="8" s="1"/>
  <c r="S13" i="8" l="1"/>
  <c r="K22" i="8"/>
  <c r="M22" i="8" s="1"/>
  <c r="S14" i="8"/>
  <c r="H15" i="8"/>
  <c r="I15" i="8" s="1"/>
  <c r="K15" i="8" s="1"/>
  <c r="M15" i="8" s="1"/>
  <c r="N22" i="8"/>
  <c r="S21" i="8"/>
  <c r="H23" i="8" l="1"/>
  <c r="I23" i="8" s="1"/>
  <c r="K23" i="8" s="1"/>
  <c r="M23" i="8" s="1"/>
  <c r="N15" i="8"/>
  <c r="P15" i="8" s="1"/>
  <c r="P22" i="8"/>
  <c r="R22" i="8" s="1"/>
  <c r="R15" i="8" l="1"/>
  <c r="S15" i="8" s="1"/>
  <c r="H16" i="8"/>
  <c r="I16" i="8" s="1"/>
  <c r="K16" i="8" s="1"/>
  <c r="M16" i="8" s="1"/>
  <c r="N23" i="8"/>
  <c r="P23" i="8" s="1"/>
  <c r="R23" i="8" s="1"/>
  <c r="S22" i="8"/>
  <c r="N16" i="8" l="1"/>
  <c r="H24" i="8"/>
  <c r="S23" i="8"/>
  <c r="H17" i="8" l="1"/>
  <c r="P16" i="8"/>
  <c r="I24" i="8"/>
  <c r="K24" i="8" s="1"/>
  <c r="M24" i="8" s="1"/>
  <c r="R16" i="8" l="1"/>
  <c r="S16" i="8" s="1"/>
  <c r="I17" i="8"/>
  <c r="N24" i="8"/>
  <c r="P24" i="8" s="1"/>
  <c r="R24" i="8" s="1"/>
  <c r="S24" i="8" l="1"/>
  <c r="K17" i="8"/>
  <c r="M17" i="8" s="1"/>
  <c r="N17" i="8"/>
  <c r="P17" i="8" l="1"/>
  <c r="R17" i="8" s="1"/>
  <c r="S17" i="8" l="1"/>
  <c r="J170" i="8" l="1"/>
  <c r="L170" i="8"/>
  <c r="Q170" i="8"/>
  <c r="I46" i="8"/>
  <c r="N46" i="8" s="1"/>
  <c r="P46" i="8" l="1"/>
  <c r="R46" i="8" s="1"/>
  <c r="H47" i="8"/>
  <c r="K46" i="8"/>
  <c r="M46" i="8" s="1"/>
  <c r="I47" i="8" l="1"/>
  <c r="K47" i="8" s="1"/>
  <c r="M47" i="8" s="1"/>
  <c r="N47" i="8" l="1"/>
  <c r="S46" i="8"/>
  <c r="P47" i="8" l="1"/>
  <c r="R47" i="8" s="1"/>
  <c r="H48" i="8"/>
  <c r="I48" i="8" l="1"/>
  <c r="K48" i="8" s="1"/>
  <c r="M48" i="8" s="1"/>
  <c r="N48" i="8" l="1"/>
  <c r="S47" i="8"/>
  <c r="P48" i="8" l="1"/>
  <c r="R48" i="8" s="1"/>
  <c r="H49" i="8"/>
  <c r="I49" i="8" s="1"/>
  <c r="K49" i="8" l="1"/>
  <c r="M49" i="8" s="1"/>
  <c r="S48" i="8" l="1"/>
  <c r="N49" i="8"/>
  <c r="P49" i="8" l="1"/>
  <c r="R49" i="8" s="1"/>
  <c r="H50" i="8"/>
  <c r="I50" i="8" l="1"/>
  <c r="K50" i="8" s="1"/>
  <c r="M50" i="8" s="1"/>
  <c r="N50" i="8" l="1"/>
  <c r="H51" i="8" s="1"/>
  <c r="I51" i="8" s="1"/>
  <c r="S49" i="8"/>
  <c r="P50" i="8" l="1"/>
  <c r="R50" i="8" s="1"/>
  <c r="K51" i="8"/>
  <c r="M51" i="8" s="1"/>
  <c r="S50" i="8" l="1"/>
  <c r="N51" i="8"/>
  <c r="P51" i="8" l="1"/>
  <c r="H52" i="8"/>
  <c r="R51" i="8" l="1"/>
  <c r="S51" i="8" s="1"/>
  <c r="I52" i="8"/>
  <c r="K52" i="8" s="1"/>
  <c r="K70" i="8" s="1"/>
  <c r="M52" i="8" l="1"/>
  <c r="N52" i="8"/>
  <c r="P52" i="8" s="1"/>
  <c r="P70" i="8" s="1"/>
  <c r="M70" i="8" l="1"/>
  <c r="L70" i="8" s="1"/>
  <c r="R52" i="8"/>
  <c r="J70" i="8"/>
  <c r="K124" i="8"/>
  <c r="K201" i="8" s="1"/>
  <c r="M124" i="8" l="1"/>
  <c r="M201" i="8" s="1"/>
  <c r="R70" i="8"/>
  <c r="R124" i="8" s="1"/>
  <c r="R201" i="8" s="1"/>
  <c r="P124" i="8"/>
  <c r="P201" i="8" s="1"/>
  <c r="O70" i="8"/>
  <c r="S52" i="8"/>
  <c r="J124" i="8"/>
  <c r="S70" i="8" l="1"/>
  <c r="S124" i="8" s="1"/>
  <c r="S201" i="8" s="1"/>
  <c r="L124" i="8"/>
  <c r="I209" i="8"/>
  <c r="I207" i="8"/>
  <c r="J201" i="8"/>
  <c r="Q70" i="8"/>
  <c r="O124" i="8"/>
  <c r="I210" i="8" l="1"/>
  <c r="Q124" i="8"/>
  <c r="O201" i="8"/>
  <c r="Q201" i="8" l="1"/>
  <c r="I208" i="8"/>
  <c r="L20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Wieczorek, MPH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Amy Wieczorek, MPH:</t>
        </r>
        <r>
          <rPr>
            <sz val="9"/>
            <color indexed="81"/>
            <rFont val="Tahoma"/>
            <family val="2"/>
          </rPr>
          <t xml:space="preserve">
Appendix numbering prior to 10-11-16</t>
        </r>
      </text>
    </comment>
  </commentList>
</comments>
</file>

<file path=xl/sharedStrings.xml><?xml version="1.0" encoding="utf-8"?>
<sst xmlns="http://schemas.openxmlformats.org/spreadsheetml/2006/main" count="843" uniqueCount="493">
  <si>
    <t>Respondent Category</t>
  </si>
  <si>
    <t>C1</t>
  </si>
  <si>
    <t>C2</t>
  </si>
  <si>
    <t>C3</t>
  </si>
  <si>
    <t>C4</t>
  </si>
  <si>
    <t>Instrument</t>
  </si>
  <si>
    <t>Total Sample Size</t>
  </si>
  <si>
    <t>Respondents</t>
  </si>
  <si>
    <t>Non-Respondents</t>
  </si>
  <si>
    <t>Grand Total Burden Estimate (Hours)</t>
  </si>
  <si>
    <t xml:space="preserve">Estimated Number of Respondents </t>
  </si>
  <si>
    <t>Frequency of Response</t>
  </si>
  <si>
    <t xml:space="preserve">Total Annual Responses </t>
  </si>
  <si>
    <t xml:space="preserve">Average Time Per Response (Hours) </t>
  </si>
  <si>
    <t>Total Annual Burden Estimate (Hours)</t>
  </si>
  <si>
    <t xml:space="preserve">Estimated Number of Non-Respondents </t>
  </si>
  <si>
    <t>Frequency of Non-Response</t>
  </si>
  <si>
    <t>Total Annual Non-Responses</t>
  </si>
  <si>
    <t>Average Time Per Non- Response (Hours)</t>
  </si>
  <si>
    <t>State, Local, and Tribal Government</t>
  </si>
  <si>
    <t>Individuals or Households</t>
  </si>
  <si>
    <t>Total # of respondents (including participants and non-respondents)</t>
  </si>
  <si>
    <t>Estimated total # of annual responses (including participants and non-respondents)</t>
  </si>
  <si>
    <t>Respondent Type</t>
  </si>
  <si>
    <t>State WIC Agency Directors</t>
  </si>
  <si>
    <t>3 min</t>
  </si>
  <si>
    <t>1.2 min</t>
  </si>
  <si>
    <t>door knock</t>
  </si>
  <si>
    <t>5 min</t>
  </si>
  <si>
    <t>KEY:</t>
  </si>
  <si>
    <t>call</t>
  </si>
  <si>
    <t>Former WIC Program Participants</t>
  </si>
  <si>
    <t>State Agency Survey Invitation Email</t>
  </si>
  <si>
    <t>State Agency Survey Invitation Letter with Instrument</t>
  </si>
  <si>
    <t>State Agency Survey Thank You Letter</t>
  </si>
  <si>
    <t>A2</t>
  </si>
  <si>
    <t>B1</t>
  </si>
  <si>
    <t>B2</t>
  </si>
  <si>
    <t>Study Description for State and Local WIC Agencies</t>
  </si>
  <si>
    <t>NSWP-III Extant State Agency Data Overview</t>
  </si>
  <si>
    <t>Recently Denied WIC Program Applicants</t>
  </si>
  <si>
    <t>Program Experiences Survey Thank You Letter and Gift Card</t>
  </si>
  <si>
    <t>Program Experiences Survey Invitation Letter</t>
  </si>
  <si>
    <t>Program Experiences Survey Invitation Email</t>
  </si>
  <si>
    <t>voicemail</t>
  </si>
  <si>
    <t>State Agency Survey Reminder Email, 1</t>
  </si>
  <si>
    <t>State Agency Survey Reminder Email, 2</t>
  </si>
  <si>
    <t>State Agency Survey Reminder Email, 3</t>
  </si>
  <si>
    <t>State Agency Survey Reminder Email, 4</t>
  </si>
  <si>
    <t>State Agency Survey Reminder Email, 5</t>
  </si>
  <si>
    <t>State Agency Survey Reminder Email, 6</t>
  </si>
  <si>
    <t>State Agency Survey Reminder Email, 7</t>
  </si>
  <si>
    <t>mail back</t>
  </si>
  <si>
    <t>email, read</t>
  </si>
  <si>
    <t>email, don’t read</t>
  </si>
  <si>
    <t>mail, read</t>
  </si>
  <si>
    <t>mail, don't read</t>
  </si>
  <si>
    <t>email back</t>
  </si>
  <si>
    <t>1.8 min</t>
  </si>
  <si>
    <t>C6</t>
  </si>
  <si>
    <t>C7</t>
  </si>
  <si>
    <t>Local WIC Agency Directors</t>
  </si>
  <si>
    <t>consent form</t>
  </si>
  <si>
    <t>6 min</t>
  </si>
  <si>
    <t>C5</t>
  </si>
  <si>
    <t xml:space="preserve">Current WIC Program Participants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</si>
  <si>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Local Agency Survey Invitation Email</t>
  </si>
  <si>
    <t>Local Agency Survey Invitation Letter with Instrument</t>
  </si>
  <si>
    <t>Local Agency Survey Reminder Email, 1</t>
  </si>
  <si>
    <t>Local Agency Survey Reminder Email, 2</t>
  </si>
  <si>
    <t>Local Agency Survey Reminder Email, 3</t>
  </si>
  <si>
    <t>Local Agency Survey Reminder Email, 4</t>
  </si>
  <si>
    <t>Local Agency Survey Reminder Email, 5</t>
  </si>
  <si>
    <t>Local Agency Survey Reminder Email, 6</t>
  </si>
  <si>
    <t>Local Agency Survey Reminder Email, 7</t>
  </si>
  <si>
    <t>Local Agency Survey Thank You Letter</t>
  </si>
  <si>
    <t>A1</t>
  </si>
  <si>
    <t>Letter to State Agencies from Regional Offices</t>
  </si>
  <si>
    <t>Notification Email to Regional and State Offices</t>
  </si>
  <si>
    <t>B7</t>
  </si>
  <si>
    <t>State Agency Survey Reminder Telephone Script, Call 7</t>
  </si>
  <si>
    <t>Local Agency Survey Reminder Telephone Script, Call 7</t>
  </si>
  <si>
    <t>Participant Consent Form-Denied Applicant Survey</t>
  </si>
  <si>
    <t>Participant Consent Form-Certification Survey</t>
  </si>
  <si>
    <t>State Agency Survey Reminder Email</t>
  </si>
  <si>
    <t>State Agency Survey Reminder Telephone Script</t>
  </si>
  <si>
    <t>State Agency Collection of LA Contact Information Telephone Script</t>
  </si>
  <si>
    <t>Local Agency Survey</t>
  </si>
  <si>
    <t>Local Agency Survey Reminder Email</t>
  </si>
  <si>
    <t>Local Agency Survey Reminder Telephone Script</t>
  </si>
  <si>
    <t>Former WIC Participant Case Study Interview Thank You Letter and Gift Card</t>
  </si>
  <si>
    <t>Pilot of Alternative Methodology 2019</t>
  </si>
  <si>
    <t>Pilot of Alternative Methodology 2020</t>
  </si>
  <si>
    <t>Certification End Date Verification Email, 1</t>
  </si>
  <si>
    <t>Certification End Date Verification Reminder Telephone Script, Call 3</t>
  </si>
  <si>
    <t>Certification End Date Verification Email</t>
  </si>
  <si>
    <t>Certification End Date Verification Reminder Telephone Script</t>
  </si>
  <si>
    <t>C8</t>
  </si>
  <si>
    <t>State Agency Survey-Web</t>
  </si>
  <si>
    <t>Original #</t>
  </si>
  <si>
    <t>Appendix D1.</t>
  </si>
  <si>
    <t>NSWP-III Research Purpose and Objectives</t>
  </si>
  <si>
    <t>Appendix D2.</t>
  </si>
  <si>
    <t>Appendix A2.</t>
  </si>
  <si>
    <t>Contractor Confidentiality Forms</t>
  </si>
  <si>
    <t>Table A2.</t>
  </si>
  <si>
    <t>Table of Pretested Documents  </t>
  </si>
  <si>
    <t>Appendix  A1.</t>
  </si>
  <si>
    <t>Appendix B1.</t>
  </si>
  <si>
    <t>State Agency Survey</t>
  </si>
  <si>
    <t>Appendix B2.</t>
  </si>
  <si>
    <t>Appendix A3.a</t>
  </si>
  <si>
    <t>Certification Survey: Version A (Adult)-English</t>
  </si>
  <si>
    <t>Appendix A3.b</t>
  </si>
  <si>
    <t>Certification Survey: Version B (Infant/Child)-English</t>
  </si>
  <si>
    <t>Appendix A3.c</t>
  </si>
  <si>
    <t>Certification Survey: Version A (Adult)-Spanish</t>
  </si>
  <si>
    <t>Appendix A3.d</t>
  </si>
  <si>
    <t>Certification Survey: Version B (Infant/Child)-Spanish</t>
  </si>
  <si>
    <t>Appendix A4.a</t>
  </si>
  <si>
    <t>Denied Applicant Survey: Version A (Adult)-English</t>
  </si>
  <si>
    <t>Appendix A4.b</t>
  </si>
  <si>
    <t>Denied Applicant Survey: Version B (Infant/Child)-English</t>
  </si>
  <si>
    <t>Appendix A4.c</t>
  </si>
  <si>
    <t>Denied Applicant Survey: Version A (Adult)-Spanish</t>
  </si>
  <si>
    <t>Appendix A4.d</t>
  </si>
  <si>
    <t>Denied Applicant Survey: Version B (Infant/Child)-Spanish </t>
  </si>
  <si>
    <t>Appendix A5.a</t>
  </si>
  <si>
    <t>Program Experiences Survey: Version A (Adult)-English</t>
  </si>
  <si>
    <t>Appendix A5.b</t>
  </si>
  <si>
    <t>Program Experiences Survey: Version B (Infant/Child)-English</t>
  </si>
  <si>
    <t>Appendix A5.c</t>
  </si>
  <si>
    <t>Program Experiences Survey: Version A (Adult)-Spanish</t>
  </si>
  <si>
    <t>Appendix A5.d</t>
  </si>
  <si>
    <t>Program Experiences Survey: Version B (Infant/Child)-Spanish</t>
  </si>
  <si>
    <t>Appendix A6.a</t>
  </si>
  <si>
    <t>Former WIC Participant Case Study: Interview Guide-English</t>
  </si>
  <si>
    <t>Appendix A6.b</t>
  </si>
  <si>
    <t>Former WIC Participant Case Study: Interview Guide-Spanish</t>
  </si>
  <si>
    <t>Appendix C1.</t>
  </si>
  <si>
    <t>Appendix C2.</t>
  </si>
  <si>
    <t>Appendix B3.</t>
  </si>
  <si>
    <t>Appendix B4.</t>
  </si>
  <si>
    <t>Appendix C4.</t>
  </si>
  <si>
    <t>Appendix B5.</t>
  </si>
  <si>
    <t>Appendix C5.</t>
  </si>
  <si>
    <t>Appendix B6.</t>
  </si>
  <si>
    <t>Appendix C6.</t>
  </si>
  <si>
    <t>Appendix B7.</t>
  </si>
  <si>
    <t>Appendix C7.</t>
  </si>
  <si>
    <t>Appendix B8.</t>
  </si>
  <si>
    <t>Appendix C8.</t>
  </si>
  <si>
    <t>Appendix B9.</t>
  </si>
  <si>
    <t>Appendix B10.</t>
  </si>
  <si>
    <t>Appendix B11.a</t>
  </si>
  <si>
    <t>Appendix C11.a</t>
  </si>
  <si>
    <t>Certification Survey Recruitment Telephone Script-English</t>
  </si>
  <si>
    <t>Appendix B11.b</t>
  </si>
  <si>
    <t>Appendix C11.b</t>
  </si>
  <si>
    <t>Certification Survey Recruitment Telephone Script-Spanish</t>
  </si>
  <si>
    <t>Appendix B12.a</t>
  </si>
  <si>
    <t>Appendix C12.a</t>
  </si>
  <si>
    <t>Certification Survey Recruitment In-Person Script-English </t>
  </si>
  <si>
    <t>Appendix B12.b</t>
  </si>
  <si>
    <t>Appendix C12.b</t>
  </si>
  <si>
    <t>Certification Survey Recruitment In-Person Script-Spanish</t>
  </si>
  <si>
    <t>Appendix B13.a</t>
  </si>
  <si>
    <t>Appendix C13.a</t>
  </si>
  <si>
    <t>Text Message Reminder for Scheduled Certification Survey-English</t>
  </si>
  <si>
    <t>Appendix B13.b</t>
  </si>
  <si>
    <t>Appendix C13.b</t>
  </si>
  <si>
    <t>Text Message Reminder for Scheduled Certification Survey-Spanish</t>
  </si>
  <si>
    <t>Appendix B14.a</t>
  </si>
  <si>
    <t>Appendix C14.a</t>
  </si>
  <si>
    <t>Telephone Reminder for Scheduled Certification Survey-English</t>
  </si>
  <si>
    <t>Appendix B14.b</t>
  </si>
  <si>
    <t>Appendix C14.b</t>
  </si>
  <si>
    <t>Telephone Reminder for Scheduled Certification Survey-Spanish</t>
  </si>
  <si>
    <t>Appendix B15.a</t>
  </si>
  <si>
    <t>Appendix C15.a</t>
  </si>
  <si>
    <t>Denied WIC Applicant Survey Recruitment Telephone Script-English</t>
  </si>
  <si>
    <t>Appendix B15.b</t>
  </si>
  <si>
    <t>Appendix C15.b</t>
  </si>
  <si>
    <t>Denied WIC Applicant Survey Recruitment Telephone Script-Spanish</t>
  </si>
  <si>
    <t>Appendix B16.a</t>
  </si>
  <si>
    <t>Appendix C16.a</t>
  </si>
  <si>
    <t>Denied WIC Applicant Survey Recruitment In-Person Script-English</t>
  </si>
  <si>
    <t>Appendix B16.b</t>
  </si>
  <si>
    <t>Appendix C16.b</t>
  </si>
  <si>
    <t>Denied WIC Applicant Survey Recruitment In-Person Script-Spanish</t>
  </si>
  <si>
    <t>Appendix B17.a</t>
  </si>
  <si>
    <t>Text Message Reminder for Scheduled Denied Applicant Survey-English</t>
  </si>
  <si>
    <t>Appendix B17.b</t>
  </si>
  <si>
    <t>Text Message Reminder for Scheduled Denied Applicant Survey-Spanish</t>
  </si>
  <si>
    <t>Appendix B18.a</t>
  </si>
  <si>
    <t>Telephone Reminder for Scheduled Denied Applicant Survey-English</t>
  </si>
  <si>
    <t>Appendix B18.b</t>
  </si>
  <si>
    <t>Telephone Reminder for Scheduled Denied Applicant Survey-Spanish</t>
  </si>
  <si>
    <t>Appendix B19.a</t>
  </si>
  <si>
    <t>Program Experiences Survey Invitation Telephone Script-English</t>
  </si>
  <si>
    <t>Appendix B19.b</t>
  </si>
  <si>
    <t>Program Experiences Survey Invitation Telephone Script-Spanish</t>
  </si>
  <si>
    <t>Appendix B20.a</t>
  </si>
  <si>
    <t>Program Experiences Survey Invitation Letter-English</t>
  </si>
  <si>
    <t>Appendix B20.b</t>
  </si>
  <si>
    <t>Program Experiences Survey Invitation Letter-Spanish</t>
  </si>
  <si>
    <t>Appendix B21.a</t>
  </si>
  <si>
    <t>Program Experiences Survey Invitation Email-English</t>
  </si>
  <si>
    <t>Appendix B21.b</t>
  </si>
  <si>
    <t>Program Experiences Survey Invitation Email-Spanish</t>
  </si>
  <si>
    <t>Appendix B22.a</t>
  </si>
  <si>
    <t>Program Experiences Survey In-Person Script-English</t>
  </si>
  <si>
    <t>Appendix B22.b</t>
  </si>
  <si>
    <t>Program Experiences Survey In-Person Script-Spanish</t>
  </si>
  <si>
    <t>Appendix B23.a</t>
  </si>
  <si>
    <t>Former WIC Participant Case Study Interview Invitation Telephone Script-English</t>
  </si>
  <si>
    <t>Appendix B23.b</t>
  </si>
  <si>
    <t>Former WIC Participant Case Study Interview Invitation Telephone Script-Spanish</t>
  </si>
  <si>
    <t>Appendix D3.</t>
  </si>
  <si>
    <t>State Agency Collection of WIC Participant and Applicant Contact Information   Phone Script</t>
  </si>
  <si>
    <t>Appendix D6.</t>
  </si>
  <si>
    <t>Appendix C9.a</t>
  </si>
  <si>
    <t>Certification Survey Information Letter from State Agencies-English</t>
  </si>
  <si>
    <t>Appendix C9.b</t>
  </si>
  <si>
    <t>Certification Survey Information Letter from State Agencies-Spanish</t>
  </si>
  <si>
    <t>Appendix C10.a</t>
  </si>
  <si>
    <t>Participant Consent Form-Certification Survey-English</t>
  </si>
  <si>
    <t>Appendix C10.b</t>
  </si>
  <si>
    <t>Participant Consent Form-Certification Survey-Spanish</t>
  </si>
  <si>
    <t>Denied WIC Applicant Information Letter from State Agencies-English</t>
  </si>
  <si>
    <t>Denied WIC Applicant Information Letter from State Agencies-Spanish</t>
  </si>
  <si>
    <t>Program Experiences Survey Invitation Postcard-English</t>
  </si>
  <si>
    <t>Program Experiences Survey Invitation Postcard-Spanish</t>
  </si>
  <si>
    <t>Program Experiences Survey Thank You Letter and Gift Card-English</t>
  </si>
  <si>
    <t>Program Experiences Survey Thank You Letter and Gift Card-Spanish</t>
  </si>
  <si>
    <t>Former WIC Participant Case Study Interview Thank You Letter and Gift Card-English</t>
  </si>
  <si>
    <t>Former WIC Participant Case Study Interview Thank You Letter and Gift Card-Spanish</t>
  </si>
  <si>
    <t>Estimates of Respondent Burden</t>
  </si>
  <si>
    <t>Appendix D4.X</t>
  </si>
  <si>
    <t>Federal Register 60-Day Notice: Public Comment X</t>
  </si>
  <si>
    <t>Appendix D5.X</t>
  </si>
  <si>
    <t>Federal Register 60-Day Notice: FNS’s Response to Public Comment X</t>
  </si>
  <si>
    <t>National Agricultural Statistics Service (NASS) Comments</t>
  </si>
  <si>
    <t>Do not include (for pretest and IRB only):</t>
  </si>
  <si>
    <t>D1.</t>
  </si>
  <si>
    <t>State Agency Survey Debriefing Interview Guide</t>
  </si>
  <si>
    <t>D2.</t>
  </si>
  <si>
    <t>Local Agency Survey Debriefing Interview Guide</t>
  </si>
  <si>
    <t>D3.</t>
  </si>
  <si>
    <t>D4.</t>
  </si>
  <si>
    <t>D5.</t>
  </si>
  <si>
    <t>D6.</t>
  </si>
  <si>
    <t>Annualized Cost to Respondents</t>
  </si>
  <si>
    <t xml:space="preserve">REPORTING </t>
  </si>
  <si>
    <t>Denied Applicants Log</t>
  </si>
  <si>
    <t>Denied Applicant Log</t>
  </si>
  <si>
    <t>Participant Information Brochure-English</t>
  </si>
  <si>
    <t>Participant Information Brochure-Spanish</t>
  </si>
  <si>
    <t>Appendix  ID</t>
  </si>
  <si>
    <t>Appendix</t>
  </si>
  <si>
    <t>B3.a</t>
  </si>
  <si>
    <t>B3.b</t>
  </si>
  <si>
    <t>B3.c</t>
  </si>
  <si>
    <t>B3.d</t>
  </si>
  <si>
    <t>B4.a</t>
  </si>
  <si>
    <t>B4.b</t>
  </si>
  <si>
    <t>B4.c</t>
  </si>
  <si>
    <t>B4.d</t>
  </si>
  <si>
    <t>B5.a</t>
  </si>
  <si>
    <t>B5.b</t>
  </si>
  <si>
    <t>B5.c</t>
  </si>
  <si>
    <t>B5.d</t>
  </si>
  <si>
    <t>B6.a</t>
  </si>
  <si>
    <t>B6.b</t>
  </si>
  <si>
    <t>C11.a</t>
  </si>
  <si>
    <t>C11.b</t>
  </si>
  <si>
    <t>C12.a</t>
  </si>
  <si>
    <t>C12.b</t>
  </si>
  <si>
    <t>C13.a</t>
  </si>
  <si>
    <t>C13.b</t>
  </si>
  <si>
    <t>C14.a</t>
  </si>
  <si>
    <t>C14.b</t>
  </si>
  <si>
    <t>C15.a</t>
  </si>
  <si>
    <t>C15.b</t>
  </si>
  <si>
    <t>C16.a</t>
  </si>
  <si>
    <t>C16.b</t>
  </si>
  <si>
    <t>C17.a</t>
  </si>
  <si>
    <t>C17.b</t>
  </si>
  <si>
    <t>C18.a</t>
  </si>
  <si>
    <t>C18.b</t>
  </si>
  <si>
    <t>C19.a</t>
  </si>
  <si>
    <t>C19.b</t>
  </si>
  <si>
    <t>C20.a</t>
  </si>
  <si>
    <t>C20.b</t>
  </si>
  <si>
    <t>C21.a</t>
  </si>
  <si>
    <t>C21.b</t>
  </si>
  <si>
    <t>C22.a</t>
  </si>
  <si>
    <t>C22.b</t>
  </si>
  <si>
    <t>C23.a</t>
  </si>
  <si>
    <t>C23.b</t>
  </si>
  <si>
    <t>D9.a</t>
  </si>
  <si>
    <t>D9.b</t>
  </si>
  <si>
    <t>D10.a</t>
  </si>
  <si>
    <t>D10.b</t>
  </si>
  <si>
    <t>D11.a</t>
  </si>
  <si>
    <t>D11.b</t>
  </si>
  <si>
    <t>D12.a</t>
  </si>
  <si>
    <t>D12.b</t>
  </si>
  <si>
    <t>D13.a</t>
  </si>
  <si>
    <t>D13.b</t>
  </si>
  <si>
    <t>D14.a</t>
  </si>
  <si>
    <t>D14.b</t>
  </si>
  <si>
    <t>D15.a</t>
  </si>
  <si>
    <t>D15.b</t>
  </si>
  <si>
    <t>E3.X</t>
  </si>
  <si>
    <t>E4.X</t>
  </si>
  <si>
    <t>A3</t>
  </si>
  <si>
    <t>D1</t>
  </si>
  <si>
    <t>C9</t>
  </si>
  <si>
    <t>D2</t>
  </si>
  <si>
    <t>D3</t>
  </si>
  <si>
    <t>D4</t>
  </si>
  <si>
    <t>D5</t>
  </si>
  <si>
    <t>D6</t>
  </si>
  <si>
    <t>D7</t>
  </si>
  <si>
    <t>E1</t>
  </si>
  <si>
    <t>E2</t>
  </si>
  <si>
    <t>E5</t>
  </si>
  <si>
    <t>F1</t>
  </si>
  <si>
    <t>F2</t>
  </si>
  <si>
    <t>C10</t>
  </si>
  <si>
    <t>Program Experiences Survey Invitation Postcard</t>
  </si>
  <si>
    <t>Type</t>
  </si>
  <si>
    <t>F4a</t>
  </si>
  <si>
    <t>F4b</t>
  </si>
  <si>
    <t>F3a</t>
  </si>
  <si>
    <t>F3b</t>
  </si>
  <si>
    <t>F5a</t>
  </si>
  <si>
    <t>F5b</t>
  </si>
  <si>
    <t>F6a</t>
  </si>
  <si>
    <t>F6b</t>
  </si>
  <si>
    <t>D8.a</t>
  </si>
  <si>
    <t>D8.b</t>
  </si>
  <si>
    <t>Deleted</t>
  </si>
  <si>
    <t>happening prior to OMB clearance and justified collecting preliminary info before OMB for pretest</t>
  </si>
  <si>
    <t>Certification Survey Debriefing Interview Guide-English</t>
  </si>
  <si>
    <t>Denied Applicant Survey Debriefing Interview Guide-English</t>
  </si>
  <si>
    <t>Program Experiences Survey Debriefing Interview Guide-English</t>
  </si>
  <si>
    <t>Former Participant Case Study Debriefing Interview Guide-English</t>
  </si>
  <si>
    <t>Certification Survey Debriefing Interview Guide-Spanish</t>
  </si>
  <si>
    <t>Denied Applicant Survey Debriefing Interview Guide-Spanish</t>
  </si>
  <si>
    <t>Program Experiences Survey Debriefing Interview Guide-Spanish</t>
  </si>
  <si>
    <t>Former Participant Case Study Debriefing Interview Guide-Spanish</t>
  </si>
  <si>
    <t>Appendix C3.</t>
  </si>
  <si>
    <t>Revised1</t>
  </si>
  <si>
    <t>Revised2</t>
  </si>
  <si>
    <t>D8</t>
  </si>
  <si>
    <t>D16.a</t>
  </si>
  <si>
    <t>D16.b</t>
  </si>
  <si>
    <t>F3.a</t>
  </si>
  <si>
    <t>F3.b</t>
  </si>
  <si>
    <t>F4.a</t>
  </si>
  <si>
    <t>F4.b</t>
  </si>
  <si>
    <t>F5.a</t>
  </si>
  <si>
    <t>F5.b</t>
  </si>
  <si>
    <t>F6.a</t>
  </si>
  <si>
    <t>F6.b</t>
  </si>
  <si>
    <t>D6.a</t>
  </si>
  <si>
    <t>D6.b</t>
  </si>
  <si>
    <t>D7.a</t>
  </si>
  <si>
    <t>D7.b</t>
  </si>
  <si>
    <t>Participant Consent Form-Denied Applicant Survey-English</t>
  </si>
  <si>
    <t>Participant Consent Form-Denied Applicant Survey-Spanish</t>
  </si>
  <si>
    <t xml:space="preserve">Appendix E4. Estimates of Respondent Burden </t>
  </si>
  <si>
    <t>B1.a, B1.b</t>
  </si>
  <si>
    <t>B2.a, B2.b</t>
  </si>
  <si>
    <t>Denied Applicant Log Request Email</t>
  </si>
  <si>
    <t>B7.a</t>
  </si>
  <si>
    <t>B7.b</t>
  </si>
  <si>
    <t>B7.c</t>
  </si>
  <si>
    <t>Note: Totals may not sum due to rounding.</t>
  </si>
  <si>
    <t>B8</t>
  </si>
  <si>
    <t>Email to State Agencies from Regional Offices</t>
  </si>
  <si>
    <t>C24</t>
  </si>
  <si>
    <t>State Agency Reminder Email, 1</t>
  </si>
  <si>
    <t>State Agency Reminder Email, 2</t>
  </si>
  <si>
    <t>State Agency Reminder Email, 3</t>
  </si>
  <si>
    <t>State Agency Reminder Email, 4</t>
  </si>
  <si>
    <t>State Agency Reminder Email, 5</t>
  </si>
  <si>
    <t>State Agency Reminder Email, 6</t>
  </si>
  <si>
    <t>State Agency Reminder Email, 7</t>
  </si>
  <si>
    <t>C25</t>
  </si>
  <si>
    <t>C26</t>
  </si>
  <si>
    <t>Total annual burden estimates (including participants and non-respondents)</t>
  </si>
  <si>
    <t>Estimated time per response (including participants and non-respondents)</t>
  </si>
  <si>
    <t>Estimated frequency of responses per respondent (including participants and non-respondents)</t>
  </si>
  <si>
    <t>State Agency Administrative Data Request-Web</t>
  </si>
  <si>
    <t>State Agency Reminder Telephone Script, Call 7</t>
  </si>
  <si>
    <r>
      <t>State Agency Survey Reminder Telephone Script, Call 1</t>
    </r>
    <r>
      <rPr>
        <vertAlign val="superscript"/>
        <sz val="9.5"/>
        <rFont val="Arial Narrow"/>
        <family val="2"/>
      </rPr>
      <t>a</t>
    </r>
  </si>
  <si>
    <r>
      <t>State Agency Survey Reminder Telephone Script, Call 2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</si>
  <si>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1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</si>
  <si>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2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</si>
  <si>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3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</si>
  <si>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4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</si>
  <si>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5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</si>
  <si>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6</t>
    </r>
    <r>
      <rPr>
        <vertAlign val="superscript"/>
        <sz val="9.5"/>
        <rFont val="Arial Narrow"/>
        <family val="2"/>
      </rPr>
      <t>a</t>
    </r>
  </si>
  <si>
    <r>
      <t>Certification Survey Invitation Telephone Script, Call 7</t>
    </r>
    <r>
      <rPr>
        <vertAlign val="superscript"/>
        <sz val="9.5"/>
        <rFont val="Arial Narrow"/>
        <family val="2"/>
      </rPr>
      <t>a</t>
    </r>
  </si>
  <si>
    <r>
      <t>Local Agency Survey Reminder Telephone Script, Call 1</t>
    </r>
    <r>
      <rPr>
        <vertAlign val="superscript"/>
        <sz val="9.5"/>
        <rFont val="Arial Narrow"/>
        <family val="2"/>
      </rPr>
      <t>a</t>
    </r>
  </si>
  <si>
    <r>
      <t>Local Agency Survey Reminder Telephone Script, Call 2</t>
    </r>
    <r>
      <rPr>
        <vertAlign val="superscript"/>
        <sz val="9.5"/>
        <rFont val="Arial Narrow"/>
        <family val="2"/>
      </rPr>
      <t>a</t>
    </r>
  </si>
  <si>
    <r>
      <t>Local Agency Survey Reminder Telephone Script, Call 3</t>
    </r>
    <r>
      <rPr>
        <vertAlign val="superscript"/>
        <sz val="9.5"/>
        <rFont val="Arial Narrow"/>
        <family val="2"/>
      </rPr>
      <t>a</t>
    </r>
  </si>
  <si>
    <r>
      <t>Local Agency Survey Reminder Telephone Script, Call 4</t>
    </r>
    <r>
      <rPr>
        <vertAlign val="superscript"/>
        <sz val="9.5"/>
        <rFont val="Arial Narrow"/>
        <family val="2"/>
      </rPr>
      <t>a</t>
    </r>
  </si>
  <si>
    <r>
      <t>Local Agency Survey Reminder Telephone Script, Call 5</t>
    </r>
    <r>
      <rPr>
        <vertAlign val="superscript"/>
        <sz val="9.5"/>
        <rFont val="Arial Narrow"/>
        <family val="2"/>
      </rPr>
      <t>a</t>
    </r>
  </si>
  <si>
    <r>
      <t>Local Agency Survey Reminder Telephone Script, Call 6</t>
    </r>
    <r>
      <rPr>
        <vertAlign val="superscript"/>
        <sz val="9.5"/>
        <rFont val="Arial Narrow"/>
        <family val="2"/>
      </rPr>
      <t>a</t>
    </r>
  </si>
  <si>
    <r>
      <t>State Agency Survey Reminder Telephone Script, Call 3</t>
    </r>
    <r>
      <rPr>
        <vertAlign val="superscript"/>
        <sz val="9.5"/>
        <rFont val="Arial Narrow"/>
        <family val="2"/>
      </rPr>
      <t>a</t>
    </r>
  </si>
  <si>
    <r>
      <t>State Agency Survey Reminder Telephone Script, Call 4</t>
    </r>
    <r>
      <rPr>
        <vertAlign val="superscript"/>
        <sz val="9.5"/>
        <rFont val="Arial Narrow"/>
        <family val="2"/>
      </rPr>
      <t>a</t>
    </r>
  </si>
  <si>
    <r>
      <t>State Agency Survey Reminder Telephone Script, Call 5</t>
    </r>
    <r>
      <rPr>
        <vertAlign val="superscript"/>
        <sz val="9.5"/>
        <rFont val="Arial Narrow"/>
        <family val="2"/>
      </rPr>
      <t>a</t>
    </r>
  </si>
  <si>
    <r>
      <t>State Agency Survey Reminder Telephone Script, Call 6</t>
    </r>
    <r>
      <rPr>
        <vertAlign val="superscript"/>
        <sz val="9.5"/>
        <rFont val="Arial Narrow"/>
        <family val="2"/>
      </rPr>
      <t>a</t>
    </r>
  </si>
  <si>
    <r>
      <t>State Agency Reminder Telephone Script, Call 1</t>
    </r>
    <r>
      <rPr>
        <vertAlign val="superscript"/>
        <sz val="9.5"/>
        <color rgb="FF000000"/>
        <rFont val="Arial Narrow"/>
        <family val="2"/>
      </rPr>
      <t>a</t>
    </r>
  </si>
  <si>
    <r>
      <t>State Agency Reminder Telephone Script, Call 2</t>
    </r>
    <r>
      <rPr>
        <vertAlign val="superscript"/>
        <sz val="9.5"/>
        <color rgb="FF000000"/>
        <rFont val="Arial Narrow"/>
        <family val="2"/>
      </rPr>
      <t>a</t>
    </r>
  </si>
  <si>
    <r>
      <t>State Agency Reminder Telephone Script, Call 3</t>
    </r>
    <r>
      <rPr>
        <vertAlign val="superscript"/>
        <sz val="9.5"/>
        <color rgb="FF000000"/>
        <rFont val="Arial Narrow"/>
        <family val="2"/>
      </rPr>
      <t>a</t>
    </r>
  </si>
  <si>
    <r>
      <t>State Agency Reminder Telephone Script, Call 4</t>
    </r>
    <r>
      <rPr>
        <vertAlign val="superscript"/>
        <sz val="9.5"/>
        <color rgb="FF000000"/>
        <rFont val="Arial Narrow"/>
        <family val="2"/>
      </rPr>
      <t>a</t>
    </r>
  </si>
  <si>
    <r>
      <t>State Agency Reminder Telephone Script, Call 5</t>
    </r>
    <r>
      <rPr>
        <vertAlign val="superscript"/>
        <sz val="9.5"/>
        <color rgb="FF000000"/>
        <rFont val="Arial Narrow"/>
        <family val="2"/>
      </rPr>
      <t>a</t>
    </r>
  </si>
  <si>
    <r>
      <t>State Agency Reminder Telephone Script, Call 6</t>
    </r>
    <r>
      <rPr>
        <vertAlign val="superscript"/>
        <sz val="9.5"/>
        <color rgb="FF000000"/>
        <rFont val="Arial Narrow"/>
        <family val="2"/>
      </rPr>
      <t>a</t>
    </r>
  </si>
  <si>
    <r>
      <t>Certification Survey-In Person</t>
    </r>
    <r>
      <rPr>
        <b/>
        <vertAlign val="superscript"/>
        <sz val="9.5"/>
        <color rgb="FF000000"/>
        <rFont val="Arial Narrow"/>
        <family val="2"/>
      </rPr>
      <t>c</t>
    </r>
  </si>
  <si>
    <r>
      <t>Telephone Reminder for Scheduled Certification Survey</t>
    </r>
    <r>
      <rPr>
        <vertAlign val="superscript"/>
        <sz val="9.5"/>
        <rFont val="Arial Narrow"/>
        <family val="2"/>
      </rPr>
      <t>a</t>
    </r>
  </si>
  <si>
    <r>
      <t>Certification End Date Verification Reminder Telephone Script, Call 1</t>
    </r>
    <r>
      <rPr>
        <vertAlign val="superscript"/>
        <sz val="9.5"/>
        <rFont val="Arial Narrow"/>
        <family val="2"/>
      </rPr>
      <t>a</t>
    </r>
  </si>
  <si>
    <r>
      <t>Certification End Date Verification Reminder Telephone Script, Call 2</t>
    </r>
    <r>
      <rPr>
        <vertAlign val="superscript"/>
        <sz val="9.5"/>
        <rFont val="Arial Narrow"/>
        <family val="2"/>
      </rPr>
      <t>a</t>
    </r>
  </si>
  <si>
    <r>
      <t>Local Agency Survey-Web</t>
    </r>
    <r>
      <rPr>
        <b/>
        <vertAlign val="superscript"/>
        <sz val="9.5"/>
        <color rgb="FF000000"/>
        <rFont val="Arial Narrow"/>
        <family val="2"/>
      </rPr>
      <t>b</t>
    </r>
  </si>
  <si>
    <r>
      <t>Study Description for State and Local WIC Agencies</t>
    </r>
    <r>
      <rPr>
        <vertAlign val="superscript"/>
        <sz val="9.5"/>
        <rFont val="Arial Narrow"/>
        <family val="2"/>
      </rPr>
      <t>c</t>
    </r>
  </si>
  <si>
    <r>
      <t>Certification Survey In-Person Invitation Script, Door Knock 1</t>
    </r>
    <r>
      <rPr>
        <vertAlign val="superscript"/>
        <sz val="9.5"/>
        <rFont val="Arial Narrow"/>
        <family val="2"/>
      </rPr>
      <t>e</t>
    </r>
  </si>
  <si>
    <r>
      <t>Text Message Reminder for Scheduled Certification Survey</t>
    </r>
    <r>
      <rPr>
        <vertAlign val="superscript"/>
        <sz val="9.5"/>
        <rFont val="Arial Narrow"/>
        <family val="2"/>
      </rPr>
      <t>f</t>
    </r>
  </si>
  <si>
    <r>
      <t>Certification Survey Information Letter from State Agencies</t>
    </r>
    <r>
      <rPr>
        <vertAlign val="superscript"/>
        <sz val="9.5"/>
        <rFont val="Arial Narrow"/>
        <family val="2"/>
      </rPr>
      <t>g</t>
    </r>
  </si>
  <si>
    <r>
      <t>Program Experiences Survey (after complete Certification Survey)-In Person</t>
    </r>
    <r>
      <rPr>
        <b/>
        <vertAlign val="superscript"/>
        <sz val="9.5"/>
        <rFont val="Arial Narrow"/>
        <family val="2"/>
      </rPr>
      <t>h</t>
    </r>
  </si>
  <si>
    <r>
      <t>Program Experiences Survey Invitation Telephone Script, Call 1</t>
    </r>
    <r>
      <rPr>
        <vertAlign val="superscript"/>
        <sz val="9.5"/>
        <rFont val="Arial Narrow"/>
        <family val="2"/>
      </rPr>
      <t>a</t>
    </r>
  </si>
  <si>
    <r>
      <t>Program Experiences Survey-Telephone</t>
    </r>
    <r>
      <rPr>
        <b/>
        <vertAlign val="superscript"/>
        <sz val="9.5"/>
        <color rgb="FF000000"/>
        <rFont val="Arial Narrow"/>
        <family val="2"/>
      </rPr>
      <t>a</t>
    </r>
  </si>
  <si>
    <r>
      <t>Program Experiences Survey Invitation Telephone Script, Call 2</t>
    </r>
    <r>
      <rPr>
        <vertAlign val="superscript"/>
        <sz val="9.5"/>
        <rFont val="Arial Narrow"/>
        <family val="2"/>
      </rPr>
      <t>a</t>
    </r>
  </si>
  <si>
    <r>
      <t>Program Experiences Survey Invitation Telephone Script, Call 3</t>
    </r>
    <r>
      <rPr>
        <vertAlign val="superscript"/>
        <sz val="9.5"/>
        <rFont val="Arial Narrow"/>
        <family val="2"/>
      </rPr>
      <t>a</t>
    </r>
  </si>
  <si>
    <r>
      <t>Program Experiences Survey Invitation Telephone Script, Call 4</t>
    </r>
    <r>
      <rPr>
        <vertAlign val="superscript"/>
        <sz val="9.5"/>
        <rFont val="Arial Narrow"/>
        <family val="2"/>
      </rPr>
      <t>a</t>
    </r>
  </si>
  <si>
    <r>
      <t>Program Experiences Survey Invitation Telephone Script, Call 5</t>
    </r>
    <r>
      <rPr>
        <vertAlign val="superscript"/>
        <sz val="9.5"/>
        <rFont val="Arial Narrow"/>
        <family val="2"/>
      </rPr>
      <t>a</t>
    </r>
  </si>
  <si>
    <r>
      <t>Program Experiences Survey Invitation Telephone Script, Call 6</t>
    </r>
    <r>
      <rPr>
        <vertAlign val="superscript"/>
        <sz val="9.5"/>
        <rFont val="Arial Narrow"/>
        <family val="2"/>
      </rPr>
      <t>a</t>
    </r>
  </si>
  <si>
    <r>
      <t>Program Experiences Survey Invitation Telephone Script, Call 7</t>
    </r>
    <r>
      <rPr>
        <vertAlign val="superscript"/>
        <sz val="9.5"/>
        <rFont val="Arial Narrow"/>
        <family val="2"/>
      </rPr>
      <t>a</t>
    </r>
  </si>
  <si>
    <r>
      <t>Program Experiences Survey-In Person</t>
    </r>
    <r>
      <rPr>
        <b/>
        <vertAlign val="superscript"/>
        <sz val="9.5"/>
        <color rgb="FF000000"/>
        <rFont val="Arial Narrow"/>
        <family val="2"/>
      </rPr>
      <t>d</t>
    </r>
  </si>
  <si>
    <r>
      <t>Denied Applicant Survey-In Person</t>
    </r>
    <r>
      <rPr>
        <b/>
        <vertAlign val="superscript"/>
        <sz val="9.5"/>
        <color rgb="FF000000"/>
        <rFont val="Arial Narrow"/>
        <family val="2"/>
      </rPr>
      <t>d</t>
    </r>
  </si>
  <si>
    <r>
      <t>Program Experiences Survey Invitation In-Person Script, Door Knock 1</t>
    </r>
    <r>
      <rPr>
        <vertAlign val="superscript"/>
        <sz val="9.5"/>
        <rFont val="Arial Narrow"/>
        <family val="2"/>
      </rPr>
      <t>e</t>
    </r>
  </si>
  <si>
    <r>
      <t>Denied Applicant Survey Invitation Telephone Script, Call 1</t>
    </r>
    <r>
      <rPr>
        <vertAlign val="superscript"/>
        <sz val="9.5"/>
        <rFont val="Arial Narrow"/>
        <family val="2"/>
      </rPr>
      <t>a</t>
    </r>
  </si>
  <si>
    <r>
      <t>Denied Applicant Survey Invitation Telephone Script, Call 2</t>
    </r>
    <r>
      <rPr>
        <vertAlign val="superscript"/>
        <sz val="9.5"/>
        <rFont val="Arial Narrow"/>
        <family val="2"/>
      </rPr>
      <t>a</t>
    </r>
  </si>
  <si>
    <r>
      <t>Denied Applicant Survey Invitation Telephone Script, Call 3</t>
    </r>
    <r>
      <rPr>
        <vertAlign val="superscript"/>
        <sz val="9.5"/>
        <rFont val="Arial Narrow"/>
        <family val="2"/>
      </rPr>
      <t>a</t>
    </r>
  </si>
  <si>
    <r>
      <t>Denied Applicant Survey Invitation Telephone Script, Call 4</t>
    </r>
    <r>
      <rPr>
        <vertAlign val="superscript"/>
        <sz val="9.5"/>
        <rFont val="Arial Narrow"/>
        <family val="2"/>
      </rPr>
      <t>a</t>
    </r>
  </si>
  <si>
    <r>
      <t>Denied Applicant Survey Invitation Telephone Script, Call 5</t>
    </r>
    <r>
      <rPr>
        <vertAlign val="superscript"/>
        <sz val="9.5"/>
        <rFont val="Arial Narrow"/>
        <family val="2"/>
      </rPr>
      <t>a</t>
    </r>
  </si>
  <si>
    <r>
      <t>Denied Applicant Survey Invitation Telephone Script, Call 6</t>
    </r>
    <r>
      <rPr>
        <vertAlign val="superscript"/>
        <sz val="9.5"/>
        <rFont val="Arial Narrow"/>
        <family val="2"/>
      </rPr>
      <t>a</t>
    </r>
  </si>
  <si>
    <r>
      <t>Denied Applicant Survey Invitation Telephone Script, Call 7</t>
    </r>
    <r>
      <rPr>
        <vertAlign val="superscript"/>
        <sz val="9.5"/>
        <rFont val="Arial Narrow"/>
        <family val="2"/>
      </rPr>
      <t>a</t>
    </r>
  </si>
  <si>
    <r>
      <t>Denied Applicant Survey In-Person Invitation, Door Knock 1</t>
    </r>
    <r>
      <rPr>
        <vertAlign val="superscript"/>
        <sz val="9.5"/>
        <color theme="1"/>
        <rFont val="Arial Narrow"/>
        <family val="2"/>
      </rPr>
      <t>e</t>
    </r>
  </si>
  <si>
    <r>
      <t>Denied Applicant Survey In-Person Invitation, Door Knock 2</t>
    </r>
    <r>
      <rPr>
        <vertAlign val="superscript"/>
        <sz val="9.5"/>
        <color theme="1"/>
        <rFont val="Arial Narrow"/>
        <family val="2"/>
      </rPr>
      <t>e</t>
    </r>
  </si>
  <si>
    <r>
      <t>Text Message Reminder for Scheduled Denied Applicant Survey</t>
    </r>
    <r>
      <rPr>
        <vertAlign val="superscript"/>
        <sz val="9.5"/>
        <rFont val="Arial Narrow"/>
        <family val="2"/>
      </rPr>
      <t>f</t>
    </r>
  </si>
  <si>
    <r>
      <t>Telephone Reminder for Scheduled Denied Applicant Survey</t>
    </r>
    <r>
      <rPr>
        <vertAlign val="superscript"/>
        <sz val="9.5"/>
        <rFont val="Arial Narrow"/>
        <family val="2"/>
      </rPr>
      <t>a</t>
    </r>
  </si>
  <si>
    <r>
      <t>Former WIC Participant Case Study Interview Guide-Telephone</t>
    </r>
    <r>
      <rPr>
        <b/>
        <vertAlign val="superscript"/>
        <sz val="9.5"/>
        <color theme="1"/>
        <rFont val="Arial Narrow"/>
        <family val="2"/>
      </rPr>
      <t>a</t>
    </r>
  </si>
  <si>
    <r>
      <t>Former WIC Participant Case Study Interview Invitation Telephone Script, Call 1</t>
    </r>
    <r>
      <rPr>
        <vertAlign val="superscript"/>
        <sz val="9.5"/>
        <color theme="1"/>
        <rFont val="Arial Narrow"/>
        <family val="2"/>
      </rPr>
      <t>a</t>
    </r>
  </si>
  <si>
    <r>
      <t>Former WIC Participant Case Study Interview Invitation Telephone Script, Call 2</t>
    </r>
    <r>
      <rPr>
        <vertAlign val="superscript"/>
        <sz val="9.5"/>
        <color theme="1"/>
        <rFont val="Arial Narrow"/>
        <family val="2"/>
      </rPr>
      <t>a</t>
    </r>
  </si>
  <si>
    <r>
      <t>Former WIC Participant Case Study Interview Invitation Telephone Script, Call 3</t>
    </r>
    <r>
      <rPr>
        <vertAlign val="superscript"/>
        <sz val="9.5"/>
        <color theme="1"/>
        <rFont val="Arial Narrow"/>
        <family val="2"/>
      </rPr>
      <t>a</t>
    </r>
  </si>
  <si>
    <r>
      <t>Former WIC Participant Case Study Interview Invitation Telephone Script, Call 4</t>
    </r>
    <r>
      <rPr>
        <vertAlign val="superscript"/>
        <sz val="9.5"/>
        <color theme="1"/>
        <rFont val="Arial Narrow"/>
        <family val="2"/>
      </rPr>
      <t>a</t>
    </r>
  </si>
  <si>
    <r>
      <t>Former WIC Participant Case Study Interview Invitation Telephone Script, Call 5</t>
    </r>
    <r>
      <rPr>
        <vertAlign val="superscript"/>
        <sz val="9.5"/>
        <color theme="1"/>
        <rFont val="Arial Narrow"/>
        <family val="2"/>
      </rPr>
      <t>a</t>
    </r>
  </si>
  <si>
    <r>
      <t>Certification Survey-In Person</t>
    </r>
    <r>
      <rPr>
        <b/>
        <vertAlign val="superscript"/>
        <sz val="9.5"/>
        <color theme="1"/>
        <rFont val="Arial Narrow"/>
        <family val="2"/>
      </rPr>
      <t>d</t>
    </r>
  </si>
  <si>
    <r>
      <t>Certification Survey Invitation Telephone Script, Call 1</t>
    </r>
    <r>
      <rPr>
        <vertAlign val="superscript"/>
        <sz val="9.5"/>
        <color theme="1"/>
        <rFont val="Arial Narrow"/>
        <family val="2"/>
      </rPr>
      <t>a</t>
    </r>
  </si>
  <si>
    <r>
      <t>Certification Survey Invitation Telephone Script, Call 2</t>
    </r>
    <r>
      <rPr>
        <vertAlign val="superscript"/>
        <sz val="9.5"/>
        <color theme="1"/>
        <rFont val="Arial Narrow"/>
        <family val="2"/>
      </rPr>
      <t>a</t>
    </r>
  </si>
  <si>
    <r>
      <t>Certification Survey Invitation Telephone Script, Call 3</t>
    </r>
    <r>
      <rPr>
        <vertAlign val="superscript"/>
        <sz val="9.5"/>
        <color theme="1"/>
        <rFont val="Arial Narrow"/>
        <family val="2"/>
      </rPr>
      <t>a</t>
    </r>
  </si>
  <si>
    <r>
      <t>Certification Survey Invitation Telephone Script, Call 4</t>
    </r>
    <r>
      <rPr>
        <vertAlign val="superscript"/>
        <sz val="9.5"/>
        <color theme="1"/>
        <rFont val="Arial Narrow"/>
        <family val="2"/>
      </rPr>
      <t>a</t>
    </r>
  </si>
  <si>
    <r>
      <t>Certification Survey Invitation Telephone Script, Call 5</t>
    </r>
    <r>
      <rPr>
        <vertAlign val="superscript"/>
        <sz val="9.5"/>
        <color theme="1"/>
        <rFont val="Arial Narrow"/>
        <family val="2"/>
      </rPr>
      <t>a</t>
    </r>
  </si>
  <si>
    <r>
      <t>Certification Survey Invitation Telephone Script, Call 6</t>
    </r>
    <r>
      <rPr>
        <vertAlign val="superscript"/>
        <sz val="9.5"/>
        <color theme="1"/>
        <rFont val="Arial Narrow"/>
        <family val="2"/>
      </rPr>
      <t>a</t>
    </r>
  </si>
  <si>
    <r>
      <t>Certification Survey Invitation Telephone Script, Call 7</t>
    </r>
    <r>
      <rPr>
        <vertAlign val="superscript"/>
        <sz val="9.5"/>
        <color theme="1"/>
        <rFont val="Arial Narrow"/>
        <family val="2"/>
      </rPr>
      <t>a</t>
    </r>
  </si>
  <si>
    <r>
      <t>Certification Survey In-Person Invitation Script, Door Knock 1</t>
    </r>
    <r>
      <rPr>
        <vertAlign val="superscript"/>
        <sz val="9.5"/>
        <color theme="1"/>
        <rFont val="Arial Narrow"/>
        <family val="2"/>
      </rPr>
      <t>e</t>
    </r>
  </si>
  <si>
    <r>
      <t>Text Message Reminder for Scheduled Certification Survey</t>
    </r>
    <r>
      <rPr>
        <vertAlign val="superscript"/>
        <sz val="9.5"/>
        <color theme="1"/>
        <rFont val="Arial Narrow"/>
        <family val="2"/>
      </rPr>
      <t>f</t>
    </r>
  </si>
  <si>
    <r>
      <t>Telephone Reminder for Scheduled Certification Survey</t>
    </r>
    <r>
      <rPr>
        <vertAlign val="superscript"/>
        <sz val="9.5"/>
        <color theme="1"/>
        <rFont val="Arial Narrow"/>
        <family val="2"/>
      </rPr>
      <t>a</t>
    </r>
  </si>
  <si>
    <r>
      <t>Certification Survey Information Letter from State Agencies</t>
    </r>
    <r>
      <rPr>
        <vertAlign val="superscript"/>
        <sz val="9.5"/>
        <color theme="1"/>
        <rFont val="Arial Narrow"/>
        <family val="2"/>
      </rPr>
      <t>g</t>
    </r>
  </si>
  <si>
    <r>
      <t>Denied Applicant Survey Information Letter from State Agencies</t>
    </r>
    <r>
      <rPr>
        <vertAlign val="superscript"/>
        <sz val="9.5"/>
        <color theme="1"/>
        <rFont val="Arial Narrow"/>
        <family val="2"/>
      </rPr>
      <t>g</t>
    </r>
  </si>
  <si>
    <t>Denied Applicants Log Request Reminder Email</t>
  </si>
  <si>
    <t>Denied Applicants Log Request Reminder Telephone Script</t>
  </si>
  <si>
    <t>B7.d</t>
  </si>
  <si>
    <r>
      <t>Program Experiences Survey Invitation Telephone Script, Call 8</t>
    </r>
    <r>
      <rPr>
        <vertAlign val="superscript"/>
        <sz val="9.5"/>
        <rFont val="Arial Narrow"/>
        <family val="2"/>
      </rPr>
      <t>a</t>
    </r>
  </si>
  <si>
    <t>Participant Information Brochure</t>
  </si>
  <si>
    <r>
      <rPr>
        <vertAlign val="superscript"/>
        <sz val="9.5"/>
        <color theme="1"/>
        <rFont val="Arial Narrow"/>
        <family val="2"/>
      </rPr>
      <t xml:space="preserve">a </t>
    </r>
    <r>
      <rPr>
        <sz val="9.5"/>
        <color theme="1"/>
        <rFont val="Arial Narrow"/>
        <family val="2"/>
      </rPr>
      <t xml:space="preserve">Non-response for telephone calls is assumed to equate to 0.02 burden hours to listen to a voicemail.
</t>
    </r>
    <r>
      <rPr>
        <vertAlign val="superscript"/>
        <sz val="9.5"/>
        <color theme="1"/>
        <rFont val="Arial Narrow"/>
        <family val="2"/>
      </rPr>
      <t>b</t>
    </r>
    <r>
      <rPr>
        <sz val="9.5"/>
        <color theme="1"/>
        <rFont val="Arial Narrow"/>
        <family val="2"/>
      </rPr>
      <t xml:space="preserve">The non-response to the Local Agency Survey is assumed to be 0.02 burden hours due to the respondents opening and starting the survey, but not completing it.  
</t>
    </r>
    <r>
      <rPr>
        <vertAlign val="superscript"/>
        <sz val="9.5"/>
        <color theme="1"/>
        <rFont val="Arial Narrow"/>
        <family val="2"/>
      </rPr>
      <t>c</t>
    </r>
    <r>
      <rPr>
        <sz val="9.5"/>
        <color theme="1"/>
        <rFont val="Arial Narrow"/>
        <family val="2"/>
      </rPr>
      <t xml:space="preserve">Non-response for the study description is assumed to be 0.02 burden hours due to the respondents reading some, but not all, of the document. 
</t>
    </r>
    <r>
      <rPr>
        <vertAlign val="superscript"/>
        <sz val="9.5"/>
        <color theme="1"/>
        <rFont val="Arial Narrow"/>
        <family val="2"/>
      </rPr>
      <t>d</t>
    </r>
    <r>
      <rPr>
        <sz val="9.5"/>
        <color theme="1"/>
        <rFont val="Arial Narrow"/>
        <family val="2"/>
      </rPr>
      <t xml:space="preserve">Non-response for the survey is assumed to be 0.00 burden hours due to the respondents not scheduling a time to complete the in-person survey.
</t>
    </r>
    <r>
      <rPr>
        <vertAlign val="superscript"/>
        <sz val="9.5"/>
        <color theme="1"/>
        <rFont val="Arial Narrow"/>
        <family val="2"/>
      </rPr>
      <t>e</t>
    </r>
    <r>
      <rPr>
        <sz val="9.5"/>
        <color theme="1"/>
        <rFont val="Arial Narrow"/>
        <family val="2"/>
      </rPr>
      <t xml:space="preserve">The non-response to the door knock is assumed to be 0.00 burden hours due to the respondents not answering the door. 
</t>
    </r>
    <r>
      <rPr>
        <vertAlign val="superscript"/>
        <sz val="9.5"/>
        <color theme="1"/>
        <rFont val="Arial Narrow"/>
        <family val="2"/>
      </rPr>
      <t>f</t>
    </r>
    <r>
      <rPr>
        <sz val="9.5"/>
        <color theme="1"/>
        <rFont val="Arial Narrow"/>
        <family val="2"/>
      </rPr>
      <t xml:space="preserve">The non-response to the text message reminder is assumed to be 0.02 burden hours due to the respondents reading some, but not all, of the message.  
</t>
    </r>
    <r>
      <rPr>
        <vertAlign val="superscript"/>
        <sz val="9.5"/>
        <color theme="1"/>
        <rFont val="Arial Narrow"/>
        <family val="2"/>
      </rPr>
      <t>g</t>
    </r>
    <r>
      <rPr>
        <sz val="9.5"/>
        <color theme="1"/>
        <rFont val="Arial Narrow"/>
        <family val="2"/>
      </rPr>
      <t xml:space="preserve">The non-response is assumed to be 0.02 burden hours due to the respondents reading some, but not all, of the document. 
</t>
    </r>
    <r>
      <rPr>
        <vertAlign val="superscript"/>
        <sz val="9.5"/>
        <color theme="1"/>
        <rFont val="Arial Narrow"/>
        <family val="2"/>
      </rPr>
      <t>h</t>
    </r>
    <r>
      <rPr>
        <sz val="9.5"/>
        <color theme="1"/>
        <rFont val="Arial Narrow"/>
        <family val="2"/>
      </rPr>
      <t xml:space="preserve">The non-response to Participant Experiences Survey – In Person is assumed to be 0.02 burden hours due to the respondents not agreeing to complete the survey after the Certification Survey. </t>
    </r>
  </si>
  <si>
    <t>Subtotal of State, Local, and Tribal Government (Year 1)</t>
  </si>
  <si>
    <t>Subtotal of Individuals or Households (Year 1)</t>
  </si>
  <si>
    <t>Year 1 Total</t>
  </si>
  <si>
    <t>Year 2 Data Collection</t>
  </si>
  <si>
    <t>Subtotal of State, Local, and Tribal Government (Year 2)</t>
  </si>
  <si>
    <t>Subtotal of Individuals or Households (Year 2)</t>
  </si>
  <si>
    <t>Year 2 Data Collection Total</t>
  </si>
  <si>
    <t>Year 3 Data Collection</t>
  </si>
  <si>
    <t>Subtotal of State, Local, and Tribal Government (Year 3)</t>
  </si>
  <si>
    <t>Subtotal of Individuals or Households (Year 3)</t>
  </si>
  <si>
    <t>Year 3 Data Collection Total</t>
  </si>
  <si>
    <t>Grand Total Reporting (Years 1-3)</t>
  </si>
  <si>
    <t>Year 1 Data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</si>
</sst>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1"/>
      <name val="Arial Narrow"/>
      <family val="2"/>
    </font>
    <font>
      <b/>
      <sz val="9.5"/>
      <color rgb="FF000000"/>
      <name val="Arial Narrow"/>
      <family val="2"/>
    </font>
    <font>
      <sz val="9.5"/>
      <color rgb="FF000000"/>
      <name val="Arial Narrow"/>
      <family val="2"/>
    </font>
    <font>
      <sz val="9.5"/>
      <color theme="1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u/>
      <sz val="11"/>
      <color theme="1"/>
      <name val="Arial Narrow"/>
      <family val="2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trike/>
      <sz val="11"/>
      <color theme="1"/>
      <name val="Arial Narrow"/>
      <family val="2"/>
    </font>
    <font>
      <b/>
      <sz val="11"/>
      <color theme="1"/>
      <name val="Arial Narrow"/>
      <family val="2"/>
    </font>
    <font>
      <vertAlign val="superscript"/>
      <sz val="9.5"/>
      <name val="Arial Narrow"/>
      <family val="2"/>
    </font>
    <font>
      <vertAlign val="superscript"/>
      <sz val="9.5"/>
      <color rgb="FF000000"/>
      <name val="Arial Narrow"/>
      <family val="2"/>
    </font>
    <font>
      <vertAlign val="superscript"/>
      <sz val="9.5"/>
      <color theme="1"/>
      <name val="Arial Narrow"/>
      <family val="2"/>
    </font>
    <font>
      <b/>
      <vertAlign val="superscript"/>
      <sz val="9.5"/>
      <color rgb="FF000000"/>
      <name val="Arial Narrow"/>
      <family val="2"/>
    </font>
    <font>
      <b/>
      <vertAlign val="superscript"/>
      <sz val="9.5"/>
      <name val="Arial Narrow"/>
      <family val="2"/>
    </font>
    <font>
      <b/>
      <vertAlign val="superscript"/>
      <sz val="9.5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43">
    <xf numFmtId="0" fontId="0" fillId="0" borderId="0"/>
    <xf numFmtId="0" fontId="1" fillId="3" borderId="2" applyNumberFormat="0" applyFont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12" applyNumberFormat="0" applyAlignment="0" applyProtection="0"/>
    <xf numFmtId="0" fontId="16" fillId="13" borderId="13" applyNumberFormat="0" applyAlignment="0" applyProtection="0"/>
    <xf numFmtId="0" fontId="17" fillId="13" borderId="12" applyNumberFormat="0" applyAlignment="0" applyProtection="0"/>
    <xf numFmtId="0" fontId="18" fillId="0" borderId="14" applyNumberFormat="0" applyFill="0" applyAlignment="0" applyProtection="0"/>
    <xf numFmtId="0" fontId="19" fillId="14" borderId="15" applyNumberFormat="0" applyAlignment="0" applyProtection="0"/>
    <xf numFmtId="0" fontId="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2" fillId="38" borderId="0" applyNumberFormat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2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4" fillId="7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" fontId="0" fillId="0" borderId="0" xfId="0" applyNumberFormat="1"/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" fontId="5" fillId="0" borderId="0" xfId="0" applyNumberFormat="1" applyFont="1"/>
    <xf numFmtId="1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/>
    <xf numFmtId="0" fontId="0" fillId="39" borderId="0" xfId="0" applyFill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1" fontId="4" fillId="7" borderId="5" xfId="0" applyNumberFormat="1" applyFont="1" applyFill="1" applyBorder="1" applyAlignment="1">
      <alignment horizontal="center" vertical="center" wrapText="1"/>
    </xf>
    <xf numFmtId="1" fontId="4" fillId="7" borderId="5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0" xfId="0"/>
    <xf numFmtId="2" fontId="6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/>
    <xf numFmtId="0" fontId="27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/>
    <xf numFmtId="0" fontId="28" fillId="0" borderId="0" xfId="0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0" fillId="39" borderId="0" xfId="0" applyFont="1" applyFill="1" applyAlignment="1">
      <alignment vertical="center"/>
    </xf>
    <xf numFmtId="0" fontId="30" fillId="39" borderId="0" xfId="0" applyFont="1" applyFill="1"/>
    <xf numFmtId="0" fontId="31" fillId="0" borderId="0" xfId="0" applyFont="1"/>
    <xf numFmtId="0" fontId="31" fillId="0" borderId="0" xfId="0" applyFont="1" applyFill="1"/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/>
    </xf>
    <xf numFmtId="0" fontId="4" fillId="7" borderId="26" xfId="0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 wrapText="1"/>
    </xf>
    <xf numFmtId="0" fontId="0" fillId="3" borderId="2" xfId="1" applyFont="1" applyBorder="1"/>
    <xf numFmtId="1" fontId="4" fillId="0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1" fontId="2" fillId="41" borderId="28" xfId="0" applyNumberFormat="1" applyFont="1" applyFill="1" applyBorder="1" applyAlignment="1">
      <alignment horizontal="center"/>
    </xf>
    <xf numFmtId="2" fontId="2" fillId="41" borderId="1" xfId="0" applyNumberFormat="1" applyFont="1" applyFill="1" applyBorder="1" applyAlignment="1">
      <alignment horizontal="center"/>
    </xf>
    <xf numFmtId="2" fontId="2" fillId="41" borderId="28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1" fillId="0" borderId="0" xfId="0" applyFont="1"/>
    <xf numFmtId="1" fontId="6" fillId="7" borderId="1" xfId="1" applyNumberFormat="1" applyFont="1" applyFill="1" applyBorder="1" applyAlignment="1">
      <alignment horizontal="center" vertical="center"/>
    </xf>
    <xf numFmtId="164" fontId="5" fillId="0" borderId="0" xfId="42" applyNumberFormat="1" applyFont="1"/>
    <xf numFmtId="0" fontId="5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2" fontId="5" fillId="7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/>
    </xf>
    <xf numFmtId="165" fontId="2" fillId="41" borderId="28" xfId="0" applyNumberFormat="1" applyFont="1" applyFill="1" applyBorder="1" applyAlignment="1">
      <alignment horizontal="center"/>
    </xf>
    <xf numFmtId="165" fontId="2" fillId="41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" fontId="0" fillId="0" borderId="0" xfId="0" applyNumberFormat="1"/>
    <xf numFmtId="0" fontId="6" fillId="6" borderId="1" xfId="0" applyFont="1" applyFill="1" applyBorder="1" applyAlignment="1">
      <alignment wrapText="1"/>
    </xf>
    <xf numFmtId="3" fontId="4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3" fillId="6" borderId="1" xfId="1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2" fillId="8" borderId="6" xfId="0" applyFont="1" applyFill="1" applyBorder="1" applyAlignment="1">
      <alignment horizontal="right" vertical="center" wrapText="1"/>
    </xf>
    <xf numFmtId="0" fontId="2" fillId="8" borderId="7" xfId="0" applyFont="1" applyFill="1" applyBorder="1" applyAlignment="1">
      <alignment horizontal="right" vertical="center" wrapText="1"/>
    </xf>
    <xf numFmtId="0" fontId="2" fillId="8" borderId="8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8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1" borderId="7" xfId="0" applyFont="1" applyFill="1" applyBorder="1" applyAlignment="1">
      <alignment horizontal="right" vertical="center" wrapText="1"/>
    </xf>
    <xf numFmtId="0" fontId="2" fillId="41" borderId="29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right" vertical="center"/>
    </xf>
    <xf numFmtId="0" fontId="6" fillId="6" borderId="7" xfId="0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8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right" vertical="center" wrapText="1"/>
    </xf>
    <xf numFmtId="0" fontId="6" fillId="6" borderId="22" xfId="0" applyFont="1" applyFill="1" applyBorder="1" applyAlignment="1">
      <alignment horizontal="right" vertical="center" wrapText="1"/>
    </xf>
    <xf numFmtId="0" fontId="6" fillId="6" borderId="20" xfId="0" applyFont="1" applyFill="1" applyBorder="1" applyAlignment="1">
      <alignment horizontal="right" vertical="center" wrapText="1"/>
    </xf>
    <xf numFmtId="0" fontId="6" fillId="6" borderId="0" xfId="0" applyFont="1" applyFill="1" applyBorder="1" applyAlignment="1">
      <alignment horizontal="right" vertical="center" wrapText="1"/>
    </xf>
    <xf numFmtId="0" fontId="6" fillId="6" borderId="27" xfId="0" applyFont="1" applyFill="1" applyBorder="1" applyAlignment="1">
      <alignment horizontal="right" vertical="center" wrapText="1"/>
    </xf>
    <xf numFmtId="0" fontId="6" fillId="6" borderId="26" xfId="0" applyFont="1" applyFill="1" applyBorder="1" applyAlignment="1">
      <alignment horizontal="right" vertical="center" wrapText="1"/>
    </xf>
    <xf numFmtId="0" fontId="5" fillId="6" borderId="21" xfId="0" applyFont="1" applyFill="1" applyBorder="1" applyAlignment="1">
      <alignment horizontal="right" vertical="center" wrapText="1"/>
    </xf>
    <xf numFmtId="0" fontId="5" fillId="6" borderId="22" xfId="0" applyFont="1" applyFill="1" applyBorder="1" applyAlignment="1">
      <alignment horizontal="right" vertical="center" wrapText="1"/>
    </xf>
    <xf numFmtId="0" fontId="5" fillId="6" borderId="27" xfId="0" applyFont="1" applyFill="1" applyBorder="1" applyAlignment="1">
      <alignment horizontal="right" vertical="center" wrapText="1"/>
    </xf>
    <xf numFmtId="0" fontId="5" fillId="6" borderId="26" xfId="0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right" vertical="center" wrapText="1"/>
    </xf>
    <xf numFmtId="0" fontId="6" fillId="6" borderId="7" xfId="0" applyFont="1" applyFill="1" applyBorder="1" applyAlignment="1">
      <alignment horizontal="right" vertical="center" wrapText="1"/>
    </xf>
    <xf numFmtId="0" fontId="2" fillId="8" borderId="33" xfId="0" applyFont="1" applyFill="1" applyBorder="1" applyAlignment="1">
      <alignment horizontal="right" vertical="center" wrapText="1"/>
    </xf>
    <xf numFmtId="0" fontId="2" fillId="8" borderId="34" xfId="0" applyFont="1" applyFill="1" applyBorder="1" applyAlignment="1">
      <alignment horizontal="right" vertical="center" wrapText="1"/>
    </xf>
    <xf numFmtId="0" fontId="2" fillId="8" borderId="35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righ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right" vertical="center" wrapText="1"/>
    </xf>
    <xf numFmtId="0" fontId="6" fillId="0" borderId="22" xfId="0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9" fillId="40" borderId="26" xfId="0" applyFont="1" applyFill="1" applyBorder="1" applyAlignment="1">
      <alignment horizontal="center"/>
    </xf>
    <xf numFmtId="0" fontId="22" fillId="40" borderId="26" xfId="0" applyFont="1" applyFill="1" applyBorder="1" applyAlignment="1">
      <alignment horizontal="center"/>
    </xf>
    <xf numFmtId="0" fontId="22" fillId="40" borderId="2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6" borderId="7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6" fillId="6" borderId="22" xfId="0" applyFont="1" applyFill="1" applyBorder="1" applyAlignment="1">
      <alignment horizontal="left" vertical="center"/>
    </xf>
    <xf numFmtId="0" fontId="6" fillId="6" borderId="2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0" fontId="6" fillId="6" borderId="25" xfId="0" applyFont="1" applyFill="1" applyBorder="1" applyAlignment="1">
      <alignment horizontal="left" vertical="center"/>
    </xf>
    <xf numFmtId="0" fontId="6" fillId="6" borderId="26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6" borderId="21" xfId="0" applyFont="1" applyFill="1" applyBorder="1" applyAlignment="1">
      <alignment horizontal="right" vertical="center"/>
    </xf>
    <xf numFmtId="0" fontId="5" fillId="6" borderId="22" xfId="0" applyFont="1" applyFill="1" applyBorder="1" applyAlignment="1">
      <alignment horizontal="right" vertical="center"/>
    </xf>
    <xf numFmtId="0" fontId="5" fillId="6" borderId="20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right" vertical="center"/>
    </xf>
    <xf numFmtId="0" fontId="5" fillId="6" borderId="27" xfId="0" applyFont="1" applyFill="1" applyBorder="1" applyAlignment="1">
      <alignment horizontal="right" vertical="center"/>
    </xf>
    <xf numFmtId="0" fontId="5" fillId="6" borderId="26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right" wrapText="1"/>
    </xf>
    <xf numFmtId="0" fontId="6" fillId="6" borderId="7" xfId="0" applyFont="1" applyFill="1" applyBorder="1" applyAlignment="1">
      <alignment horizontal="right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" builtinId="10" customBuiltin="1"/>
    <cellStyle name="Output" xfId="10" builtinId="21" customBuiltin="1"/>
    <cellStyle name="Title 2" xfId="41" xr:uid="{00000000-0005-0000-0000-000028000000}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909090"/>
      <color rgb="FFB2B2B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1"/>
  <sheetViews>
    <sheetView tabSelected="1" zoomScaleNormal="100" workbookViewId="0">
      <pane ySplit="3" topLeftCell="A170" activePane="bottomLeft" state="frozen"/>
      <selection pane="bottomLeft" activeCell="C2" sqref="C2:C3"/>
    </sheetView>
  </sheetViews>
  <sheetFormatPr defaultRowHeight="14.5" x14ac:dyDescent="0.35"/>
  <cols>
    <col min="1" max="1" width="13.81640625" customWidth="1"/>
    <col min="2" max="2" width="16.1796875" customWidth="1"/>
    <col min="3" max="3" width="76.1796875" customWidth="1"/>
    <col min="4" max="4" width="4.1796875" style="86" customWidth="1"/>
    <col min="5" max="6" width="4.81640625" style="86" customWidth="1"/>
    <col min="7" max="7" width="5.453125" customWidth="1"/>
    <col min="8" max="8" width="9.1796875" customWidth="1"/>
    <col min="9" max="9" width="15.54296875" customWidth="1"/>
    <col min="10" max="10" width="13.54296875" customWidth="1"/>
    <col min="11" max="11" width="12.453125" customWidth="1"/>
    <col min="12" max="12" width="14.81640625" customWidth="1"/>
    <col min="13" max="13" width="11.81640625" customWidth="1"/>
    <col min="14" max="14" width="16.1796875" customWidth="1"/>
    <col min="15" max="15" width="12.81640625" customWidth="1"/>
    <col min="16" max="16" width="14.1796875" customWidth="1"/>
    <col min="17" max="17" width="19.54296875" customWidth="1"/>
    <col min="18" max="18" width="19.1796875" customWidth="1"/>
    <col min="19" max="19" width="15.81640625" customWidth="1"/>
  </cols>
  <sheetData>
    <row r="1" spans="1:19" s="86" customFormat="1" ht="15" thickBot="1" x14ac:dyDescent="0.4">
      <c r="A1" s="128" t="s">
        <v>373</v>
      </c>
    </row>
    <row r="2" spans="1:19" ht="15" thickBot="1" x14ac:dyDescent="0.4">
      <c r="A2" s="243" t="s">
        <v>0</v>
      </c>
      <c r="B2" s="241" t="s">
        <v>23</v>
      </c>
      <c r="C2" s="244" t="s">
        <v>5</v>
      </c>
      <c r="D2" s="246" t="s">
        <v>258</v>
      </c>
      <c r="E2" s="247"/>
      <c r="F2" s="247"/>
      <c r="G2" s="248"/>
      <c r="H2" s="241" t="s">
        <v>6</v>
      </c>
      <c r="I2" s="245" t="s">
        <v>7</v>
      </c>
      <c r="J2" s="245"/>
      <c r="K2" s="245"/>
      <c r="L2" s="245"/>
      <c r="M2" s="245"/>
      <c r="N2" s="240" t="s">
        <v>8</v>
      </c>
      <c r="O2" s="240"/>
      <c r="P2" s="240"/>
      <c r="Q2" s="240"/>
      <c r="R2" s="240"/>
      <c r="S2" s="241" t="s">
        <v>9</v>
      </c>
    </row>
    <row r="3" spans="1:19" ht="98.5" customHeight="1" thickBot="1" x14ac:dyDescent="0.4">
      <c r="A3" s="243"/>
      <c r="B3" s="241"/>
      <c r="C3" s="244"/>
      <c r="D3" s="249"/>
      <c r="E3" s="250"/>
      <c r="F3" s="250"/>
      <c r="G3" s="251"/>
      <c r="H3" s="241"/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14</v>
      </c>
      <c r="S3" s="241"/>
    </row>
    <row r="4" spans="1:19" s="86" customFormat="1" ht="15" thickBot="1" x14ac:dyDescent="0.4">
      <c r="A4" s="252" t="s">
        <v>253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4"/>
    </row>
    <row r="5" spans="1:19" ht="15" thickBot="1" x14ac:dyDescent="0.4">
      <c r="A5" s="255" t="s">
        <v>492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7"/>
    </row>
    <row r="6" spans="1:19" ht="15" thickBot="1" x14ac:dyDescent="0.4">
      <c r="A6" s="242" t="s">
        <v>19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</row>
    <row r="7" spans="1:19" ht="15.75" customHeight="1" thickBot="1" x14ac:dyDescent="0.4">
      <c r="A7" s="150" t="s">
        <v>19</v>
      </c>
      <c r="B7" s="150" t="s">
        <v>24</v>
      </c>
      <c r="C7" s="42" t="s">
        <v>98</v>
      </c>
      <c r="D7" s="278" t="s">
        <v>374</v>
      </c>
      <c r="E7" s="279"/>
      <c r="F7" s="279"/>
      <c r="G7" s="280"/>
      <c r="H7" s="43">
        <f>51+34+5</f>
        <v>90</v>
      </c>
      <c r="I7" s="31">
        <v>90</v>
      </c>
      <c r="J7" s="31">
        <v>1</v>
      </c>
      <c r="K7" s="31">
        <f t="shared" ref="K7:K66" si="0">I7*J7</f>
        <v>90</v>
      </c>
      <c r="L7" s="32">
        <v>1.1000000000000001</v>
      </c>
      <c r="M7" s="32">
        <f>L7*K7</f>
        <v>99.000000000000014</v>
      </c>
      <c r="N7" s="41">
        <f t="shared" ref="N7:N45" si="1">H7-I7</f>
        <v>0</v>
      </c>
      <c r="O7" s="34">
        <v>0</v>
      </c>
      <c r="P7" s="41">
        <f t="shared" ref="P7:P59" si="2">N7*O7</f>
        <v>0</v>
      </c>
      <c r="Q7" s="32">
        <v>0</v>
      </c>
      <c r="R7" s="32">
        <f>Q7*P7</f>
        <v>0</v>
      </c>
      <c r="S7" s="32">
        <f t="shared" ref="S7:S66" si="3">R7+M7</f>
        <v>99.000000000000014</v>
      </c>
    </row>
    <row r="8" spans="1:19" ht="15" thickBot="1" x14ac:dyDescent="0.4">
      <c r="A8" s="151"/>
      <c r="B8" s="151"/>
      <c r="C8" s="24" t="s">
        <v>77</v>
      </c>
      <c r="D8" s="236" t="str">
        <f>Appendices!E26</f>
        <v>C2</v>
      </c>
      <c r="E8" s="237"/>
      <c r="F8" s="237"/>
      <c r="G8" s="238"/>
      <c r="H8" s="3">
        <f>51+34+5</f>
        <v>90</v>
      </c>
      <c r="I8" s="2">
        <v>90</v>
      </c>
      <c r="J8" s="2">
        <v>1</v>
      </c>
      <c r="K8" s="2">
        <f t="shared" si="0"/>
        <v>90</v>
      </c>
      <c r="L8" s="18">
        <v>1.6666666666666666E-2</v>
      </c>
      <c r="M8" s="32">
        <f t="shared" ref="M8:M66" si="4">L8*K8</f>
        <v>1.5</v>
      </c>
      <c r="N8" s="16">
        <f t="shared" si="1"/>
        <v>0</v>
      </c>
      <c r="O8" s="17">
        <v>0</v>
      </c>
      <c r="P8" s="16">
        <f t="shared" si="2"/>
        <v>0</v>
      </c>
      <c r="Q8" s="18">
        <v>0</v>
      </c>
      <c r="R8" s="32">
        <f t="shared" ref="R8:R66" si="5">Q8*P8</f>
        <v>0</v>
      </c>
      <c r="S8" s="14">
        <f t="shared" si="3"/>
        <v>1.5</v>
      </c>
    </row>
    <row r="9" spans="1:19" ht="15" thickBot="1" x14ac:dyDescent="0.4">
      <c r="A9" s="151"/>
      <c r="B9" s="151"/>
      <c r="C9" s="24" t="s">
        <v>32</v>
      </c>
      <c r="D9" s="236" t="str">
        <f>Appendices!E27</f>
        <v>C3</v>
      </c>
      <c r="E9" s="237"/>
      <c r="F9" s="237"/>
      <c r="G9" s="238"/>
      <c r="H9" s="3">
        <f>51+34+5</f>
        <v>90</v>
      </c>
      <c r="I9" s="13">
        <f>H9*(0.38)</f>
        <v>34.200000000000003</v>
      </c>
      <c r="J9" s="2">
        <v>1</v>
      </c>
      <c r="K9" s="13">
        <f t="shared" si="0"/>
        <v>34.200000000000003</v>
      </c>
      <c r="L9" s="18">
        <v>1.6666666666666666E-2</v>
      </c>
      <c r="M9" s="32">
        <f t="shared" si="4"/>
        <v>0.57000000000000006</v>
      </c>
      <c r="N9" s="25">
        <f t="shared" si="1"/>
        <v>55.8</v>
      </c>
      <c r="O9" s="17">
        <v>1</v>
      </c>
      <c r="P9" s="25">
        <f t="shared" si="2"/>
        <v>55.8</v>
      </c>
      <c r="Q9" s="17">
        <v>0.02</v>
      </c>
      <c r="R9" s="32">
        <f t="shared" si="5"/>
        <v>1.1159999999999999</v>
      </c>
      <c r="S9" s="14">
        <f t="shared" si="3"/>
        <v>1.6859999999999999</v>
      </c>
    </row>
    <row r="10" spans="1:19" ht="40.5" customHeight="1" thickBot="1" x14ac:dyDescent="0.4">
      <c r="A10" s="151"/>
      <c r="B10" s="151"/>
      <c r="C10" s="24" t="s">
        <v>33</v>
      </c>
      <c r="D10" s="236" t="str">
        <f>Appendices!E28</f>
        <v>C4</v>
      </c>
      <c r="E10" s="237"/>
      <c r="F10" s="237"/>
      <c r="G10" s="238"/>
      <c r="H10" s="3">
        <f>51+34+5</f>
        <v>90</v>
      </c>
      <c r="I10" s="13">
        <f>H10*0.62</f>
        <v>55.8</v>
      </c>
      <c r="J10" s="2">
        <v>1</v>
      </c>
      <c r="K10" s="13">
        <f t="shared" si="0"/>
        <v>55.8</v>
      </c>
      <c r="L10" s="2">
        <v>0.05</v>
      </c>
      <c r="M10" s="32">
        <f t="shared" si="4"/>
        <v>2.79</v>
      </c>
      <c r="N10" s="25">
        <f t="shared" si="1"/>
        <v>34.200000000000003</v>
      </c>
      <c r="O10" s="17">
        <v>1</v>
      </c>
      <c r="P10" s="25">
        <f t="shared" si="2"/>
        <v>34.200000000000003</v>
      </c>
      <c r="Q10" s="17">
        <v>0.02</v>
      </c>
      <c r="R10" s="32">
        <f t="shared" si="5"/>
        <v>0.68400000000000005</v>
      </c>
      <c r="S10" s="14">
        <f t="shared" si="3"/>
        <v>3.4740000000000002</v>
      </c>
    </row>
    <row r="11" spans="1:19" ht="15" thickBot="1" x14ac:dyDescent="0.4">
      <c r="A11" s="151"/>
      <c r="B11" s="151"/>
      <c r="C11" s="24" t="s">
        <v>45</v>
      </c>
      <c r="D11" s="156" t="str">
        <f>Appendices!E29</f>
        <v>C5</v>
      </c>
      <c r="E11" s="157"/>
      <c r="F11" s="157"/>
      <c r="G11" s="158"/>
      <c r="H11" s="26">
        <f>I9</f>
        <v>34.200000000000003</v>
      </c>
      <c r="I11" s="13">
        <f t="shared" ref="I11:I16" si="6">H11*0.38</f>
        <v>12.996</v>
      </c>
      <c r="J11" s="2">
        <v>1</v>
      </c>
      <c r="K11" s="13">
        <f t="shared" si="0"/>
        <v>12.996</v>
      </c>
      <c r="L11" s="18">
        <v>1.6666666666666666E-2</v>
      </c>
      <c r="M11" s="32">
        <f t="shared" si="4"/>
        <v>0.21660000000000001</v>
      </c>
      <c r="N11" s="25">
        <f t="shared" si="1"/>
        <v>21.204000000000001</v>
      </c>
      <c r="O11" s="17">
        <v>1</v>
      </c>
      <c r="P11" s="25">
        <f t="shared" si="2"/>
        <v>21.204000000000001</v>
      </c>
      <c r="Q11" s="17">
        <v>0.02</v>
      </c>
      <c r="R11" s="32">
        <f t="shared" si="5"/>
        <v>0.42408000000000001</v>
      </c>
      <c r="S11" s="14">
        <f t="shared" si="3"/>
        <v>0.64068000000000003</v>
      </c>
    </row>
    <row r="12" spans="1:19" ht="15" thickBot="1" x14ac:dyDescent="0.4">
      <c r="A12" s="151"/>
      <c r="B12" s="151"/>
      <c r="C12" s="24" t="s">
        <v>46</v>
      </c>
      <c r="D12" s="159"/>
      <c r="E12" s="160"/>
      <c r="F12" s="160"/>
      <c r="G12" s="161"/>
      <c r="H12" s="25">
        <f t="shared" ref="H12:H17" si="7">N11</f>
        <v>21.204000000000001</v>
      </c>
      <c r="I12" s="13">
        <f t="shared" si="6"/>
        <v>8.0575200000000002</v>
      </c>
      <c r="J12" s="2">
        <v>1</v>
      </c>
      <c r="K12" s="13">
        <f t="shared" si="0"/>
        <v>8.0575200000000002</v>
      </c>
      <c r="L12" s="18">
        <v>1.6666666666666666E-2</v>
      </c>
      <c r="M12" s="32">
        <f t="shared" si="4"/>
        <v>0.13429199999999999</v>
      </c>
      <c r="N12" s="25">
        <f t="shared" si="1"/>
        <v>13.14648</v>
      </c>
      <c r="O12" s="17">
        <v>1</v>
      </c>
      <c r="P12" s="25">
        <f t="shared" si="2"/>
        <v>13.14648</v>
      </c>
      <c r="Q12" s="17">
        <v>0.02</v>
      </c>
      <c r="R12" s="32">
        <f t="shared" si="5"/>
        <v>0.26292959999999999</v>
      </c>
      <c r="S12" s="14">
        <f t="shared" si="3"/>
        <v>0.39722159999999995</v>
      </c>
    </row>
    <row r="13" spans="1:19" ht="15" thickBot="1" x14ac:dyDescent="0.4">
      <c r="A13" s="151"/>
      <c r="B13" s="151"/>
      <c r="C13" s="24" t="s">
        <v>47</v>
      </c>
      <c r="D13" s="159"/>
      <c r="E13" s="160"/>
      <c r="F13" s="160"/>
      <c r="G13" s="161"/>
      <c r="H13" s="25">
        <f t="shared" si="7"/>
        <v>13.14648</v>
      </c>
      <c r="I13" s="13">
        <f t="shared" si="6"/>
        <v>4.9956624000000005</v>
      </c>
      <c r="J13" s="2">
        <v>1</v>
      </c>
      <c r="K13" s="13">
        <f t="shared" si="0"/>
        <v>4.9956624000000005</v>
      </c>
      <c r="L13" s="18">
        <v>1.6666666666666666E-2</v>
      </c>
      <c r="M13" s="32">
        <f t="shared" si="4"/>
        <v>8.3261040000000008E-2</v>
      </c>
      <c r="N13" s="25">
        <f t="shared" si="1"/>
        <v>8.1508175999999999</v>
      </c>
      <c r="O13" s="17">
        <v>1</v>
      </c>
      <c r="P13" s="25">
        <f t="shared" si="2"/>
        <v>8.1508175999999999</v>
      </c>
      <c r="Q13" s="17">
        <v>0.02</v>
      </c>
      <c r="R13" s="32">
        <f t="shared" si="5"/>
        <v>0.163016352</v>
      </c>
      <c r="S13" s="14">
        <f t="shared" si="3"/>
        <v>0.24627739200000001</v>
      </c>
    </row>
    <row r="14" spans="1:19" ht="15" thickBot="1" x14ac:dyDescent="0.4">
      <c r="A14" s="151"/>
      <c r="B14" s="151"/>
      <c r="C14" s="24" t="s">
        <v>48</v>
      </c>
      <c r="D14" s="159"/>
      <c r="E14" s="160"/>
      <c r="F14" s="160"/>
      <c r="G14" s="161"/>
      <c r="H14" s="25">
        <f t="shared" si="7"/>
        <v>8.1508175999999999</v>
      </c>
      <c r="I14" s="13">
        <f t="shared" si="6"/>
        <v>3.0973106879999999</v>
      </c>
      <c r="J14" s="2">
        <v>1</v>
      </c>
      <c r="K14" s="13">
        <f t="shared" si="0"/>
        <v>3.0973106879999999</v>
      </c>
      <c r="L14" s="18">
        <v>1.6666666666666666E-2</v>
      </c>
      <c r="M14" s="32">
        <f t="shared" si="4"/>
        <v>5.1621844799999997E-2</v>
      </c>
      <c r="N14" s="25">
        <f t="shared" si="1"/>
        <v>5.0535069119999996</v>
      </c>
      <c r="O14" s="17">
        <v>1</v>
      </c>
      <c r="P14" s="25">
        <f t="shared" si="2"/>
        <v>5.0535069119999996</v>
      </c>
      <c r="Q14" s="17">
        <v>0.02</v>
      </c>
      <c r="R14" s="32">
        <f t="shared" si="5"/>
        <v>0.10107013824</v>
      </c>
      <c r="S14" s="14">
        <f t="shared" si="3"/>
        <v>0.15269198303999998</v>
      </c>
    </row>
    <row r="15" spans="1:19" ht="15" thickBot="1" x14ac:dyDescent="0.4">
      <c r="A15" s="151"/>
      <c r="B15" s="151"/>
      <c r="C15" s="24" t="s">
        <v>49</v>
      </c>
      <c r="D15" s="159"/>
      <c r="E15" s="160"/>
      <c r="F15" s="160"/>
      <c r="G15" s="161"/>
      <c r="H15" s="25">
        <f t="shared" si="7"/>
        <v>5.0535069119999996</v>
      </c>
      <c r="I15" s="13">
        <f t="shared" si="6"/>
        <v>1.9203326265599998</v>
      </c>
      <c r="J15" s="2">
        <v>1</v>
      </c>
      <c r="K15" s="13">
        <f t="shared" si="0"/>
        <v>1.9203326265599998</v>
      </c>
      <c r="L15" s="18">
        <v>1.6666666666666666E-2</v>
      </c>
      <c r="M15" s="32">
        <f t="shared" si="4"/>
        <v>3.2005543775999998E-2</v>
      </c>
      <c r="N15" s="25">
        <f t="shared" si="1"/>
        <v>3.13317428544</v>
      </c>
      <c r="O15" s="17">
        <v>1</v>
      </c>
      <c r="P15" s="25">
        <f t="shared" si="2"/>
        <v>3.13317428544</v>
      </c>
      <c r="Q15" s="17">
        <v>0.02</v>
      </c>
      <c r="R15" s="32">
        <f t="shared" si="5"/>
        <v>6.2663485708799996E-2</v>
      </c>
      <c r="S15" s="14">
        <f t="shared" si="3"/>
        <v>9.4669029484799994E-2</v>
      </c>
    </row>
    <row r="16" spans="1:19" ht="15" thickBot="1" x14ac:dyDescent="0.4">
      <c r="A16" s="151"/>
      <c r="B16" s="151"/>
      <c r="C16" s="24" t="s">
        <v>50</v>
      </c>
      <c r="D16" s="159"/>
      <c r="E16" s="160"/>
      <c r="F16" s="160"/>
      <c r="G16" s="161"/>
      <c r="H16" s="25">
        <f t="shared" si="7"/>
        <v>3.13317428544</v>
      </c>
      <c r="I16" s="13">
        <f t="shared" si="6"/>
        <v>1.1906062284672001</v>
      </c>
      <c r="J16" s="2">
        <v>1</v>
      </c>
      <c r="K16" s="13">
        <f t="shared" si="0"/>
        <v>1.1906062284672001</v>
      </c>
      <c r="L16" s="18">
        <v>1.6666666666666666E-2</v>
      </c>
      <c r="M16" s="32">
        <f t="shared" si="4"/>
        <v>1.9843437141120003E-2</v>
      </c>
      <c r="N16" s="25">
        <f t="shared" si="1"/>
        <v>1.9425680569727999</v>
      </c>
      <c r="O16" s="17">
        <v>1</v>
      </c>
      <c r="P16" s="25">
        <f t="shared" si="2"/>
        <v>1.9425680569727999</v>
      </c>
      <c r="Q16" s="17">
        <v>0.02</v>
      </c>
      <c r="R16" s="32">
        <f t="shared" si="5"/>
        <v>3.8851361139455996E-2</v>
      </c>
      <c r="S16" s="14">
        <f t="shared" si="3"/>
        <v>5.8694798280575999E-2</v>
      </c>
    </row>
    <row r="17" spans="1:19" ht="15" thickBot="1" x14ac:dyDescent="0.4">
      <c r="A17" s="151"/>
      <c r="B17" s="151"/>
      <c r="C17" s="24" t="s">
        <v>51</v>
      </c>
      <c r="D17" s="162"/>
      <c r="E17" s="163"/>
      <c r="F17" s="163"/>
      <c r="G17" s="164"/>
      <c r="H17" s="25">
        <f t="shared" si="7"/>
        <v>1.9425680569727999</v>
      </c>
      <c r="I17" s="13">
        <f>H17</f>
        <v>1.9425680569727999</v>
      </c>
      <c r="J17" s="2">
        <v>1</v>
      </c>
      <c r="K17" s="13">
        <f t="shared" si="0"/>
        <v>1.9425680569727999</v>
      </c>
      <c r="L17" s="18">
        <v>1.6666666666666666E-2</v>
      </c>
      <c r="M17" s="32">
        <f t="shared" si="4"/>
        <v>3.2376134282879998E-2</v>
      </c>
      <c r="N17" s="25">
        <f t="shared" si="1"/>
        <v>0</v>
      </c>
      <c r="O17" s="17">
        <v>0</v>
      </c>
      <c r="P17" s="25">
        <f t="shared" si="2"/>
        <v>0</v>
      </c>
      <c r="Q17" s="18">
        <v>0</v>
      </c>
      <c r="R17" s="32">
        <f t="shared" si="5"/>
        <v>0</v>
      </c>
      <c r="S17" s="14">
        <f t="shared" si="3"/>
        <v>3.2376134282879998E-2</v>
      </c>
    </row>
    <row r="18" spans="1:19" ht="39.75" customHeight="1" thickBot="1" x14ac:dyDescent="0.4">
      <c r="A18" s="151"/>
      <c r="B18" s="151"/>
      <c r="C18" s="24" t="s">
        <v>398</v>
      </c>
      <c r="D18" s="156" t="str">
        <f>Appendices!E30</f>
        <v>C6</v>
      </c>
      <c r="E18" s="157"/>
      <c r="F18" s="157"/>
      <c r="G18" s="158"/>
      <c r="H18" s="26">
        <f>N9</f>
        <v>55.8</v>
      </c>
      <c r="I18" s="13">
        <f t="shared" ref="I18:I23" si="8">H18*0.45</f>
        <v>25.11</v>
      </c>
      <c r="J18" s="2">
        <v>1</v>
      </c>
      <c r="K18" s="13">
        <f t="shared" si="0"/>
        <v>25.11</v>
      </c>
      <c r="L18" s="18">
        <v>0.05</v>
      </c>
      <c r="M18" s="32">
        <f t="shared" si="4"/>
        <v>1.2555000000000001</v>
      </c>
      <c r="N18" s="25">
        <f t="shared" si="1"/>
        <v>30.689999999999998</v>
      </c>
      <c r="O18" s="17">
        <v>1</v>
      </c>
      <c r="P18" s="25">
        <f t="shared" si="2"/>
        <v>30.689999999999998</v>
      </c>
      <c r="Q18" s="17">
        <v>0.02</v>
      </c>
      <c r="R18" s="32">
        <f t="shared" si="5"/>
        <v>0.61380000000000001</v>
      </c>
      <c r="S18" s="14">
        <f t="shared" si="3"/>
        <v>1.8693</v>
      </c>
    </row>
    <row r="19" spans="1:19" ht="42.75" customHeight="1" thickBot="1" x14ac:dyDescent="0.4">
      <c r="A19" s="151"/>
      <c r="B19" s="151"/>
      <c r="C19" s="24" t="s">
        <v>399</v>
      </c>
      <c r="D19" s="159"/>
      <c r="E19" s="160"/>
      <c r="F19" s="160"/>
      <c r="G19" s="161"/>
      <c r="H19" s="26">
        <f t="shared" ref="H19:H24" si="9">N18</f>
        <v>30.689999999999998</v>
      </c>
      <c r="I19" s="13">
        <f t="shared" si="8"/>
        <v>13.810499999999999</v>
      </c>
      <c r="J19" s="2">
        <v>1</v>
      </c>
      <c r="K19" s="13">
        <f t="shared" si="0"/>
        <v>13.810499999999999</v>
      </c>
      <c r="L19" s="18">
        <v>0.05</v>
      </c>
      <c r="M19" s="32">
        <f t="shared" si="4"/>
        <v>0.69052500000000006</v>
      </c>
      <c r="N19" s="25">
        <f t="shared" si="1"/>
        <v>16.8795</v>
      </c>
      <c r="O19" s="17">
        <v>1</v>
      </c>
      <c r="P19" s="25">
        <f t="shared" si="2"/>
        <v>16.8795</v>
      </c>
      <c r="Q19" s="18">
        <v>0.02</v>
      </c>
      <c r="R19" s="32">
        <f t="shared" si="5"/>
        <v>0.33759</v>
      </c>
      <c r="S19" s="14">
        <f t="shared" si="3"/>
        <v>1.0281150000000001</v>
      </c>
    </row>
    <row r="20" spans="1:19" ht="37.5" customHeight="1" thickBot="1" x14ac:dyDescent="0.4">
      <c r="A20" s="151"/>
      <c r="B20" s="151"/>
      <c r="C20" s="24" t="s">
        <v>413</v>
      </c>
      <c r="D20" s="159"/>
      <c r="E20" s="160"/>
      <c r="F20" s="160"/>
      <c r="G20" s="161"/>
      <c r="H20" s="26">
        <f t="shared" si="9"/>
        <v>16.8795</v>
      </c>
      <c r="I20" s="13">
        <f t="shared" si="8"/>
        <v>7.5957750000000006</v>
      </c>
      <c r="J20" s="2">
        <v>1</v>
      </c>
      <c r="K20" s="13">
        <f t="shared" si="0"/>
        <v>7.5957750000000006</v>
      </c>
      <c r="L20" s="18">
        <v>0.05</v>
      </c>
      <c r="M20" s="32">
        <f t="shared" si="4"/>
        <v>0.37978875000000006</v>
      </c>
      <c r="N20" s="25">
        <f t="shared" si="1"/>
        <v>9.2837250000000004</v>
      </c>
      <c r="O20" s="17">
        <v>1</v>
      </c>
      <c r="P20" s="25">
        <f t="shared" si="2"/>
        <v>9.2837250000000004</v>
      </c>
      <c r="Q20" s="18">
        <v>0.02</v>
      </c>
      <c r="R20" s="32">
        <f t="shared" si="5"/>
        <v>0.18567450000000002</v>
      </c>
      <c r="S20" s="14">
        <f t="shared" si="3"/>
        <v>0.56546325000000008</v>
      </c>
    </row>
    <row r="21" spans="1:19" ht="30.75" customHeight="1" thickBot="1" x14ac:dyDescent="0.4">
      <c r="A21" s="151"/>
      <c r="B21" s="151"/>
      <c r="C21" s="51" t="s">
        <v>414</v>
      </c>
      <c r="D21" s="159"/>
      <c r="E21" s="160"/>
      <c r="F21" s="160"/>
      <c r="G21" s="161"/>
      <c r="H21" s="26">
        <f t="shared" si="9"/>
        <v>9.2837250000000004</v>
      </c>
      <c r="I21" s="13">
        <f t="shared" si="8"/>
        <v>4.1776762500000002</v>
      </c>
      <c r="J21" s="2">
        <v>1</v>
      </c>
      <c r="K21" s="13">
        <f t="shared" si="0"/>
        <v>4.1776762500000002</v>
      </c>
      <c r="L21" s="18">
        <v>0.05</v>
      </c>
      <c r="M21" s="32">
        <f t="shared" si="4"/>
        <v>0.20888381250000002</v>
      </c>
      <c r="N21" s="25">
        <f t="shared" si="1"/>
        <v>5.1060487500000002</v>
      </c>
      <c r="O21" s="17">
        <v>1</v>
      </c>
      <c r="P21" s="25">
        <f t="shared" si="2"/>
        <v>5.1060487500000002</v>
      </c>
      <c r="Q21" s="17">
        <v>0.02</v>
      </c>
      <c r="R21" s="32">
        <f t="shared" si="5"/>
        <v>0.102120975</v>
      </c>
      <c r="S21" s="14">
        <f t="shared" si="3"/>
        <v>0.31100478750000005</v>
      </c>
    </row>
    <row r="22" spans="1:19" ht="30" customHeight="1" thickBot="1" x14ac:dyDescent="0.4">
      <c r="A22" s="151"/>
      <c r="B22" s="151"/>
      <c r="C22" s="51" t="s">
        <v>415</v>
      </c>
      <c r="D22" s="159"/>
      <c r="E22" s="160"/>
      <c r="F22" s="160"/>
      <c r="G22" s="161"/>
      <c r="H22" s="26">
        <f t="shared" si="9"/>
        <v>5.1060487500000002</v>
      </c>
      <c r="I22" s="13">
        <f t="shared" si="8"/>
        <v>2.2977219375</v>
      </c>
      <c r="J22" s="2">
        <v>1</v>
      </c>
      <c r="K22" s="13">
        <f t="shared" si="0"/>
        <v>2.2977219375</v>
      </c>
      <c r="L22" s="18">
        <v>0.05</v>
      </c>
      <c r="M22" s="32">
        <f t="shared" si="4"/>
        <v>0.11488609687500001</v>
      </c>
      <c r="N22" s="25">
        <f t="shared" si="1"/>
        <v>2.8083268125000003</v>
      </c>
      <c r="O22" s="17">
        <v>1</v>
      </c>
      <c r="P22" s="25">
        <f t="shared" si="2"/>
        <v>2.8083268125000003</v>
      </c>
      <c r="Q22" s="18">
        <v>0.02</v>
      </c>
      <c r="R22" s="32">
        <f t="shared" si="5"/>
        <v>5.616653625000001E-2</v>
      </c>
      <c r="S22" s="14">
        <f t="shared" si="3"/>
        <v>0.17105263312500002</v>
      </c>
    </row>
    <row r="23" spans="1:19" ht="36.75" customHeight="1" thickBot="1" x14ac:dyDescent="0.4">
      <c r="A23" s="151"/>
      <c r="B23" s="151"/>
      <c r="C23" s="51" t="s">
        <v>416</v>
      </c>
      <c r="D23" s="159"/>
      <c r="E23" s="160"/>
      <c r="F23" s="160"/>
      <c r="G23" s="161"/>
      <c r="H23" s="26">
        <f t="shared" si="9"/>
        <v>2.8083268125000003</v>
      </c>
      <c r="I23" s="13">
        <f t="shared" si="8"/>
        <v>1.2637470656250001</v>
      </c>
      <c r="J23" s="2">
        <v>1</v>
      </c>
      <c r="K23" s="13">
        <f t="shared" si="0"/>
        <v>1.2637470656250001</v>
      </c>
      <c r="L23" s="18">
        <v>0.05</v>
      </c>
      <c r="M23" s="32">
        <f t="shared" si="4"/>
        <v>6.3187353281250011E-2</v>
      </c>
      <c r="N23" s="25">
        <f t="shared" si="1"/>
        <v>1.5445797468750002</v>
      </c>
      <c r="O23" s="17">
        <v>1</v>
      </c>
      <c r="P23" s="25">
        <f t="shared" si="2"/>
        <v>1.5445797468750002</v>
      </c>
      <c r="Q23" s="18">
        <v>0.02</v>
      </c>
      <c r="R23" s="32">
        <f t="shared" si="5"/>
        <v>3.0891594937500006E-2</v>
      </c>
      <c r="S23" s="14">
        <f t="shared" si="3"/>
        <v>9.4078948218750014E-2</v>
      </c>
    </row>
    <row r="24" spans="1:19" ht="31.5" customHeight="1" thickBot="1" x14ac:dyDescent="0.4">
      <c r="A24" s="151"/>
      <c r="B24" s="151"/>
      <c r="C24" s="51" t="s">
        <v>80</v>
      </c>
      <c r="D24" s="162"/>
      <c r="E24" s="163"/>
      <c r="F24" s="163"/>
      <c r="G24" s="164"/>
      <c r="H24" s="26">
        <f t="shared" si="9"/>
        <v>1.5445797468750002</v>
      </c>
      <c r="I24" s="13">
        <f>H24</f>
        <v>1.5445797468750002</v>
      </c>
      <c r="J24" s="2">
        <v>1</v>
      </c>
      <c r="K24" s="13">
        <f t="shared" si="0"/>
        <v>1.5445797468750002</v>
      </c>
      <c r="L24" s="18">
        <v>0.05</v>
      </c>
      <c r="M24" s="32">
        <f t="shared" si="4"/>
        <v>7.7228987343750014E-2</v>
      </c>
      <c r="N24" s="25">
        <f t="shared" si="1"/>
        <v>0</v>
      </c>
      <c r="O24" s="17">
        <v>0</v>
      </c>
      <c r="P24" s="25">
        <f t="shared" si="2"/>
        <v>0</v>
      </c>
      <c r="Q24" s="18">
        <v>0</v>
      </c>
      <c r="R24" s="32">
        <f t="shared" si="5"/>
        <v>0</v>
      </c>
      <c r="S24" s="14">
        <f t="shared" si="3"/>
        <v>7.7228987343750014E-2</v>
      </c>
    </row>
    <row r="25" spans="1:19" ht="15" thickBot="1" x14ac:dyDescent="0.4">
      <c r="A25" s="151"/>
      <c r="B25" s="151"/>
      <c r="C25" s="51" t="s">
        <v>38</v>
      </c>
      <c r="D25" s="236" t="str">
        <f>Appendices!E62</f>
        <v>D1</v>
      </c>
      <c r="E25" s="237"/>
      <c r="F25" s="237"/>
      <c r="G25" s="238"/>
      <c r="H25" s="3">
        <f>51+34+5</f>
        <v>90</v>
      </c>
      <c r="I25" s="2">
        <v>90</v>
      </c>
      <c r="J25" s="2">
        <v>1</v>
      </c>
      <c r="K25" s="2">
        <f t="shared" si="0"/>
        <v>90</v>
      </c>
      <c r="L25" s="18">
        <v>0.05</v>
      </c>
      <c r="M25" s="32">
        <f t="shared" si="4"/>
        <v>4.5</v>
      </c>
      <c r="N25" s="16">
        <f t="shared" si="1"/>
        <v>0</v>
      </c>
      <c r="O25" s="17">
        <v>0</v>
      </c>
      <c r="P25" s="25">
        <f t="shared" si="2"/>
        <v>0</v>
      </c>
      <c r="Q25" s="18">
        <v>0</v>
      </c>
      <c r="R25" s="32">
        <f t="shared" si="5"/>
        <v>0</v>
      </c>
      <c r="S25" s="14">
        <f t="shared" si="3"/>
        <v>4.5</v>
      </c>
    </row>
    <row r="26" spans="1:19" ht="15" thickBot="1" x14ac:dyDescent="0.4">
      <c r="A26" s="151"/>
      <c r="B26" s="151"/>
      <c r="C26" s="68" t="s">
        <v>34</v>
      </c>
      <c r="D26" s="236" t="str">
        <f>Appendices!E66</f>
        <v>D2</v>
      </c>
      <c r="E26" s="237"/>
      <c r="F26" s="237"/>
      <c r="G26" s="238"/>
      <c r="H26" s="3">
        <f>51+34+5</f>
        <v>90</v>
      </c>
      <c r="I26" s="2">
        <v>90</v>
      </c>
      <c r="J26" s="2">
        <v>1</v>
      </c>
      <c r="K26" s="13">
        <f t="shared" si="0"/>
        <v>90</v>
      </c>
      <c r="L26" s="18">
        <v>1.6666666666666666E-2</v>
      </c>
      <c r="M26" s="32">
        <f t="shared" si="4"/>
        <v>1.5</v>
      </c>
      <c r="N26" s="16">
        <f t="shared" si="1"/>
        <v>0</v>
      </c>
      <c r="O26" s="17">
        <v>0</v>
      </c>
      <c r="P26" s="25">
        <f t="shared" si="2"/>
        <v>0</v>
      </c>
      <c r="Q26" s="18">
        <v>0</v>
      </c>
      <c r="R26" s="32">
        <f t="shared" si="5"/>
        <v>0</v>
      </c>
      <c r="S26" s="14">
        <f t="shared" si="3"/>
        <v>1.5</v>
      </c>
    </row>
    <row r="27" spans="1:19" s="86" customFormat="1" ht="34.5" customHeight="1" thickBot="1" x14ac:dyDescent="0.4">
      <c r="A27" s="151"/>
      <c r="B27" s="151"/>
      <c r="C27" s="42" t="s">
        <v>396</v>
      </c>
      <c r="D27" s="278" t="s">
        <v>381</v>
      </c>
      <c r="E27" s="279"/>
      <c r="F27" s="279"/>
      <c r="G27" s="280"/>
      <c r="H27" s="43">
        <v>20</v>
      </c>
      <c r="I27" s="31">
        <v>20</v>
      </c>
      <c r="J27" s="31">
        <v>1</v>
      </c>
      <c r="K27" s="37">
        <f t="shared" si="0"/>
        <v>20</v>
      </c>
      <c r="L27" s="32">
        <v>1</v>
      </c>
      <c r="M27" s="32">
        <f t="shared" si="4"/>
        <v>20</v>
      </c>
      <c r="N27" s="41">
        <v>0</v>
      </c>
      <c r="O27" s="34">
        <v>0</v>
      </c>
      <c r="P27" s="129">
        <v>0</v>
      </c>
      <c r="Q27" s="32">
        <v>0</v>
      </c>
      <c r="R27" s="32">
        <v>0</v>
      </c>
      <c r="S27" s="32">
        <f t="shared" ref="S27:S35" si="10">M27+R27</f>
        <v>20</v>
      </c>
    </row>
    <row r="28" spans="1:19" s="86" customFormat="1" ht="15" thickBot="1" x14ac:dyDescent="0.4">
      <c r="A28" s="151"/>
      <c r="B28" s="151"/>
      <c r="C28" s="68" t="s">
        <v>382</v>
      </c>
      <c r="D28" s="236" t="s">
        <v>383</v>
      </c>
      <c r="E28" s="237"/>
      <c r="F28" s="237"/>
      <c r="G28" s="238"/>
      <c r="H28" s="3">
        <v>20</v>
      </c>
      <c r="I28" s="2">
        <v>20</v>
      </c>
      <c r="J28" s="2">
        <v>1</v>
      </c>
      <c r="K28" s="13">
        <f t="shared" si="0"/>
        <v>20</v>
      </c>
      <c r="L28" s="18">
        <v>0.08</v>
      </c>
      <c r="M28" s="32">
        <f t="shared" si="4"/>
        <v>1.6</v>
      </c>
      <c r="N28" s="16">
        <v>0</v>
      </c>
      <c r="O28" s="17">
        <v>0</v>
      </c>
      <c r="P28" s="25">
        <v>0</v>
      </c>
      <c r="Q28" s="18">
        <v>0</v>
      </c>
      <c r="R28" s="32">
        <v>0</v>
      </c>
      <c r="S28" s="14">
        <f t="shared" si="10"/>
        <v>1.6</v>
      </c>
    </row>
    <row r="29" spans="1:19" s="86" customFormat="1" ht="15" thickBot="1" x14ac:dyDescent="0.4">
      <c r="A29" s="151"/>
      <c r="B29" s="151"/>
      <c r="C29" s="68" t="s">
        <v>384</v>
      </c>
      <c r="D29" s="156" t="s">
        <v>391</v>
      </c>
      <c r="E29" s="157"/>
      <c r="F29" s="157"/>
      <c r="G29" s="158"/>
      <c r="H29" s="3">
        <v>18</v>
      </c>
      <c r="I29" s="2">
        <f>H29-15</f>
        <v>3</v>
      </c>
      <c r="J29" s="2">
        <v>1</v>
      </c>
      <c r="K29" s="13">
        <f t="shared" si="0"/>
        <v>3</v>
      </c>
      <c r="L29" s="18">
        <v>0.02</v>
      </c>
      <c r="M29" s="32">
        <f t="shared" si="4"/>
        <v>0.06</v>
      </c>
      <c r="N29" s="16">
        <f t="shared" ref="N29:N36" si="11">H29-I29</f>
        <v>15</v>
      </c>
      <c r="O29" s="17">
        <v>1</v>
      </c>
      <c r="P29" s="25">
        <f t="shared" ref="P29:P34" si="12">N29*O29</f>
        <v>15</v>
      </c>
      <c r="Q29" s="18">
        <v>0.02</v>
      </c>
      <c r="R29" s="32">
        <f t="shared" ref="R29:R34" si="13">P29*Q29</f>
        <v>0.3</v>
      </c>
      <c r="S29" s="14">
        <f t="shared" si="10"/>
        <v>0.36</v>
      </c>
    </row>
    <row r="30" spans="1:19" s="86" customFormat="1" ht="15" thickBot="1" x14ac:dyDescent="0.4">
      <c r="A30" s="151"/>
      <c r="B30" s="151"/>
      <c r="C30" s="68" t="s">
        <v>385</v>
      </c>
      <c r="D30" s="159"/>
      <c r="E30" s="160"/>
      <c r="F30" s="160"/>
      <c r="G30" s="161"/>
      <c r="H30" s="3">
        <f t="shared" ref="H30:H35" si="14">N29</f>
        <v>15</v>
      </c>
      <c r="I30" s="2">
        <f>H30-10</f>
        <v>5</v>
      </c>
      <c r="J30" s="2">
        <v>1</v>
      </c>
      <c r="K30" s="13">
        <f t="shared" si="0"/>
        <v>5</v>
      </c>
      <c r="L30" s="18">
        <v>0.02</v>
      </c>
      <c r="M30" s="32">
        <f t="shared" si="4"/>
        <v>0.1</v>
      </c>
      <c r="N30" s="16">
        <f t="shared" si="11"/>
        <v>10</v>
      </c>
      <c r="O30" s="17">
        <v>1</v>
      </c>
      <c r="P30" s="25">
        <f t="shared" si="12"/>
        <v>10</v>
      </c>
      <c r="Q30" s="18">
        <v>0.02</v>
      </c>
      <c r="R30" s="32">
        <f t="shared" si="13"/>
        <v>0.2</v>
      </c>
      <c r="S30" s="14">
        <f t="shared" si="10"/>
        <v>0.30000000000000004</v>
      </c>
    </row>
    <row r="31" spans="1:19" s="86" customFormat="1" ht="15" thickBot="1" x14ac:dyDescent="0.4">
      <c r="A31" s="151"/>
      <c r="B31" s="151"/>
      <c r="C31" s="68" t="s">
        <v>386</v>
      </c>
      <c r="D31" s="159"/>
      <c r="E31" s="160"/>
      <c r="F31" s="160"/>
      <c r="G31" s="161"/>
      <c r="H31" s="3">
        <f t="shared" si="14"/>
        <v>10</v>
      </c>
      <c r="I31" s="2">
        <f>H31-6</f>
        <v>4</v>
      </c>
      <c r="J31" s="2">
        <v>1</v>
      </c>
      <c r="K31" s="13">
        <f t="shared" si="0"/>
        <v>4</v>
      </c>
      <c r="L31" s="18">
        <v>0.02</v>
      </c>
      <c r="M31" s="32">
        <f t="shared" si="4"/>
        <v>0.08</v>
      </c>
      <c r="N31" s="16">
        <f t="shared" si="11"/>
        <v>6</v>
      </c>
      <c r="O31" s="17">
        <v>1</v>
      </c>
      <c r="P31" s="25">
        <f t="shared" si="12"/>
        <v>6</v>
      </c>
      <c r="Q31" s="18">
        <v>0.02</v>
      </c>
      <c r="R31" s="32">
        <f t="shared" si="13"/>
        <v>0.12</v>
      </c>
      <c r="S31" s="14">
        <f t="shared" si="10"/>
        <v>0.2</v>
      </c>
    </row>
    <row r="32" spans="1:19" s="86" customFormat="1" ht="15" thickBot="1" x14ac:dyDescent="0.4">
      <c r="A32" s="151"/>
      <c r="B32" s="151"/>
      <c r="C32" s="68" t="s">
        <v>387</v>
      </c>
      <c r="D32" s="159"/>
      <c r="E32" s="160"/>
      <c r="F32" s="160"/>
      <c r="G32" s="161"/>
      <c r="H32" s="3">
        <f t="shared" si="14"/>
        <v>6</v>
      </c>
      <c r="I32" s="2">
        <f>H32-4</f>
        <v>2</v>
      </c>
      <c r="J32" s="2">
        <v>1</v>
      </c>
      <c r="K32" s="13">
        <f t="shared" si="0"/>
        <v>2</v>
      </c>
      <c r="L32" s="18">
        <v>0.02</v>
      </c>
      <c r="M32" s="32">
        <f t="shared" si="4"/>
        <v>0.04</v>
      </c>
      <c r="N32" s="16">
        <f t="shared" si="11"/>
        <v>4</v>
      </c>
      <c r="O32" s="17">
        <v>1</v>
      </c>
      <c r="P32" s="25">
        <f t="shared" si="12"/>
        <v>4</v>
      </c>
      <c r="Q32" s="18">
        <v>0.02</v>
      </c>
      <c r="R32" s="32">
        <f t="shared" si="13"/>
        <v>0.08</v>
      </c>
      <c r="S32" s="14">
        <f t="shared" si="10"/>
        <v>0.12</v>
      </c>
    </row>
    <row r="33" spans="1:19" s="86" customFormat="1" ht="15" thickBot="1" x14ac:dyDescent="0.4">
      <c r="A33" s="151"/>
      <c r="B33" s="151"/>
      <c r="C33" s="68" t="s">
        <v>388</v>
      </c>
      <c r="D33" s="159"/>
      <c r="E33" s="160"/>
      <c r="F33" s="160"/>
      <c r="G33" s="161"/>
      <c r="H33" s="3">
        <f t="shared" si="14"/>
        <v>4</v>
      </c>
      <c r="I33" s="2">
        <v>2</v>
      </c>
      <c r="J33" s="2">
        <v>1</v>
      </c>
      <c r="K33" s="13">
        <f t="shared" si="0"/>
        <v>2</v>
      </c>
      <c r="L33" s="18">
        <v>0.02</v>
      </c>
      <c r="M33" s="32">
        <f t="shared" si="4"/>
        <v>0.04</v>
      </c>
      <c r="N33" s="16">
        <f t="shared" si="11"/>
        <v>2</v>
      </c>
      <c r="O33" s="17">
        <v>1</v>
      </c>
      <c r="P33" s="25">
        <f t="shared" si="12"/>
        <v>2</v>
      </c>
      <c r="Q33" s="18">
        <v>0.02</v>
      </c>
      <c r="R33" s="32">
        <f t="shared" si="13"/>
        <v>0.04</v>
      </c>
      <c r="S33" s="14">
        <f t="shared" si="10"/>
        <v>0.08</v>
      </c>
    </row>
    <row r="34" spans="1:19" s="86" customFormat="1" ht="15" thickBot="1" x14ac:dyDescent="0.4">
      <c r="A34" s="151"/>
      <c r="B34" s="151"/>
      <c r="C34" s="68" t="s">
        <v>389</v>
      </c>
      <c r="D34" s="159"/>
      <c r="E34" s="160"/>
      <c r="F34" s="160"/>
      <c r="G34" s="161"/>
      <c r="H34" s="3">
        <f t="shared" si="14"/>
        <v>2</v>
      </c>
      <c r="I34" s="2">
        <v>1</v>
      </c>
      <c r="J34" s="2">
        <v>1</v>
      </c>
      <c r="K34" s="13">
        <f t="shared" si="0"/>
        <v>1</v>
      </c>
      <c r="L34" s="18">
        <v>0.02</v>
      </c>
      <c r="M34" s="32">
        <f t="shared" si="4"/>
        <v>0.02</v>
      </c>
      <c r="N34" s="16">
        <f t="shared" si="11"/>
        <v>1</v>
      </c>
      <c r="O34" s="17">
        <v>1</v>
      </c>
      <c r="P34" s="25">
        <f t="shared" si="12"/>
        <v>1</v>
      </c>
      <c r="Q34" s="18">
        <v>0.02</v>
      </c>
      <c r="R34" s="32">
        <f t="shared" si="13"/>
        <v>0.02</v>
      </c>
      <c r="S34" s="14">
        <f t="shared" si="10"/>
        <v>0.04</v>
      </c>
    </row>
    <row r="35" spans="1:19" s="86" customFormat="1" ht="15" thickBot="1" x14ac:dyDescent="0.4">
      <c r="A35" s="151"/>
      <c r="B35" s="151"/>
      <c r="C35" s="68" t="s">
        <v>390</v>
      </c>
      <c r="D35" s="162"/>
      <c r="E35" s="163"/>
      <c r="F35" s="163"/>
      <c r="G35" s="164"/>
      <c r="H35" s="3">
        <f t="shared" si="14"/>
        <v>1</v>
      </c>
      <c r="I35" s="2">
        <v>1</v>
      </c>
      <c r="J35" s="2">
        <v>1</v>
      </c>
      <c r="K35" s="13">
        <f t="shared" si="0"/>
        <v>1</v>
      </c>
      <c r="L35" s="18">
        <v>0.02</v>
      </c>
      <c r="M35" s="32">
        <f t="shared" si="4"/>
        <v>0.02</v>
      </c>
      <c r="N35" s="16">
        <f t="shared" si="11"/>
        <v>0</v>
      </c>
      <c r="O35" s="17">
        <v>0</v>
      </c>
      <c r="P35" s="25">
        <f t="shared" ref="P35:P42" si="15">N35*O35</f>
        <v>0</v>
      </c>
      <c r="Q35" s="18">
        <v>0</v>
      </c>
      <c r="R35" s="32">
        <f t="shared" ref="R35:R42" si="16">P35*Q35</f>
        <v>0</v>
      </c>
      <c r="S35" s="14">
        <f t="shared" si="10"/>
        <v>0.02</v>
      </c>
    </row>
    <row r="36" spans="1:19" s="86" customFormat="1" ht="15" thickBot="1" x14ac:dyDescent="0.4">
      <c r="A36" s="151"/>
      <c r="B36" s="151"/>
      <c r="C36" s="68" t="s">
        <v>417</v>
      </c>
      <c r="D36" s="156" t="s">
        <v>392</v>
      </c>
      <c r="E36" s="157"/>
      <c r="F36" s="157"/>
      <c r="G36" s="158"/>
      <c r="H36" s="3">
        <v>18</v>
      </c>
      <c r="I36" s="2">
        <v>3</v>
      </c>
      <c r="J36" s="2">
        <v>1</v>
      </c>
      <c r="K36" s="13">
        <f t="shared" si="0"/>
        <v>3</v>
      </c>
      <c r="L36" s="18">
        <v>0.05</v>
      </c>
      <c r="M36" s="32">
        <f t="shared" si="4"/>
        <v>0.15000000000000002</v>
      </c>
      <c r="N36" s="16">
        <f t="shared" si="11"/>
        <v>15</v>
      </c>
      <c r="O36" s="17">
        <v>1</v>
      </c>
      <c r="P36" s="25">
        <f t="shared" si="15"/>
        <v>15</v>
      </c>
      <c r="Q36" s="18">
        <v>0.02</v>
      </c>
      <c r="R36" s="32">
        <f t="shared" si="16"/>
        <v>0.3</v>
      </c>
      <c r="S36" s="14">
        <f t="shared" ref="S36:S42" si="17">M36+R36</f>
        <v>0.45</v>
      </c>
    </row>
    <row r="37" spans="1:19" s="86" customFormat="1" ht="15" thickBot="1" x14ac:dyDescent="0.4">
      <c r="A37" s="151"/>
      <c r="B37" s="151"/>
      <c r="C37" s="68" t="s">
        <v>418</v>
      </c>
      <c r="D37" s="159"/>
      <c r="E37" s="160"/>
      <c r="F37" s="160"/>
      <c r="G37" s="161"/>
      <c r="H37" s="3">
        <v>15</v>
      </c>
      <c r="I37" s="2">
        <v>5</v>
      </c>
      <c r="J37" s="2">
        <v>1</v>
      </c>
      <c r="K37" s="13">
        <f t="shared" si="0"/>
        <v>5</v>
      </c>
      <c r="L37" s="18">
        <v>0.05</v>
      </c>
      <c r="M37" s="32">
        <f t="shared" si="4"/>
        <v>0.25</v>
      </c>
      <c r="N37" s="16">
        <f t="shared" ref="N37:N42" si="18">H37-I37</f>
        <v>10</v>
      </c>
      <c r="O37" s="17">
        <v>1</v>
      </c>
      <c r="P37" s="25">
        <f t="shared" si="15"/>
        <v>10</v>
      </c>
      <c r="Q37" s="18">
        <v>0.02</v>
      </c>
      <c r="R37" s="32">
        <f t="shared" si="16"/>
        <v>0.2</v>
      </c>
      <c r="S37" s="14">
        <f t="shared" si="17"/>
        <v>0.45</v>
      </c>
    </row>
    <row r="38" spans="1:19" s="86" customFormat="1" ht="15" thickBot="1" x14ac:dyDescent="0.4">
      <c r="A38" s="151"/>
      <c r="B38" s="151"/>
      <c r="C38" s="68" t="s">
        <v>419</v>
      </c>
      <c r="D38" s="159"/>
      <c r="E38" s="160"/>
      <c r="F38" s="160"/>
      <c r="G38" s="161"/>
      <c r="H38" s="3">
        <v>10</v>
      </c>
      <c r="I38" s="2">
        <v>4</v>
      </c>
      <c r="J38" s="2">
        <v>1</v>
      </c>
      <c r="K38" s="13">
        <f t="shared" si="0"/>
        <v>4</v>
      </c>
      <c r="L38" s="18">
        <v>0.05</v>
      </c>
      <c r="M38" s="32">
        <f t="shared" si="4"/>
        <v>0.2</v>
      </c>
      <c r="N38" s="16">
        <f t="shared" si="18"/>
        <v>6</v>
      </c>
      <c r="O38" s="17">
        <v>1</v>
      </c>
      <c r="P38" s="25">
        <f t="shared" si="15"/>
        <v>6</v>
      </c>
      <c r="Q38" s="18">
        <v>0.02</v>
      </c>
      <c r="R38" s="32">
        <f t="shared" si="16"/>
        <v>0.12</v>
      </c>
      <c r="S38" s="14">
        <f t="shared" si="17"/>
        <v>0.32</v>
      </c>
    </row>
    <row r="39" spans="1:19" s="86" customFormat="1" ht="15" thickBot="1" x14ac:dyDescent="0.4">
      <c r="A39" s="151"/>
      <c r="B39" s="151"/>
      <c r="C39" s="68" t="s">
        <v>420</v>
      </c>
      <c r="D39" s="159"/>
      <c r="E39" s="160"/>
      <c r="F39" s="160"/>
      <c r="G39" s="161"/>
      <c r="H39" s="3">
        <v>6</v>
      </c>
      <c r="I39" s="2">
        <v>2</v>
      </c>
      <c r="J39" s="2">
        <v>1</v>
      </c>
      <c r="K39" s="13">
        <f t="shared" si="0"/>
        <v>2</v>
      </c>
      <c r="L39" s="18">
        <v>0.05</v>
      </c>
      <c r="M39" s="32">
        <f t="shared" si="4"/>
        <v>0.1</v>
      </c>
      <c r="N39" s="16">
        <f t="shared" si="18"/>
        <v>4</v>
      </c>
      <c r="O39" s="17">
        <v>1</v>
      </c>
      <c r="P39" s="25">
        <f t="shared" si="15"/>
        <v>4</v>
      </c>
      <c r="Q39" s="18">
        <v>0.02</v>
      </c>
      <c r="R39" s="32">
        <f t="shared" si="16"/>
        <v>0.08</v>
      </c>
      <c r="S39" s="14">
        <f t="shared" si="17"/>
        <v>0.18</v>
      </c>
    </row>
    <row r="40" spans="1:19" s="86" customFormat="1" ht="15" thickBot="1" x14ac:dyDescent="0.4">
      <c r="A40" s="151"/>
      <c r="B40" s="151"/>
      <c r="C40" s="68" t="s">
        <v>421</v>
      </c>
      <c r="D40" s="159"/>
      <c r="E40" s="160"/>
      <c r="F40" s="160"/>
      <c r="G40" s="161"/>
      <c r="H40" s="3">
        <v>4</v>
      </c>
      <c r="I40" s="2">
        <v>2</v>
      </c>
      <c r="J40" s="2">
        <v>1</v>
      </c>
      <c r="K40" s="13">
        <f t="shared" si="0"/>
        <v>2</v>
      </c>
      <c r="L40" s="18">
        <v>0.05</v>
      </c>
      <c r="M40" s="32">
        <f t="shared" si="4"/>
        <v>0.1</v>
      </c>
      <c r="N40" s="16">
        <f t="shared" si="18"/>
        <v>2</v>
      </c>
      <c r="O40" s="17">
        <v>1</v>
      </c>
      <c r="P40" s="25">
        <f t="shared" si="15"/>
        <v>2</v>
      </c>
      <c r="Q40" s="18">
        <v>0.02</v>
      </c>
      <c r="R40" s="32">
        <f t="shared" si="16"/>
        <v>0.04</v>
      </c>
      <c r="S40" s="14">
        <f t="shared" si="17"/>
        <v>0.14000000000000001</v>
      </c>
    </row>
    <row r="41" spans="1:19" s="86" customFormat="1" ht="15" thickBot="1" x14ac:dyDescent="0.4">
      <c r="A41" s="151"/>
      <c r="B41" s="151"/>
      <c r="C41" s="68" t="s">
        <v>422</v>
      </c>
      <c r="D41" s="159"/>
      <c r="E41" s="160"/>
      <c r="F41" s="160"/>
      <c r="G41" s="161"/>
      <c r="H41" s="3">
        <v>2</v>
      </c>
      <c r="I41" s="2">
        <v>1</v>
      </c>
      <c r="J41" s="2">
        <v>1</v>
      </c>
      <c r="K41" s="13">
        <f t="shared" si="0"/>
        <v>1</v>
      </c>
      <c r="L41" s="18">
        <v>0.05</v>
      </c>
      <c r="M41" s="32">
        <f t="shared" si="4"/>
        <v>0.05</v>
      </c>
      <c r="N41" s="16">
        <f t="shared" si="18"/>
        <v>1</v>
      </c>
      <c r="O41" s="17">
        <v>1</v>
      </c>
      <c r="P41" s="25">
        <f t="shared" si="15"/>
        <v>1</v>
      </c>
      <c r="Q41" s="18">
        <v>0.02</v>
      </c>
      <c r="R41" s="32">
        <f t="shared" si="16"/>
        <v>0.02</v>
      </c>
      <c r="S41" s="14">
        <f t="shared" si="17"/>
        <v>7.0000000000000007E-2</v>
      </c>
    </row>
    <row r="42" spans="1:19" s="86" customFormat="1" ht="15" thickBot="1" x14ac:dyDescent="0.4">
      <c r="A42" s="151"/>
      <c r="B42" s="151"/>
      <c r="C42" s="68" t="s">
        <v>397</v>
      </c>
      <c r="D42" s="162"/>
      <c r="E42" s="163"/>
      <c r="F42" s="163"/>
      <c r="G42" s="164"/>
      <c r="H42" s="3">
        <v>1</v>
      </c>
      <c r="I42" s="2">
        <v>1</v>
      </c>
      <c r="J42" s="2">
        <v>1</v>
      </c>
      <c r="K42" s="13">
        <f t="shared" si="0"/>
        <v>1</v>
      </c>
      <c r="L42" s="18">
        <v>0.05</v>
      </c>
      <c r="M42" s="32">
        <f t="shared" si="4"/>
        <v>0.05</v>
      </c>
      <c r="N42" s="16">
        <f t="shared" si="18"/>
        <v>0</v>
      </c>
      <c r="O42" s="17">
        <v>0</v>
      </c>
      <c r="P42" s="25">
        <f t="shared" si="15"/>
        <v>0</v>
      </c>
      <c r="Q42" s="18">
        <v>0</v>
      </c>
      <c r="R42" s="32">
        <f t="shared" si="16"/>
        <v>0</v>
      </c>
      <c r="S42" s="14">
        <f t="shared" si="17"/>
        <v>0.05</v>
      </c>
    </row>
    <row r="43" spans="1:19" ht="15.75" customHeight="1" thickBot="1" x14ac:dyDescent="0.4">
      <c r="A43" s="151"/>
      <c r="B43" s="150" t="s">
        <v>61</v>
      </c>
      <c r="C43" s="29" t="s">
        <v>427</v>
      </c>
      <c r="D43" s="269" t="s">
        <v>375</v>
      </c>
      <c r="E43" s="270"/>
      <c r="F43" s="270"/>
      <c r="G43" s="271"/>
      <c r="H43" s="39">
        <f>ROUNDUP((I43*100)/80,0)</f>
        <v>965</v>
      </c>
      <c r="I43" s="37">
        <v>772</v>
      </c>
      <c r="J43" s="31">
        <v>1</v>
      </c>
      <c r="K43" s="31">
        <f t="shared" si="0"/>
        <v>772</v>
      </c>
      <c r="L43" s="32">
        <v>1</v>
      </c>
      <c r="M43" s="32">
        <f t="shared" si="4"/>
        <v>772</v>
      </c>
      <c r="N43" s="40">
        <f t="shared" si="1"/>
        <v>193</v>
      </c>
      <c r="O43" s="31">
        <v>1</v>
      </c>
      <c r="P43" s="41">
        <f t="shared" si="2"/>
        <v>193</v>
      </c>
      <c r="Q43" s="32">
        <v>0.02</v>
      </c>
      <c r="R43" s="32">
        <f t="shared" si="5"/>
        <v>3.86</v>
      </c>
      <c r="S43" s="32">
        <f t="shared" si="3"/>
        <v>775.86</v>
      </c>
    </row>
    <row r="44" spans="1:19" ht="15" thickBot="1" x14ac:dyDescent="0.4">
      <c r="A44" s="151"/>
      <c r="B44" s="151"/>
      <c r="C44" s="24" t="s">
        <v>66</v>
      </c>
      <c r="D44" s="236" t="str">
        <f>Appendices!E31</f>
        <v>C7</v>
      </c>
      <c r="E44" s="237"/>
      <c r="F44" s="237"/>
      <c r="G44" s="238"/>
      <c r="H44" s="13">
        <f>H43</f>
        <v>965</v>
      </c>
      <c r="I44" s="13">
        <f>H44*0.35</f>
        <v>337.75</v>
      </c>
      <c r="J44" s="2">
        <v>1</v>
      </c>
      <c r="K44" s="13">
        <f t="shared" si="0"/>
        <v>337.75</v>
      </c>
      <c r="L44" s="18">
        <v>1.6666666666666666E-2</v>
      </c>
      <c r="M44" s="32">
        <f t="shared" si="4"/>
        <v>5.6291666666666664</v>
      </c>
      <c r="N44" s="13">
        <f t="shared" si="1"/>
        <v>627.25</v>
      </c>
      <c r="O44" s="17">
        <v>1</v>
      </c>
      <c r="P44" s="25">
        <f t="shared" si="2"/>
        <v>627.25</v>
      </c>
      <c r="Q44" s="17">
        <v>0.02</v>
      </c>
      <c r="R44" s="32">
        <f t="shared" si="5"/>
        <v>12.545</v>
      </c>
      <c r="S44" s="14">
        <f t="shared" si="3"/>
        <v>18.174166666666665</v>
      </c>
    </row>
    <row r="45" spans="1:19" ht="15" thickBot="1" x14ac:dyDescent="0.4">
      <c r="A45" s="151"/>
      <c r="B45" s="151"/>
      <c r="C45" s="24" t="s">
        <v>67</v>
      </c>
      <c r="D45" s="236" t="str">
        <f>Appendices!E32</f>
        <v>C8</v>
      </c>
      <c r="E45" s="237"/>
      <c r="F45" s="237"/>
      <c r="G45" s="238"/>
      <c r="H45" s="26">
        <f>H44</f>
        <v>965</v>
      </c>
      <c r="I45" s="13">
        <f>H45*0.45</f>
        <v>434.25</v>
      </c>
      <c r="J45" s="2">
        <v>1</v>
      </c>
      <c r="K45" s="13">
        <f t="shared" si="0"/>
        <v>434.25</v>
      </c>
      <c r="L45" s="18">
        <v>0.05</v>
      </c>
      <c r="M45" s="32">
        <f t="shared" si="4"/>
        <v>21.712500000000002</v>
      </c>
      <c r="N45" s="25">
        <f t="shared" si="1"/>
        <v>530.75</v>
      </c>
      <c r="O45" s="17">
        <v>1</v>
      </c>
      <c r="P45" s="25">
        <f t="shared" si="2"/>
        <v>530.75</v>
      </c>
      <c r="Q45" s="17">
        <v>0.05</v>
      </c>
      <c r="R45" s="32">
        <f t="shared" si="5"/>
        <v>26.537500000000001</v>
      </c>
      <c r="S45" s="14">
        <f t="shared" si="3"/>
        <v>48.25</v>
      </c>
    </row>
    <row r="46" spans="1:19" ht="15" thickBot="1" x14ac:dyDescent="0.4">
      <c r="A46" s="151"/>
      <c r="B46" s="151"/>
      <c r="C46" s="24" t="s">
        <v>68</v>
      </c>
      <c r="D46" s="156" t="str">
        <f>Appendices!E33</f>
        <v>C9</v>
      </c>
      <c r="E46" s="157"/>
      <c r="F46" s="157"/>
      <c r="G46" s="158"/>
      <c r="H46" s="25">
        <f>I44</f>
        <v>337.75</v>
      </c>
      <c r="I46" s="47">
        <f>ROUNDUP(H46,0)*0.55</f>
        <v>185.9</v>
      </c>
      <c r="J46" s="2">
        <v>1</v>
      </c>
      <c r="K46" s="13">
        <f t="shared" si="0"/>
        <v>185.9</v>
      </c>
      <c r="L46" s="18">
        <v>1.6666666666666666E-2</v>
      </c>
      <c r="M46" s="32">
        <f t="shared" si="4"/>
        <v>3.0983333333333336</v>
      </c>
      <c r="N46" s="25">
        <f>ROUNDUP(H46-I46, 0)</f>
        <v>152</v>
      </c>
      <c r="O46" s="17">
        <v>1</v>
      </c>
      <c r="P46" s="25">
        <f t="shared" si="2"/>
        <v>152</v>
      </c>
      <c r="Q46" s="17">
        <v>0.02</v>
      </c>
      <c r="R46" s="32">
        <f t="shared" si="5"/>
        <v>3.04</v>
      </c>
      <c r="S46" s="14">
        <f t="shared" si="3"/>
        <v>6.1383333333333336</v>
      </c>
    </row>
    <row r="47" spans="1:19" ht="15" thickBot="1" x14ac:dyDescent="0.4">
      <c r="A47" s="151"/>
      <c r="B47" s="151"/>
      <c r="C47" s="24" t="s">
        <v>69</v>
      </c>
      <c r="D47" s="159"/>
      <c r="E47" s="160"/>
      <c r="F47" s="160"/>
      <c r="G47" s="161"/>
      <c r="H47" s="25">
        <f t="shared" ref="H47:H52" si="19">N46</f>
        <v>152</v>
      </c>
      <c r="I47" s="47">
        <f>ROUNDUP(H47,0)*0.55</f>
        <v>83.600000000000009</v>
      </c>
      <c r="J47" s="2">
        <v>1</v>
      </c>
      <c r="K47" s="13">
        <f t="shared" si="0"/>
        <v>83.600000000000009</v>
      </c>
      <c r="L47" s="18">
        <v>1.6666666666666666E-2</v>
      </c>
      <c r="M47" s="32">
        <f t="shared" si="4"/>
        <v>1.3933333333333335</v>
      </c>
      <c r="N47" s="25">
        <f t="shared" ref="N47:N60" si="20">H47-I47</f>
        <v>68.399999999999991</v>
      </c>
      <c r="O47" s="17">
        <v>1</v>
      </c>
      <c r="P47" s="25">
        <f t="shared" si="2"/>
        <v>68.399999999999991</v>
      </c>
      <c r="Q47" s="17">
        <v>0.02</v>
      </c>
      <c r="R47" s="32">
        <f t="shared" si="5"/>
        <v>1.3679999999999999</v>
      </c>
      <c r="S47" s="14">
        <f t="shared" si="3"/>
        <v>2.7613333333333334</v>
      </c>
    </row>
    <row r="48" spans="1:19" ht="15" thickBot="1" x14ac:dyDescent="0.4">
      <c r="A48" s="151"/>
      <c r="B48" s="151"/>
      <c r="C48" s="24" t="s">
        <v>70</v>
      </c>
      <c r="D48" s="159"/>
      <c r="E48" s="160"/>
      <c r="F48" s="160"/>
      <c r="G48" s="161"/>
      <c r="H48" s="25">
        <f t="shared" si="19"/>
        <v>68.399999999999991</v>
      </c>
      <c r="I48" s="47">
        <f>ROUNDUP(H48,0)*0.55</f>
        <v>37.950000000000003</v>
      </c>
      <c r="J48" s="2">
        <v>1</v>
      </c>
      <c r="K48" s="13">
        <f t="shared" si="0"/>
        <v>37.950000000000003</v>
      </c>
      <c r="L48" s="18">
        <v>1.6666666666666666E-2</v>
      </c>
      <c r="M48" s="32">
        <f t="shared" si="4"/>
        <v>0.63250000000000006</v>
      </c>
      <c r="N48" s="25">
        <f t="shared" si="20"/>
        <v>30.449999999999989</v>
      </c>
      <c r="O48" s="17">
        <v>1</v>
      </c>
      <c r="P48" s="25">
        <f t="shared" si="2"/>
        <v>30.449999999999989</v>
      </c>
      <c r="Q48" s="17">
        <v>0.02</v>
      </c>
      <c r="R48" s="32">
        <f t="shared" si="5"/>
        <v>0.60899999999999976</v>
      </c>
      <c r="S48" s="14">
        <f t="shared" si="3"/>
        <v>1.2414999999999998</v>
      </c>
    </row>
    <row r="49" spans="1:19" ht="15" thickBot="1" x14ac:dyDescent="0.4">
      <c r="A49" s="151"/>
      <c r="B49" s="151"/>
      <c r="C49" s="24" t="s">
        <v>71</v>
      </c>
      <c r="D49" s="159"/>
      <c r="E49" s="160"/>
      <c r="F49" s="160"/>
      <c r="G49" s="161"/>
      <c r="H49" s="25">
        <f t="shared" si="19"/>
        <v>30.449999999999989</v>
      </c>
      <c r="I49" s="47">
        <f>H49*0.54</f>
        <v>16.442999999999994</v>
      </c>
      <c r="J49" s="2">
        <v>1</v>
      </c>
      <c r="K49" s="13">
        <f t="shared" si="0"/>
        <v>16.442999999999994</v>
      </c>
      <c r="L49" s="18">
        <v>1.6666666666666666E-2</v>
      </c>
      <c r="M49" s="32">
        <f t="shared" si="4"/>
        <v>0.2740499999999999</v>
      </c>
      <c r="N49" s="25">
        <f t="shared" si="20"/>
        <v>14.006999999999994</v>
      </c>
      <c r="O49" s="17">
        <v>1</v>
      </c>
      <c r="P49" s="25">
        <f t="shared" si="2"/>
        <v>14.006999999999994</v>
      </c>
      <c r="Q49" s="17">
        <v>0.02</v>
      </c>
      <c r="R49" s="32">
        <f t="shared" si="5"/>
        <v>0.28013999999999989</v>
      </c>
      <c r="S49" s="14">
        <f t="shared" si="3"/>
        <v>0.55418999999999974</v>
      </c>
    </row>
    <row r="50" spans="1:19" ht="15" thickBot="1" x14ac:dyDescent="0.4">
      <c r="A50" s="151"/>
      <c r="B50" s="151"/>
      <c r="C50" s="24" t="s">
        <v>72</v>
      </c>
      <c r="D50" s="159"/>
      <c r="E50" s="160"/>
      <c r="F50" s="160"/>
      <c r="G50" s="161"/>
      <c r="H50" s="25">
        <f t="shared" si="19"/>
        <v>14.006999999999994</v>
      </c>
      <c r="I50" s="47">
        <f>ROUNDUP(H50,0)*0.54</f>
        <v>8.1000000000000014</v>
      </c>
      <c r="J50" s="2">
        <v>1</v>
      </c>
      <c r="K50" s="13">
        <f t="shared" si="0"/>
        <v>8.1000000000000014</v>
      </c>
      <c r="L50" s="18">
        <v>1.6666666666666666E-2</v>
      </c>
      <c r="M50" s="32">
        <f t="shared" si="4"/>
        <v>0.13500000000000001</v>
      </c>
      <c r="N50" s="25">
        <f t="shared" si="20"/>
        <v>5.9069999999999929</v>
      </c>
      <c r="O50" s="17">
        <v>1</v>
      </c>
      <c r="P50" s="25">
        <f t="shared" si="2"/>
        <v>5.9069999999999929</v>
      </c>
      <c r="Q50" s="17">
        <v>0.02</v>
      </c>
      <c r="R50" s="32">
        <f t="shared" si="5"/>
        <v>0.11813999999999986</v>
      </c>
      <c r="S50" s="14">
        <f t="shared" si="3"/>
        <v>0.25313999999999987</v>
      </c>
    </row>
    <row r="51" spans="1:19" ht="15" thickBot="1" x14ac:dyDescent="0.4">
      <c r="A51" s="151"/>
      <c r="B51" s="151"/>
      <c r="C51" s="24" t="s">
        <v>73</v>
      </c>
      <c r="D51" s="159"/>
      <c r="E51" s="160"/>
      <c r="F51" s="160"/>
      <c r="G51" s="161"/>
      <c r="H51" s="25">
        <f t="shared" si="19"/>
        <v>5.9069999999999929</v>
      </c>
      <c r="I51" s="47">
        <f>H51*0.54</f>
        <v>3.1897799999999963</v>
      </c>
      <c r="J51" s="2">
        <v>1</v>
      </c>
      <c r="K51" s="13">
        <f t="shared" si="0"/>
        <v>3.1897799999999963</v>
      </c>
      <c r="L51" s="18">
        <v>1.6666666666666666E-2</v>
      </c>
      <c r="M51" s="32">
        <f t="shared" si="4"/>
        <v>5.3162999999999939E-2</v>
      </c>
      <c r="N51" s="25">
        <f t="shared" si="20"/>
        <v>2.7172199999999966</v>
      </c>
      <c r="O51" s="17">
        <v>1</v>
      </c>
      <c r="P51" s="25">
        <f t="shared" si="2"/>
        <v>2.7172199999999966</v>
      </c>
      <c r="Q51" s="17">
        <v>0.02</v>
      </c>
      <c r="R51" s="32">
        <f t="shared" si="5"/>
        <v>5.4344399999999932E-2</v>
      </c>
      <c r="S51" s="14">
        <f t="shared" si="3"/>
        <v>0.10750739999999986</v>
      </c>
    </row>
    <row r="52" spans="1:19" ht="15" thickBot="1" x14ac:dyDescent="0.4">
      <c r="A52" s="151"/>
      <c r="B52" s="151"/>
      <c r="C52" s="24" t="s">
        <v>74</v>
      </c>
      <c r="D52" s="162"/>
      <c r="E52" s="163"/>
      <c r="F52" s="163"/>
      <c r="G52" s="164"/>
      <c r="H52" s="25">
        <f t="shared" si="19"/>
        <v>2.7172199999999966</v>
      </c>
      <c r="I52" s="47">
        <f>H52</f>
        <v>2.7172199999999966</v>
      </c>
      <c r="J52" s="2">
        <v>1</v>
      </c>
      <c r="K52" s="13">
        <f t="shared" si="0"/>
        <v>2.7172199999999966</v>
      </c>
      <c r="L52" s="18">
        <v>1.6666666666666666E-2</v>
      </c>
      <c r="M52" s="32">
        <f t="shared" si="4"/>
        <v>4.5286999999999945E-2</v>
      </c>
      <c r="N52" s="25">
        <f t="shared" si="20"/>
        <v>0</v>
      </c>
      <c r="O52" s="17">
        <v>0</v>
      </c>
      <c r="P52" s="25">
        <f t="shared" si="2"/>
        <v>0</v>
      </c>
      <c r="Q52" s="18">
        <v>0</v>
      </c>
      <c r="R52" s="32">
        <f t="shared" si="5"/>
        <v>0</v>
      </c>
      <c r="S52" s="14">
        <f t="shared" si="3"/>
        <v>4.5286999999999945E-2</v>
      </c>
    </row>
    <row r="53" spans="1:19" ht="39" customHeight="1" thickBot="1" x14ac:dyDescent="0.4">
      <c r="A53" s="151"/>
      <c r="B53" s="151"/>
      <c r="C53" s="24" t="s">
        <v>407</v>
      </c>
      <c r="D53" s="156" t="str">
        <f>Appendices!E34</f>
        <v>C10</v>
      </c>
      <c r="E53" s="157"/>
      <c r="F53" s="157"/>
      <c r="G53" s="158"/>
      <c r="H53" s="25">
        <f>I45</f>
        <v>434.25</v>
      </c>
      <c r="I53" s="13">
        <f>H53*0.52</f>
        <v>225.81</v>
      </c>
      <c r="J53" s="2">
        <v>1</v>
      </c>
      <c r="K53" s="13">
        <f t="shared" si="0"/>
        <v>225.81</v>
      </c>
      <c r="L53" s="18">
        <v>0.05</v>
      </c>
      <c r="M53" s="32">
        <f t="shared" si="4"/>
        <v>11.290500000000002</v>
      </c>
      <c r="N53" s="25">
        <f t="shared" si="20"/>
        <v>208.44</v>
      </c>
      <c r="O53" s="17">
        <v>1</v>
      </c>
      <c r="P53" s="25">
        <f t="shared" si="2"/>
        <v>208.44</v>
      </c>
      <c r="Q53" s="17">
        <v>0.02</v>
      </c>
      <c r="R53" s="32">
        <f t="shared" si="5"/>
        <v>4.1688000000000001</v>
      </c>
      <c r="S53" s="14">
        <f t="shared" si="3"/>
        <v>15.459300000000002</v>
      </c>
    </row>
    <row r="54" spans="1:19" ht="42" customHeight="1" thickBot="1" x14ac:dyDescent="0.4">
      <c r="A54" s="151"/>
      <c r="B54" s="151"/>
      <c r="C54" s="24" t="s">
        <v>408</v>
      </c>
      <c r="D54" s="159"/>
      <c r="E54" s="160"/>
      <c r="F54" s="160"/>
      <c r="G54" s="161"/>
      <c r="H54" s="25">
        <f t="shared" ref="H54:H59" si="21">N53</f>
        <v>208.44</v>
      </c>
      <c r="I54" s="13">
        <f>H54*0.52</f>
        <v>108.3888</v>
      </c>
      <c r="J54" s="2">
        <v>1</v>
      </c>
      <c r="K54" s="13">
        <f t="shared" si="0"/>
        <v>108.3888</v>
      </c>
      <c r="L54" s="18">
        <v>0.05</v>
      </c>
      <c r="M54" s="32">
        <f t="shared" si="4"/>
        <v>5.4194400000000007</v>
      </c>
      <c r="N54" s="25">
        <f t="shared" si="20"/>
        <v>100.05119999999999</v>
      </c>
      <c r="O54" s="17">
        <v>1</v>
      </c>
      <c r="P54" s="25">
        <f t="shared" si="2"/>
        <v>100.05119999999999</v>
      </c>
      <c r="Q54" s="18">
        <v>0.02</v>
      </c>
      <c r="R54" s="32">
        <f t="shared" si="5"/>
        <v>2.0010240000000001</v>
      </c>
      <c r="S54" s="14">
        <f t="shared" si="3"/>
        <v>7.4204640000000008</v>
      </c>
    </row>
    <row r="55" spans="1:19" ht="36.75" customHeight="1" thickBot="1" x14ac:dyDescent="0.4">
      <c r="A55" s="151"/>
      <c r="B55" s="151"/>
      <c r="C55" s="24" t="s">
        <v>409</v>
      </c>
      <c r="D55" s="159"/>
      <c r="E55" s="160"/>
      <c r="F55" s="160"/>
      <c r="G55" s="161"/>
      <c r="H55" s="25">
        <f t="shared" si="21"/>
        <v>100.05119999999999</v>
      </c>
      <c r="I55" s="13">
        <f>H55*0.5</f>
        <v>50.025599999999997</v>
      </c>
      <c r="J55" s="2">
        <v>1</v>
      </c>
      <c r="K55" s="13">
        <f t="shared" si="0"/>
        <v>50.025599999999997</v>
      </c>
      <c r="L55" s="18">
        <v>0.05</v>
      </c>
      <c r="M55" s="32">
        <f t="shared" si="4"/>
        <v>2.5012799999999999</v>
      </c>
      <c r="N55" s="25">
        <f t="shared" si="20"/>
        <v>50.025599999999997</v>
      </c>
      <c r="O55" s="17">
        <v>1</v>
      </c>
      <c r="P55" s="25">
        <f t="shared" si="2"/>
        <v>50.025599999999997</v>
      </c>
      <c r="Q55" s="18">
        <v>0.02</v>
      </c>
      <c r="R55" s="32">
        <f t="shared" si="5"/>
        <v>1.0005120000000001</v>
      </c>
      <c r="S55" s="14">
        <f t="shared" si="3"/>
        <v>3.501792</v>
      </c>
    </row>
    <row r="56" spans="1:19" ht="39" customHeight="1" thickBot="1" x14ac:dyDescent="0.4">
      <c r="A56" s="151"/>
      <c r="B56" s="151"/>
      <c r="C56" s="24" t="s">
        <v>410</v>
      </c>
      <c r="D56" s="159"/>
      <c r="E56" s="160"/>
      <c r="F56" s="160"/>
      <c r="G56" s="161"/>
      <c r="H56" s="25">
        <f t="shared" si="21"/>
        <v>50.025599999999997</v>
      </c>
      <c r="I56" s="13">
        <f>H56*0.5</f>
        <v>25.012799999999999</v>
      </c>
      <c r="J56" s="2">
        <v>1</v>
      </c>
      <c r="K56" s="13">
        <f t="shared" si="0"/>
        <v>25.012799999999999</v>
      </c>
      <c r="L56" s="18">
        <v>0.05</v>
      </c>
      <c r="M56" s="32">
        <f t="shared" si="4"/>
        <v>1.25064</v>
      </c>
      <c r="N56" s="25">
        <f t="shared" si="20"/>
        <v>25.012799999999999</v>
      </c>
      <c r="O56" s="17">
        <v>1</v>
      </c>
      <c r="P56" s="25">
        <f t="shared" si="2"/>
        <v>25.012799999999999</v>
      </c>
      <c r="Q56" s="17">
        <v>0.02</v>
      </c>
      <c r="R56" s="32">
        <f t="shared" si="5"/>
        <v>0.50025600000000003</v>
      </c>
      <c r="S56" s="14">
        <f t="shared" si="3"/>
        <v>1.750896</v>
      </c>
    </row>
    <row r="57" spans="1:19" ht="39.75" customHeight="1" thickBot="1" x14ac:dyDescent="0.4">
      <c r="A57" s="151"/>
      <c r="B57" s="151"/>
      <c r="C57" s="24" t="s">
        <v>411</v>
      </c>
      <c r="D57" s="159"/>
      <c r="E57" s="160"/>
      <c r="F57" s="160"/>
      <c r="G57" s="161"/>
      <c r="H57" s="25">
        <f t="shared" si="21"/>
        <v>25.012799999999999</v>
      </c>
      <c r="I57" s="13">
        <f>H57*0.49</f>
        <v>12.256271999999999</v>
      </c>
      <c r="J57" s="2">
        <v>1</v>
      </c>
      <c r="K57" s="13">
        <f t="shared" si="0"/>
        <v>12.256271999999999</v>
      </c>
      <c r="L57" s="18">
        <v>0.05</v>
      </c>
      <c r="M57" s="32">
        <f t="shared" si="4"/>
        <v>0.61281359999999996</v>
      </c>
      <c r="N57" s="25">
        <f t="shared" si="20"/>
        <v>12.756527999999999</v>
      </c>
      <c r="O57" s="17">
        <v>1</v>
      </c>
      <c r="P57" s="25">
        <f t="shared" si="2"/>
        <v>12.756527999999999</v>
      </c>
      <c r="Q57" s="18">
        <v>0.02</v>
      </c>
      <c r="R57" s="32">
        <f t="shared" si="5"/>
        <v>0.25513056000000001</v>
      </c>
      <c r="S57" s="14">
        <f t="shared" si="3"/>
        <v>0.86794415999999996</v>
      </c>
    </row>
    <row r="58" spans="1:19" ht="37.5" customHeight="1" thickBot="1" x14ac:dyDescent="0.4">
      <c r="A58" s="151"/>
      <c r="B58" s="151"/>
      <c r="C58" s="24" t="s">
        <v>412</v>
      </c>
      <c r="D58" s="159"/>
      <c r="E58" s="160"/>
      <c r="F58" s="160"/>
      <c r="G58" s="161"/>
      <c r="H58" s="25">
        <f t="shared" si="21"/>
        <v>12.756527999999999</v>
      </c>
      <c r="I58" s="13">
        <f>H58*0.48</f>
        <v>6.1231334399999993</v>
      </c>
      <c r="J58" s="2">
        <v>1</v>
      </c>
      <c r="K58" s="13">
        <f t="shared" si="0"/>
        <v>6.1231334399999993</v>
      </c>
      <c r="L58" s="18">
        <v>0.05</v>
      </c>
      <c r="M58" s="32">
        <f t="shared" si="4"/>
        <v>0.30615667199999996</v>
      </c>
      <c r="N58" s="25">
        <f t="shared" si="20"/>
        <v>6.6333945600000002</v>
      </c>
      <c r="O58" s="17">
        <v>1</v>
      </c>
      <c r="P58" s="25">
        <f t="shared" si="2"/>
        <v>6.6333945600000002</v>
      </c>
      <c r="Q58" s="18">
        <v>0.02</v>
      </c>
      <c r="R58" s="32">
        <f t="shared" si="5"/>
        <v>0.1326678912</v>
      </c>
      <c r="S58" s="14">
        <f t="shared" si="3"/>
        <v>0.43882456319999996</v>
      </c>
    </row>
    <row r="59" spans="1:19" ht="33.75" customHeight="1" thickBot="1" x14ac:dyDescent="0.4">
      <c r="A59" s="151"/>
      <c r="B59" s="151"/>
      <c r="C59" s="24" t="s">
        <v>81</v>
      </c>
      <c r="D59" s="162"/>
      <c r="E59" s="163"/>
      <c r="F59" s="163"/>
      <c r="G59" s="164"/>
      <c r="H59" s="25">
        <f t="shared" si="21"/>
        <v>6.6333945600000002</v>
      </c>
      <c r="I59" s="13">
        <f>H59</f>
        <v>6.6333945600000002</v>
      </c>
      <c r="J59" s="2">
        <v>1</v>
      </c>
      <c r="K59" s="13">
        <f t="shared" si="0"/>
        <v>6.6333945600000002</v>
      </c>
      <c r="L59" s="18">
        <v>0.05</v>
      </c>
      <c r="M59" s="32">
        <f t="shared" si="4"/>
        <v>0.33166972800000005</v>
      </c>
      <c r="N59" s="25">
        <f t="shared" si="20"/>
        <v>0</v>
      </c>
      <c r="O59" s="17">
        <v>0</v>
      </c>
      <c r="P59" s="25">
        <f t="shared" si="2"/>
        <v>0</v>
      </c>
      <c r="Q59" s="18">
        <v>0</v>
      </c>
      <c r="R59" s="32">
        <f t="shared" si="5"/>
        <v>0</v>
      </c>
      <c r="S59" s="14">
        <f t="shared" si="3"/>
        <v>0.33166972800000005</v>
      </c>
    </row>
    <row r="60" spans="1:19" ht="36" customHeight="1" thickBot="1" x14ac:dyDescent="0.4">
      <c r="A60" s="151"/>
      <c r="B60" s="151"/>
      <c r="C60" s="24" t="s">
        <v>428</v>
      </c>
      <c r="D60" s="236" t="str">
        <f>Appendices!E62</f>
        <v>D1</v>
      </c>
      <c r="E60" s="237"/>
      <c r="F60" s="237"/>
      <c r="G60" s="238"/>
      <c r="H60" s="26">
        <f>H43</f>
        <v>965</v>
      </c>
      <c r="I60" s="13">
        <f>I43</f>
        <v>772</v>
      </c>
      <c r="J60" s="2">
        <v>1</v>
      </c>
      <c r="K60" s="2">
        <f t="shared" si="0"/>
        <v>772</v>
      </c>
      <c r="L60" s="18">
        <v>0.05</v>
      </c>
      <c r="M60" s="32">
        <f t="shared" si="4"/>
        <v>38.6</v>
      </c>
      <c r="N60" s="25">
        <f t="shared" si="20"/>
        <v>193</v>
      </c>
      <c r="O60" s="17">
        <v>1</v>
      </c>
      <c r="P60" s="16">
        <f t="shared" ref="P60:P64" si="22">N60*O60</f>
        <v>193</v>
      </c>
      <c r="Q60" s="18">
        <v>0.02</v>
      </c>
      <c r="R60" s="32">
        <f t="shared" si="5"/>
        <v>3.86</v>
      </c>
      <c r="S60" s="14">
        <f t="shared" si="3"/>
        <v>42.46</v>
      </c>
    </row>
    <row r="61" spans="1:19" s="86" customFormat="1" ht="33.75" customHeight="1" thickBot="1" x14ac:dyDescent="0.4">
      <c r="A61" s="151"/>
      <c r="B61" s="151"/>
      <c r="C61" s="24" t="s">
        <v>93</v>
      </c>
      <c r="D61" s="294" t="str">
        <f>Appendices!E67</f>
        <v>D3</v>
      </c>
      <c r="E61" s="295"/>
      <c r="F61" s="295"/>
      <c r="G61" s="296"/>
      <c r="H61" s="25">
        <v>60</v>
      </c>
      <c r="I61" s="47">
        <f>ROUNDUP(H61,0)*0.5</f>
        <v>30</v>
      </c>
      <c r="J61" s="2">
        <v>1</v>
      </c>
      <c r="K61" s="13">
        <f t="shared" si="0"/>
        <v>30</v>
      </c>
      <c r="L61" s="18">
        <f>0.05</f>
        <v>0.05</v>
      </c>
      <c r="M61" s="32">
        <f t="shared" si="4"/>
        <v>1.5</v>
      </c>
      <c r="N61" s="25">
        <f>ROUNDDOWN(H61-I61, 0)</f>
        <v>30</v>
      </c>
      <c r="O61" s="17">
        <v>1</v>
      </c>
      <c r="P61" s="25">
        <f t="shared" si="22"/>
        <v>30</v>
      </c>
      <c r="Q61" s="17">
        <v>0.02</v>
      </c>
      <c r="R61" s="32">
        <f t="shared" si="5"/>
        <v>0.6</v>
      </c>
      <c r="S61" s="14">
        <f t="shared" si="3"/>
        <v>2.1</v>
      </c>
    </row>
    <row r="62" spans="1:19" s="86" customFormat="1" ht="44.25" customHeight="1" thickBot="1" x14ac:dyDescent="0.4">
      <c r="A62" s="151"/>
      <c r="B62" s="151"/>
      <c r="C62" s="24" t="s">
        <v>425</v>
      </c>
      <c r="D62" s="297" t="str">
        <f>Appendices!E68</f>
        <v>D4</v>
      </c>
      <c r="E62" s="298"/>
      <c r="F62" s="298"/>
      <c r="G62" s="299"/>
      <c r="H62" s="25">
        <v>60</v>
      </c>
      <c r="I62" s="47">
        <f>ROUNDUP(H62,0)*0.65</f>
        <v>39</v>
      </c>
      <c r="J62" s="2">
        <v>1</v>
      </c>
      <c r="K62" s="13">
        <f t="shared" si="0"/>
        <v>39</v>
      </c>
      <c r="L62" s="18">
        <f>0.58</f>
        <v>0.57999999999999996</v>
      </c>
      <c r="M62" s="32">
        <f t="shared" si="4"/>
        <v>22.619999999999997</v>
      </c>
      <c r="N62" s="25">
        <f>H62-I62</f>
        <v>21</v>
      </c>
      <c r="O62" s="17">
        <v>1</v>
      </c>
      <c r="P62" s="25">
        <f t="shared" si="22"/>
        <v>21</v>
      </c>
      <c r="Q62" s="17">
        <v>0.02</v>
      </c>
      <c r="R62" s="32">
        <f t="shared" si="5"/>
        <v>0.42</v>
      </c>
      <c r="S62" s="14">
        <f t="shared" si="3"/>
        <v>23.04</v>
      </c>
    </row>
    <row r="63" spans="1:19" s="86" customFormat="1" ht="49.5" customHeight="1" thickBot="1" x14ac:dyDescent="0.4">
      <c r="A63" s="151"/>
      <c r="B63" s="151"/>
      <c r="C63" s="24" t="s">
        <v>426</v>
      </c>
      <c r="D63" s="300"/>
      <c r="E63" s="301"/>
      <c r="F63" s="301"/>
      <c r="G63" s="302"/>
      <c r="H63" s="25">
        <f>N62</f>
        <v>21</v>
      </c>
      <c r="I63" s="47">
        <f>ROUNDUP(H63,0)*0.65</f>
        <v>13.65</v>
      </c>
      <c r="J63" s="2">
        <v>1</v>
      </c>
      <c r="K63" s="13">
        <f t="shared" si="0"/>
        <v>13.65</v>
      </c>
      <c r="L63" s="18">
        <v>0.57999999999999996</v>
      </c>
      <c r="M63" s="32">
        <f t="shared" si="4"/>
        <v>7.9169999999999998</v>
      </c>
      <c r="N63" s="25">
        <f>H63-I63</f>
        <v>7.35</v>
      </c>
      <c r="O63" s="17">
        <v>1</v>
      </c>
      <c r="P63" s="25">
        <f t="shared" si="22"/>
        <v>7.35</v>
      </c>
      <c r="Q63" s="17">
        <v>0.02</v>
      </c>
      <c r="R63" s="32">
        <f t="shared" si="5"/>
        <v>0.14699999999999999</v>
      </c>
      <c r="S63" s="14">
        <f t="shared" si="3"/>
        <v>8.0640000000000001</v>
      </c>
    </row>
    <row r="64" spans="1:19" s="86" customFormat="1" ht="48" customHeight="1" thickBot="1" x14ac:dyDescent="0.4">
      <c r="A64" s="151"/>
      <c r="B64" s="151"/>
      <c r="C64" s="24" t="s">
        <v>94</v>
      </c>
      <c r="D64" s="303"/>
      <c r="E64" s="304"/>
      <c r="F64" s="304"/>
      <c r="G64" s="305"/>
      <c r="H64" s="25">
        <f>N63</f>
        <v>7.35</v>
      </c>
      <c r="I64" s="47">
        <f>H64</f>
        <v>7.35</v>
      </c>
      <c r="J64" s="2">
        <v>1</v>
      </c>
      <c r="K64" s="13">
        <f t="shared" si="0"/>
        <v>7.35</v>
      </c>
      <c r="L64" s="18">
        <v>0.57999999999999996</v>
      </c>
      <c r="M64" s="32">
        <f t="shared" si="4"/>
        <v>4.2629999999999999</v>
      </c>
      <c r="N64" s="25">
        <f>H64-I64</f>
        <v>0</v>
      </c>
      <c r="O64" s="17">
        <v>0</v>
      </c>
      <c r="P64" s="25">
        <f t="shared" si="22"/>
        <v>0</v>
      </c>
      <c r="Q64" s="18">
        <v>0</v>
      </c>
      <c r="R64" s="32">
        <f t="shared" si="5"/>
        <v>0</v>
      </c>
      <c r="S64" s="14">
        <f t="shared" si="3"/>
        <v>4.2629999999999999</v>
      </c>
    </row>
    <row r="65" spans="1:22" ht="31.5" customHeight="1" thickBot="1" x14ac:dyDescent="0.4">
      <c r="A65" s="151"/>
      <c r="B65" s="151"/>
      <c r="C65" s="7" t="s">
        <v>75</v>
      </c>
      <c r="D65" s="258" t="str">
        <f>Appendices!E69</f>
        <v>D5</v>
      </c>
      <c r="E65" s="259"/>
      <c r="F65" s="259"/>
      <c r="G65" s="260"/>
      <c r="H65" s="13">
        <f>I43</f>
        <v>772</v>
      </c>
      <c r="I65" s="13">
        <f>H65</f>
        <v>772</v>
      </c>
      <c r="J65" s="2">
        <v>1</v>
      </c>
      <c r="K65" s="2">
        <f t="shared" si="0"/>
        <v>772</v>
      </c>
      <c r="L65" s="18">
        <v>0.02</v>
      </c>
      <c r="M65" s="32">
        <f t="shared" si="4"/>
        <v>15.44</v>
      </c>
      <c r="N65" s="25">
        <f>H65-I65</f>
        <v>0</v>
      </c>
      <c r="O65" s="17">
        <v>0</v>
      </c>
      <c r="P65" s="16">
        <v>0</v>
      </c>
      <c r="Q65" s="18">
        <v>0</v>
      </c>
      <c r="R65" s="32">
        <f t="shared" si="5"/>
        <v>0</v>
      </c>
      <c r="S65" s="14">
        <f t="shared" si="3"/>
        <v>15.44</v>
      </c>
    </row>
    <row r="66" spans="1:22" s="86" customFormat="1" ht="36" customHeight="1" thickBot="1" x14ac:dyDescent="0.4">
      <c r="A66" s="151"/>
      <c r="B66" s="151"/>
      <c r="C66" s="7" t="s">
        <v>376</v>
      </c>
      <c r="D66" s="281" t="s">
        <v>377</v>
      </c>
      <c r="E66" s="282"/>
      <c r="F66" s="282"/>
      <c r="G66" s="283"/>
      <c r="H66" s="13">
        <v>20</v>
      </c>
      <c r="I66" s="13">
        <v>20</v>
      </c>
      <c r="J66" s="2">
        <v>1</v>
      </c>
      <c r="K66" s="2">
        <f t="shared" si="0"/>
        <v>20</v>
      </c>
      <c r="L66" s="18">
        <v>0.02</v>
      </c>
      <c r="M66" s="32">
        <f t="shared" si="4"/>
        <v>0.4</v>
      </c>
      <c r="N66" s="25">
        <v>0</v>
      </c>
      <c r="O66" s="17">
        <v>0</v>
      </c>
      <c r="P66" s="16">
        <v>0</v>
      </c>
      <c r="Q66" s="18">
        <v>0</v>
      </c>
      <c r="R66" s="32">
        <f t="shared" si="5"/>
        <v>0</v>
      </c>
      <c r="S66" s="14">
        <f t="shared" si="3"/>
        <v>0.4</v>
      </c>
    </row>
    <row r="67" spans="1:22" s="86" customFormat="1" ht="28.5" customHeight="1" thickBot="1" x14ac:dyDescent="0.4">
      <c r="A67" s="151"/>
      <c r="B67" s="151"/>
      <c r="C67" s="7" t="s">
        <v>254</v>
      </c>
      <c r="D67" s="258" t="s">
        <v>378</v>
      </c>
      <c r="E67" s="259"/>
      <c r="F67" s="259"/>
      <c r="G67" s="260"/>
      <c r="H67" s="88">
        <f>60/3</f>
        <v>20</v>
      </c>
      <c r="I67" s="88">
        <v>15</v>
      </c>
      <c r="J67" s="88">
        <v>5</v>
      </c>
      <c r="K67" s="88">
        <f>J67*I67</f>
        <v>75</v>
      </c>
      <c r="L67" s="97">
        <v>0.57999999999999996</v>
      </c>
      <c r="M67" s="133">
        <f>L67*K67</f>
        <v>43.5</v>
      </c>
      <c r="N67" s="88">
        <f>H67-I67</f>
        <v>5</v>
      </c>
      <c r="O67" s="88">
        <v>1</v>
      </c>
      <c r="P67" s="88">
        <f>O67*N67</f>
        <v>5</v>
      </c>
      <c r="Q67" s="97">
        <v>0.02</v>
      </c>
      <c r="R67" s="133">
        <f>Q67*P67</f>
        <v>0.1</v>
      </c>
      <c r="S67" s="97">
        <f>R67+M67</f>
        <v>43.6</v>
      </c>
    </row>
    <row r="68" spans="1:22" s="86" customFormat="1" ht="36.75" customHeight="1" thickBot="1" x14ac:dyDescent="0.4">
      <c r="A68" s="151"/>
      <c r="B68" s="151"/>
      <c r="C68" s="7" t="s">
        <v>474</v>
      </c>
      <c r="D68" s="258" t="s">
        <v>379</v>
      </c>
      <c r="E68" s="259"/>
      <c r="F68" s="259"/>
      <c r="G68" s="260"/>
      <c r="H68" s="88">
        <v>20</v>
      </c>
      <c r="I68" s="88">
        <v>20</v>
      </c>
      <c r="J68" s="88">
        <v>5</v>
      </c>
      <c r="K68" s="88">
        <f>J68*I68</f>
        <v>100</v>
      </c>
      <c r="L68" s="97">
        <v>0.02</v>
      </c>
      <c r="M68" s="133">
        <f>L68*K68</f>
        <v>2</v>
      </c>
      <c r="N68" s="88">
        <v>0</v>
      </c>
      <c r="O68" s="88">
        <v>0</v>
      </c>
      <c r="P68" s="88">
        <v>0</v>
      </c>
      <c r="Q68" s="97">
        <v>0</v>
      </c>
      <c r="R68" s="133">
        <v>0</v>
      </c>
      <c r="S68" s="97">
        <f>R68+M68</f>
        <v>2</v>
      </c>
    </row>
    <row r="69" spans="1:22" s="86" customFormat="1" ht="40.5" customHeight="1" thickBot="1" x14ac:dyDescent="0.4">
      <c r="A69" s="174"/>
      <c r="B69" s="174"/>
      <c r="C69" s="7" t="s">
        <v>475</v>
      </c>
      <c r="D69" s="258" t="s">
        <v>476</v>
      </c>
      <c r="E69" s="259"/>
      <c r="F69" s="259"/>
      <c r="G69" s="260"/>
      <c r="H69" s="88">
        <v>5</v>
      </c>
      <c r="I69" s="88">
        <v>5</v>
      </c>
      <c r="J69" s="147">
        <v>5</v>
      </c>
      <c r="K69" s="88">
        <f>J69*I69</f>
        <v>25</v>
      </c>
      <c r="L69" s="97">
        <v>0.57999999999999996</v>
      </c>
      <c r="M69" s="133">
        <f>L69*K69</f>
        <v>14.499999999999998</v>
      </c>
      <c r="N69" s="88">
        <v>0</v>
      </c>
      <c r="O69" s="88">
        <v>0</v>
      </c>
      <c r="P69" s="88">
        <v>0</v>
      </c>
      <c r="Q69" s="97">
        <v>0</v>
      </c>
      <c r="R69" s="133">
        <v>0</v>
      </c>
      <c r="S69" s="97">
        <f>R69+M69</f>
        <v>14.499999999999998</v>
      </c>
    </row>
    <row r="70" spans="1:22" ht="15" thickBot="1" x14ac:dyDescent="0.4">
      <c r="A70" s="169" t="s">
        <v>480</v>
      </c>
      <c r="B70" s="170"/>
      <c r="C70" s="170"/>
      <c r="D70" s="170"/>
      <c r="E70" s="170"/>
      <c r="F70" s="170"/>
      <c r="G70" s="170"/>
      <c r="H70" s="171"/>
      <c r="I70" s="27">
        <f>I7+I27+I43</f>
        <v>882</v>
      </c>
      <c r="J70" s="45">
        <f>K70/I70</f>
        <v>5.4264739229024936</v>
      </c>
      <c r="K70" s="44">
        <f>SUM(K7:K69)</f>
        <v>4786.1499999999996</v>
      </c>
      <c r="L70" s="4">
        <f>M70/K70</f>
        <v>0.23265167897649122</v>
      </c>
      <c r="M70" s="4">
        <f>SUM(M7:M69)</f>
        <v>1113.5058333333334</v>
      </c>
      <c r="N70" s="144">
        <f>N43+N9+N29</f>
        <v>263.8</v>
      </c>
      <c r="O70" s="57">
        <f>P70/N70</f>
        <v>9.7372762309468825</v>
      </c>
      <c r="P70" s="45">
        <f>SUM(P7:P69)</f>
        <v>2568.6934697237875</v>
      </c>
      <c r="Q70" s="4">
        <f>R70/P70</f>
        <v>2.6198676559765672E-2</v>
      </c>
      <c r="R70" s="4">
        <f>SUM(R7:R69)</f>
        <v>67.296369394475747</v>
      </c>
      <c r="S70" s="15">
        <f>SUM(S7:S69)</f>
        <v>1180.8022027278091</v>
      </c>
    </row>
    <row r="71" spans="1:22" ht="15" thickBot="1" x14ac:dyDescent="0.4">
      <c r="A71" s="266" t="s">
        <v>20</v>
      </c>
      <c r="B71" s="267"/>
      <c r="C71" s="267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8"/>
    </row>
    <row r="72" spans="1:22" ht="15" thickBot="1" x14ac:dyDescent="0.4">
      <c r="A72" s="261" t="s">
        <v>20</v>
      </c>
      <c r="B72" s="239" t="s">
        <v>65</v>
      </c>
      <c r="C72" s="29" t="s">
        <v>423</v>
      </c>
      <c r="D72" s="103" t="str">
        <f>Appendices!$E$9&amp;","</f>
        <v>B3.a,</v>
      </c>
      <c r="E72" s="104" t="str">
        <f>Appendices!$E$10&amp;","</f>
        <v>B3.b,</v>
      </c>
      <c r="F72" s="104" t="str">
        <f>Appendices!$E$11&amp;","</f>
        <v>B3.c,</v>
      </c>
      <c r="G72" s="105" t="str">
        <f>Appendices!$E$12</f>
        <v>B3.d</v>
      </c>
      <c r="H72" s="39">
        <v>2000</v>
      </c>
      <c r="I72" s="37">
        <v>1600</v>
      </c>
      <c r="J72" s="31">
        <v>1</v>
      </c>
      <c r="K72" s="31">
        <f t="shared" ref="K72:K82" si="23">I72*J72</f>
        <v>1600</v>
      </c>
      <c r="L72" s="32">
        <v>0.7</v>
      </c>
      <c r="M72" s="33">
        <f>L72*K72</f>
        <v>1120</v>
      </c>
      <c r="N72" s="31">
        <f>H72-I72</f>
        <v>400</v>
      </c>
      <c r="O72" s="31">
        <v>0</v>
      </c>
      <c r="P72" s="31">
        <f t="shared" ref="P72:P114" si="24">O72*N72</f>
        <v>0</v>
      </c>
      <c r="Q72" s="32">
        <v>0</v>
      </c>
      <c r="R72" s="33">
        <f>Q72*P72</f>
        <v>0</v>
      </c>
      <c r="S72" s="33">
        <f t="shared" ref="S72:S103" si="25">R72+M72</f>
        <v>1120</v>
      </c>
    </row>
    <row r="73" spans="1:22" ht="60.75" customHeight="1" thickBot="1" x14ac:dyDescent="0.4">
      <c r="A73" s="261"/>
      <c r="B73" s="239"/>
      <c r="C73" s="51" t="s">
        <v>400</v>
      </c>
      <c r="D73" s="193" t="str">
        <f>Appendices!$E$35&amp;","</f>
        <v>C11.a,</v>
      </c>
      <c r="E73" s="194"/>
      <c r="F73" s="288" t="str">
        <f>Appendices!$E$36</f>
        <v>C11.b</v>
      </c>
      <c r="G73" s="289"/>
      <c r="H73" s="52">
        <v>2000</v>
      </c>
      <c r="I73" s="47">
        <f>H73*0.1809</f>
        <v>361.8</v>
      </c>
      <c r="J73" s="17">
        <v>1</v>
      </c>
      <c r="K73" s="47">
        <f t="shared" si="23"/>
        <v>361.8</v>
      </c>
      <c r="L73" s="18">
        <v>0.18</v>
      </c>
      <c r="M73" s="33">
        <f t="shared" ref="M73:M122" si="26">L73*K73</f>
        <v>65.123999999999995</v>
      </c>
      <c r="N73" s="47">
        <f>H73-I73</f>
        <v>1638.2</v>
      </c>
      <c r="O73" s="17">
        <v>1</v>
      </c>
      <c r="P73" s="47">
        <f t="shared" si="24"/>
        <v>1638.2</v>
      </c>
      <c r="Q73" s="17">
        <v>0.02</v>
      </c>
      <c r="R73" s="33">
        <f t="shared" ref="R73:R122" si="27">Q73*P73</f>
        <v>32.764000000000003</v>
      </c>
      <c r="S73" s="18">
        <f t="shared" si="25"/>
        <v>97.888000000000005</v>
      </c>
    </row>
    <row r="74" spans="1:22" ht="57" customHeight="1" thickBot="1" x14ac:dyDescent="0.4">
      <c r="A74" s="261"/>
      <c r="B74" s="239"/>
      <c r="C74" s="51" t="s">
        <v>401</v>
      </c>
      <c r="D74" s="195"/>
      <c r="E74" s="196"/>
      <c r="F74" s="290"/>
      <c r="G74" s="291"/>
      <c r="H74" s="52">
        <f t="shared" ref="H74:H80" si="28">N73</f>
        <v>1638.2</v>
      </c>
      <c r="I74" s="47">
        <f>H74*0.1809</f>
        <v>296.35038000000003</v>
      </c>
      <c r="J74" s="17">
        <v>1</v>
      </c>
      <c r="K74" s="47">
        <f t="shared" si="23"/>
        <v>296.35038000000003</v>
      </c>
      <c r="L74" s="18">
        <v>0.18</v>
      </c>
      <c r="M74" s="33">
        <f t="shared" si="26"/>
        <v>53.3430684</v>
      </c>
      <c r="N74" s="47">
        <f>ROUND(H74,0)-I74</f>
        <v>1341.6496199999999</v>
      </c>
      <c r="O74" s="17">
        <v>1</v>
      </c>
      <c r="P74" s="47">
        <f t="shared" si="24"/>
        <v>1341.6496199999999</v>
      </c>
      <c r="Q74" s="18">
        <v>0.02</v>
      </c>
      <c r="R74" s="33">
        <f t="shared" si="27"/>
        <v>26.832992399999998</v>
      </c>
      <c r="S74" s="18">
        <f t="shared" si="25"/>
        <v>80.176060800000002</v>
      </c>
    </row>
    <row r="75" spans="1:22" ht="46.5" customHeight="1" thickBot="1" x14ac:dyDescent="0.4">
      <c r="A75" s="261"/>
      <c r="B75" s="239"/>
      <c r="C75" s="51" t="s">
        <v>402</v>
      </c>
      <c r="D75" s="195"/>
      <c r="E75" s="196"/>
      <c r="F75" s="290"/>
      <c r="G75" s="291"/>
      <c r="H75" s="52">
        <f t="shared" si="28"/>
        <v>1341.6496199999999</v>
      </c>
      <c r="I75" s="47">
        <f>H75*0.1809</f>
        <v>242.70441625799998</v>
      </c>
      <c r="J75" s="17">
        <v>1</v>
      </c>
      <c r="K75" s="47">
        <f t="shared" si="23"/>
        <v>242.70441625799998</v>
      </c>
      <c r="L75" s="18">
        <v>0.18</v>
      </c>
      <c r="M75" s="33">
        <f t="shared" si="26"/>
        <v>43.686794926439994</v>
      </c>
      <c r="N75" s="47">
        <f>ROUNDUP(H75, 0)-ROUNDUP(I75, 0)</f>
        <v>1099</v>
      </c>
      <c r="O75" s="17">
        <v>1</v>
      </c>
      <c r="P75" s="47">
        <f t="shared" si="24"/>
        <v>1099</v>
      </c>
      <c r="Q75" s="18">
        <v>0.02</v>
      </c>
      <c r="R75" s="33">
        <f t="shared" si="27"/>
        <v>21.98</v>
      </c>
      <c r="S75" s="18">
        <f t="shared" si="25"/>
        <v>65.666794926439991</v>
      </c>
    </row>
    <row r="76" spans="1:22" ht="34.5" customHeight="1" thickBot="1" x14ac:dyDescent="0.4">
      <c r="A76" s="261"/>
      <c r="B76" s="239"/>
      <c r="C76" s="51" t="s">
        <v>403</v>
      </c>
      <c r="D76" s="195"/>
      <c r="E76" s="196"/>
      <c r="F76" s="290"/>
      <c r="G76" s="291"/>
      <c r="H76" s="52">
        <f t="shared" si="28"/>
        <v>1099</v>
      </c>
      <c r="I76" s="47">
        <f>H76*0.0915</f>
        <v>100.5585</v>
      </c>
      <c r="J76" s="17">
        <v>1</v>
      </c>
      <c r="K76" s="47">
        <f t="shared" si="23"/>
        <v>100.5585</v>
      </c>
      <c r="L76" s="18">
        <v>0.18</v>
      </c>
      <c r="M76" s="33">
        <f t="shared" si="26"/>
        <v>18.100529999999999</v>
      </c>
      <c r="N76" s="47">
        <f t="shared" ref="N76:N97" si="29">H76-I76</f>
        <v>998.44150000000002</v>
      </c>
      <c r="O76" s="17">
        <v>1</v>
      </c>
      <c r="P76" s="47">
        <f t="shared" si="24"/>
        <v>998.44150000000002</v>
      </c>
      <c r="Q76" s="17">
        <v>0.02</v>
      </c>
      <c r="R76" s="33">
        <f t="shared" si="27"/>
        <v>19.968830000000001</v>
      </c>
      <c r="S76" s="18">
        <f t="shared" si="25"/>
        <v>38.069360000000003</v>
      </c>
    </row>
    <row r="77" spans="1:22" ht="51.75" customHeight="1" thickBot="1" x14ac:dyDescent="0.4">
      <c r="A77" s="261"/>
      <c r="B77" s="239"/>
      <c r="C77" s="51" t="s">
        <v>404</v>
      </c>
      <c r="D77" s="195"/>
      <c r="E77" s="196"/>
      <c r="F77" s="290"/>
      <c r="G77" s="291"/>
      <c r="H77" s="52">
        <f t="shared" si="28"/>
        <v>998.44150000000002</v>
      </c>
      <c r="I77" s="47">
        <f>H77*0.0915</f>
        <v>91.357397250000005</v>
      </c>
      <c r="J77" s="17">
        <v>1</v>
      </c>
      <c r="K77" s="47">
        <f t="shared" si="23"/>
        <v>91.357397250000005</v>
      </c>
      <c r="L77" s="18">
        <v>0.18</v>
      </c>
      <c r="M77" s="33">
        <f t="shared" si="26"/>
        <v>16.444331505000001</v>
      </c>
      <c r="N77" s="47">
        <f t="shared" si="29"/>
        <v>907.08410275000006</v>
      </c>
      <c r="O77" s="17">
        <v>1</v>
      </c>
      <c r="P77" s="47">
        <f t="shared" si="24"/>
        <v>907.08410275000006</v>
      </c>
      <c r="Q77" s="18">
        <v>0.02</v>
      </c>
      <c r="R77" s="33">
        <f t="shared" si="27"/>
        <v>18.141682055</v>
      </c>
      <c r="S77" s="18">
        <f t="shared" si="25"/>
        <v>34.586013559999998</v>
      </c>
    </row>
    <row r="78" spans="1:22" ht="49.5" customHeight="1" thickBot="1" x14ac:dyDescent="0.4">
      <c r="A78" s="261"/>
      <c r="B78" s="239"/>
      <c r="C78" s="51" t="s">
        <v>405</v>
      </c>
      <c r="D78" s="195"/>
      <c r="E78" s="196"/>
      <c r="F78" s="290"/>
      <c r="G78" s="291"/>
      <c r="H78" s="52">
        <f t="shared" si="28"/>
        <v>907.08410275000006</v>
      </c>
      <c r="I78" s="47">
        <f>H78*0.0915</f>
        <v>82.998195401624997</v>
      </c>
      <c r="J78" s="17">
        <v>1</v>
      </c>
      <c r="K78" s="47">
        <f t="shared" si="23"/>
        <v>82.998195401624997</v>
      </c>
      <c r="L78" s="18">
        <v>0.18</v>
      </c>
      <c r="M78" s="33">
        <f t="shared" si="26"/>
        <v>14.9396751722925</v>
      </c>
      <c r="N78" s="47">
        <f t="shared" si="29"/>
        <v>824.08590734837503</v>
      </c>
      <c r="O78" s="17">
        <v>1</v>
      </c>
      <c r="P78" s="47">
        <f t="shared" si="24"/>
        <v>824.08590734837503</v>
      </c>
      <c r="Q78" s="18">
        <v>0.02</v>
      </c>
      <c r="R78" s="33">
        <f t="shared" si="27"/>
        <v>16.481718146967502</v>
      </c>
      <c r="S78" s="18">
        <f t="shared" si="25"/>
        <v>31.421393319260002</v>
      </c>
    </row>
    <row r="79" spans="1:22" ht="72" customHeight="1" thickBot="1" x14ac:dyDescent="0.4">
      <c r="A79" s="261"/>
      <c r="B79" s="239"/>
      <c r="C79" s="51" t="s">
        <v>406</v>
      </c>
      <c r="D79" s="197"/>
      <c r="E79" s="198"/>
      <c r="F79" s="292"/>
      <c r="G79" s="293"/>
      <c r="H79" s="52">
        <f t="shared" si="28"/>
        <v>824.08590734837503</v>
      </c>
      <c r="I79" s="47">
        <f>H79*0.151</f>
        <v>124.43697200960463</v>
      </c>
      <c r="J79" s="17">
        <v>1</v>
      </c>
      <c r="K79" s="47">
        <f t="shared" si="23"/>
        <v>124.43697200960463</v>
      </c>
      <c r="L79" s="18">
        <v>0.18</v>
      </c>
      <c r="M79" s="33">
        <f t="shared" si="26"/>
        <v>22.398654961728834</v>
      </c>
      <c r="N79" s="47">
        <f t="shared" si="29"/>
        <v>699.64893533877034</v>
      </c>
      <c r="O79" s="17">
        <v>1</v>
      </c>
      <c r="P79" s="47">
        <f t="shared" si="24"/>
        <v>699.64893533877034</v>
      </c>
      <c r="Q79" s="17">
        <v>0.02</v>
      </c>
      <c r="R79" s="33">
        <f t="shared" si="27"/>
        <v>13.992978706775407</v>
      </c>
      <c r="S79" s="18">
        <f t="shared" si="25"/>
        <v>36.391633668504241</v>
      </c>
    </row>
    <row r="80" spans="1:22" ht="51.75" customHeight="1" thickBot="1" x14ac:dyDescent="0.4">
      <c r="A80" s="261"/>
      <c r="B80" s="239"/>
      <c r="C80" s="55" t="s">
        <v>429</v>
      </c>
      <c r="D80" s="274" t="str">
        <f>Appendices!$E$37&amp;","</f>
        <v>C12.a,</v>
      </c>
      <c r="E80" s="275"/>
      <c r="F80" s="272" t="str">
        <f>Appendices!$E$38</f>
        <v>C12.b</v>
      </c>
      <c r="G80" s="273"/>
      <c r="H80" s="52">
        <f t="shared" si="28"/>
        <v>699.64893533877034</v>
      </c>
      <c r="I80" s="54">
        <f>H80*0.429</f>
        <v>300.14939326033249</v>
      </c>
      <c r="J80" s="2">
        <v>1</v>
      </c>
      <c r="K80" s="13">
        <f t="shared" si="23"/>
        <v>300.14939326033249</v>
      </c>
      <c r="L80" s="18">
        <v>0.17</v>
      </c>
      <c r="M80" s="33">
        <f t="shared" si="26"/>
        <v>51.025396854256527</v>
      </c>
      <c r="N80" s="13">
        <f>ROUNDUP(H80-I80,0)</f>
        <v>400</v>
      </c>
      <c r="O80" s="2">
        <v>0</v>
      </c>
      <c r="P80" s="13">
        <f t="shared" si="24"/>
        <v>0</v>
      </c>
      <c r="Q80" s="18">
        <v>0</v>
      </c>
      <c r="R80" s="33">
        <f t="shared" si="27"/>
        <v>0</v>
      </c>
      <c r="S80" s="9">
        <f t="shared" si="25"/>
        <v>51.025396854256527</v>
      </c>
      <c r="V80" s="121"/>
    </row>
    <row r="81" spans="1:19" ht="50.25" customHeight="1" thickBot="1" x14ac:dyDescent="0.4">
      <c r="A81" s="261"/>
      <c r="B81" s="239"/>
      <c r="C81" s="55" t="s">
        <v>430</v>
      </c>
      <c r="D81" s="274" t="str">
        <f>Appendices!$E$39&amp;","</f>
        <v>C13.a,</v>
      </c>
      <c r="E81" s="275"/>
      <c r="F81" s="284" t="str">
        <f>Appendices!$E$40</f>
        <v>C13.b</v>
      </c>
      <c r="G81" s="285"/>
      <c r="H81" s="120">
        <v>1600</v>
      </c>
      <c r="I81" s="13">
        <f>H81*0.55</f>
        <v>880.00000000000011</v>
      </c>
      <c r="J81" s="2">
        <v>1</v>
      </c>
      <c r="K81" s="13">
        <f t="shared" si="23"/>
        <v>880.00000000000011</v>
      </c>
      <c r="L81" s="18">
        <v>0.02</v>
      </c>
      <c r="M81" s="33">
        <f t="shared" si="26"/>
        <v>17.600000000000001</v>
      </c>
      <c r="N81" s="13">
        <f t="shared" si="29"/>
        <v>719.99999999999989</v>
      </c>
      <c r="O81" s="2">
        <v>1</v>
      </c>
      <c r="P81" s="2">
        <f t="shared" si="24"/>
        <v>719.99999999999989</v>
      </c>
      <c r="Q81" s="18">
        <v>0.02</v>
      </c>
      <c r="R81" s="33">
        <f t="shared" si="27"/>
        <v>14.399999999999999</v>
      </c>
      <c r="S81" s="10">
        <f t="shared" si="25"/>
        <v>32</v>
      </c>
    </row>
    <row r="82" spans="1:19" ht="46.5" customHeight="1" thickBot="1" x14ac:dyDescent="0.4">
      <c r="A82" s="261"/>
      <c r="B82" s="239"/>
      <c r="C82" s="51" t="s">
        <v>424</v>
      </c>
      <c r="D82" s="276" t="str">
        <f>Appendices!$E$41&amp;","</f>
        <v>C14.a,</v>
      </c>
      <c r="E82" s="277"/>
      <c r="F82" s="284" t="str">
        <f>Appendices!$E$42</f>
        <v>C14.b</v>
      </c>
      <c r="G82" s="285"/>
      <c r="H82" s="120">
        <v>720</v>
      </c>
      <c r="I82" s="13">
        <f>H82*0.5</f>
        <v>360</v>
      </c>
      <c r="J82" s="2">
        <v>1</v>
      </c>
      <c r="K82" s="13">
        <f t="shared" si="23"/>
        <v>360</v>
      </c>
      <c r="L82" s="18">
        <v>0.05</v>
      </c>
      <c r="M82" s="33">
        <f t="shared" si="26"/>
        <v>18</v>
      </c>
      <c r="N82" s="13">
        <f t="shared" si="29"/>
        <v>360</v>
      </c>
      <c r="O82" s="2">
        <v>1</v>
      </c>
      <c r="P82" s="2">
        <f t="shared" si="24"/>
        <v>360</v>
      </c>
      <c r="Q82" s="17">
        <v>0.02</v>
      </c>
      <c r="R82" s="33">
        <f t="shared" si="27"/>
        <v>7.2</v>
      </c>
      <c r="S82" s="10">
        <f t="shared" si="25"/>
        <v>25.2</v>
      </c>
    </row>
    <row r="83" spans="1:19" ht="49.5" customHeight="1" thickBot="1" x14ac:dyDescent="0.4">
      <c r="A83" s="261"/>
      <c r="B83" s="239"/>
      <c r="C83" s="24" t="s">
        <v>431</v>
      </c>
      <c r="D83" s="203" t="str">
        <f>Appendices!$E$70&amp;","</f>
        <v>D6.a,</v>
      </c>
      <c r="E83" s="204"/>
      <c r="F83" s="286" t="str">
        <f>Appendices!$E$71</f>
        <v>D6.b</v>
      </c>
      <c r="G83" s="287"/>
      <c r="H83" s="19">
        <v>2000</v>
      </c>
      <c r="I83" s="13">
        <v>1600</v>
      </c>
      <c r="J83" s="2">
        <v>1</v>
      </c>
      <c r="K83" s="2">
        <f t="shared" ref="K83:K122" si="30">I83*J83</f>
        <v>1600</v>
      </c>
      <c r="L83" s="18">
        <v>0.05</v>
      </c>
      <c r="M83" s="33">
        <f t="shared" si="26"/>
        <v>80</v>
      </c>
      <c r="N83" s="13">
        <f t="shared" si="29"/>
        <v>400</v>
      </c>
      <c r="O83" s="2">
        <v>1</v>
      </c>
      <c r="P83" s="2">
        <f t="shared" si="24"/>
        <v>400</v>
      </c>
      <c r="Q83" s="17">
        <v>0.02</v>
      </c>
      <c r="R83" s="33">
        <f t="shared" si="27"/>
        <v>8</v>
      </c>
      <c r="S83" s="10">
        <f t="shared" si="25"/>
        <v>88</v>
      </c>
    </row>
    <row r="84" spans="1:19" ht="51.75" customHeight="1" thickBot="1" x14ac:dyDescent="0.4">
      <c r="A84" s="261"/>
      <c r="B84" s="239"/>
      <c r="C84" s="50" t="s">
        <v>83</v>
      </c>
      <c r="D84" s="181" t="str">
        <f>Appendices!$E$72&amp;","</f>
        <v>D7.a,</v>
      </c>
      <c r="E84" s="182"/>
      <c r="F84" s="264" t="str">
        <f>Appendices!$E$73</f>
        <v>D7.b</v>
      </c>
      <c r="G84" s="265"/>
      <c r="H84" s="13">
        <v>1600</v>
      </c>
      <c r="I84" s="13">
        <v>1600</v>
      </c>
      <c r="J84" s="2">
        <v>1</v>
      </c>
      <c r="K84" s="2">
        <f t="shared" si="30"/>
        <v>1600</v>
      </c>
      <c r="L84" s="18">
        <v>8.3333333333333329E-2</v>
      </c>
      <c r="M84" s="33">
        <f t="shared" si="26"/>
        <v>133.33333333333331</v>
      </c>
      <c r="N84" s="13">
        <f t="shared" si="29"/>
        <v>0</v>
      </c>
      <c r="O84" s="2">
        <v>0</v>
      </c>
      <c r="P84" s="2">
        <f t="shared" si="24"/>
        <v>0</v>
      </c>
      <c r="Q84" s="18">
        <v>0</v>
      </c>
      <c r="R84" s="33">
        <f t="shared" si="27"/>
        <v>0</v>
      </c>
      <c r="S84" s="10">
        <f t="shared" si="25"/>
        <v>133.33333333333331</v>
      </c>
    </row>
    <row r="85" spans="1:19" ht="34.5" customHeight="1" thickBot="1" x14ac:dyDescent="0.4">
      <c r="A85" s="261"/>
      <c r="B85" s="239"/>
      <c r="C85" s="21" t="s">
        <v>432</v>
      </c>
      <c r="D85" s="106" t="str">
        <f>Appendices!$E$17&amp;","</f>
        <v>B5.a,</v>
      </c>
      <c r="E85" s="107" t="str">
        <f>Appendices!$E$18&amp;","</f>
        <v>B5.b,</v>
      </c>
      <c r="F85" s="107" t="str">
        <f>Appendices!$E$19&amp;","</f>
        <v>B5.c,</v>
      </c>
      <c r="G85" s="108" t="str">
        <f>Appendices!$E$20</f>
        <v>B5.d</v>
      </c>
      <c r="H85" s="2">
        <v>1000</v>
      </c>
      <c r="I85" s="2">
        <v>800</v>
      </c>
      <c r="J85" s="2">
        <v>1</v>
      </c>
      <c r="K85" s="2">
        <f t="shared" si="30"/>
        <v>800</v>
      </c>
      <c r="L85" s="18">
        <v>0.5</v>
      </c>
      <c r="M85" s="33">
        <f t="shared" si="26"/>
        <v>400</v>
      </c>
      <c r="N85" s="9">
        <f t="shared" si="29"/>
        <v>200</v>
      </c>
      <c r="O85" s="2">
        <v>1</v>
      </c>
      <c r="P85" s="2">
        <f t="shared" si="24"/>
        <v>200</v>
      </c>
      <c r="Q85" s="17">
        <f>0.02</f>
        <v>0.02</v>
      </c>
      <c r="R85" s="33">
        <f t="shared" si="27"/>
        <v>4</v>
      </c>
      <c r="S85" s="10">
        <f t="shared" si="25"/>
        <v>404</v>
      </c>
    </row>
    <row r="86" spans="1:19" ht="15" thickBot="1" x14ac:dyDescent="0.4">
      <c r="A86" s="150" t="s">
        <v>20</v>
      </c>
      <c r="B86" s="239" t="s">
        <v>65</v>
      </c>
      <c r="C86" s="29" t="s">
        <v>434</v>
      </c>
      <c r="D86" s="106" t="str">
        <f>Appendices!$E$17&amp;","</f>
        <v>B5.a,</v>
      </c>
      <c r="E86" s="107" t="str">
        <f>Appendices!$E$18&amp;","</f>
        <v>B5.b,</v>
      </c>
      <c r="F86" s="107" t="str">
        <f>Appendices!$E$19&amp;","</f>
        <v>B5.c,</v>
      </c>
      <c r="G86" s="108" t="str">
        <f>Appendices!$E$20</f>
        <v>B5.d</v>
      </c>
      <c r="H86" s="39">
        <v>1500</v>
      </c>
      <c r="I86" s="31">
        <v>750</v>
      </c>
      <c r="J86" s="31">
        <v>1</v>
      </c>
      <c r="K86" s="37">
        <f t="shared" si="30"/>
        <v>750</v>
      </c>
      <c r="L86" s="9">
        <v>0.5</v>
      </c>
      <c r="M86" s="33">
        <f t="shared" si="26"/>
        <v>375</v>
      </c>
      <c r="N86" s="31">
        <f t="shared" si="29"/>
        <v>750</v>
      </c>
      <c r="O86" s="31">
        <v>1</v>
      </c>
      <c r="P86" s="31">
        <f t="shared" si="24"/>
        <v>750</v>
      </c>
      <c r="Q86" s="32">
        <v>0.02</v>
      </c>
      <c r="R86" s="33">
        <f t="shared" si="27"/>
        <v>15</v>
      </c>
      <c r="S86" s="33">
        <f t="shared" si="25"/>
        <v>390</v>
      </c>
    </row>
    <row r="87" spans="1:19" ht="42" customHeight="1" thickBot="1" x14ac:dyDescent="0.4">
      <c r="A87" s="151"/>
      <c r="B87" s="239"/>
      <c r="C87" s="23" t="s">
        <v>433</v>
      </c>
      <c r="D87" s="193" t="str">
        <f>Appendices!$E$51&amp;","</f>
        <v>C19.a,</v>
      </c>
      <c r="E87" s="194"/>
      <c r="F87" s="216" t="str">
        <f>Appendices!$E$52</f>
        <v>C19.b</v>
      </c>
      <c r="G87" s="217"/>
      <c r="H87" s="20">
        <v>1500</v>
      </c>
      <c r="I87" s="11">
        <f>H87*0.225</f>
        <v>337.5</v>
      </c>
      <c r="J87" s="2">
        <v>1</v>
      </c>
      <c r="K87" s="13">
        <f t="shared" si="30"/>
        <v>337.5</v>
      </c>
      <c r="L87" s="18">
        <v>0.11666666666666667</v>
      </c>
      <c r="M87" s="33">
        <f t="shared" si="26"/>
        <v>39.375</v>
      </c>
      <c r="N87" s="13">
        <f>ROUNDDOWN(H87-I87,0)</f>
        <v>1162</v>
      </c>
      <c r="O87" s="2">
        <v>1</v>
      </c>
      <c r="P87" s="13">
        <f t="shared" si="24"/>
        <v>1162</v>
      </c>
      <c r="Q87" s="17">
        <v>0.02</v>
      </c>
      <c r="R87" s="33">
        <f t="shared" si="27"/>
        <v>23.240000000000002</v>
      </c>
      <c r="S87" s="10">
        <f t="shared" si="25"/>
        <v>62.615000000000002</v>
      </c>
    </row>
    <row r="88" spans="1:19" ht="42.75" customHeight="1" thickBot="1" x14ac:dyDescent="0.4">
      <c r="A88" s="151"/>
      <c r="B88" s="239"/>
      <c r="C88" s="23" t="s">
        <v>435</v>
      </c>
      <c r="D88" s="195"/>
      <c r="E88" s="196"/>
      <c r="F88" s="218"/>
      <c r="G88" s="219"/>
      <c r="H88" s="20">
        <f t="shared" ref="H88:H95" si="31">N87</f>
        <v>1162</v>
      </c>
      <c r="I88" s="11">
        <f>H88*0.15</f>
        <v>174.29999999999998</v>
      </c>
      <c r="J88" s="2">
        <v>1</v>
      </c>
      <c r="K88" s="13">
        <f t="shared" si="30"/>
        <v>174.29999999999998</v>
      </c>
      <c r="L88" s="18">
        <v>0.11666666666666667</v>
      </c>
      <c r="M88" s="33">
        <f t="shared" si="26"/>
        <v>20.334999999999997</v>
      </c>
      <c r="N88" s="13">
        <f t="shared" si="29"/>
        <v>987.7</v>
      </c>
      <c r="O88" s="2">
        <v>1</v>
      </c>
      <c r="P88" s="13">
        <f t="shared" si="24"/>
        <v>987.7</v>
      </c>
      <c r="Q88" s="18">
        <v>0.02</v>
      </c>
      <c r="R88" s="33">
        <f t="shared" si="27"/>
        <v>19.754000000000001</v>
      </c>
      <c r="S88" s="10">
        <f t="shared" si="25"/>
        <v>40.088999999999999</v>
      </c>
    </row>
    <row r="89" spans="1:19" ht="48.75" customHeight="1" thickBot="1" x14ac:dyDescent="0.4">
      <c r="A89" s="151"/>
      <c r="B89" s="239"/>
      <c r="C89" s="23" t="s">
        <v>436</v>
      </c>
      <c r="D89" s="195"/>
      <c r="E89" s="196"/>
      <c r="F89" s="218"/>
      <c r="G89" s="219"/>
      <c r="H89" s="20">
        <f t="shared" si="31"/>
        <v>987.7</v>
      </c>
      <c r="I89" s="11">
        <f>H89*0.112</f>
        <v>110.62240000000001</v>
      </c>
      <c r="J89" s="2">
        <v>1</v>
      </c>
      <c r="K89" s="13">
        <f t="shared" si="30"/>
        <v>110.62240000000001</v>
      </c>
      <c r="L89" s="18">
        <v>0.11666666666666667</v>
      </c>
      <c r="M89" s="33">
        <f t="shared" si="26"/>
        <v>12.905946666666669</v>
      </c>
      <c r="N89" s="13">
        <f t="shared" si="29"/>
        <v>877.07760000000007</v>
      </c>
      <c r="O89" s="2">
        <v>1</v>
      </c>
      <c r="P89" s="13">
        <f t="shared" si="24"/>
        <v>877.07760000000007</v>
      </c>
      <c r="Q89" s="18">
        <v>0.02</v>
      </c>
      <c r="R89" s="33">
        <f t="shared" si="27"/>
        <v>17.541552000000003</v>
      </c>
      <c r="S89" s="10">
        <f t="shared" si="25"/>
        <v>30.447498666666672</v>
      </c>
    </row>
    <row r="90" spans="1:19" ht="40.5" customHeight="1" thickBot="1" x14ac:dyDescent="0.4">
      <c r="A90" s="151"/>
      <c r="B90" s="239"/>
      <c r="C90" s="23" t="s">
        <v>437</v>
      </c>
      <c r="D90" s="195"/>
      <c r="E90" s="196"/>
      <c r="F90" s="218"/>
      <c r="G90" s="219"/>
      <c r="H90" s="20">
        <f t="shared" si="31"/>
        <v>877.07760000000007</v>
      </c>
      <c r="I90" s="11">
        <f>H90*0.05</f>
        <v>43.853880000000004</v>
      </c>
      <c r="J90" s="2">
        <v>1</v>
      </c>
      <c r="K90" s="13">
        <f t="shared" si="30"/>
        <v>43.853880000000004</v>
      </c>
      <c r="L90" s="18">
        <v>0.11666666666666667</v>
      </c>
      <c r="M90" s="33">
        <f t="shared" si="26"/>
        <v>5.1162860000000006</v>
      </c>
      <c r="N90" s="13">
        <f t="shared" si="29"/>
        <v>833.22372000000007</v>
      </c>
      <c r="O90" s="2">
        <v>1</v>
      </c>
      <c r="P90" s="13">
        <f t="shared" si="24"/>
        <v>833.22372000000007</v>
      </c>
      <c r="Q90" s="17">
        <v>0.02</v>
      </c>
      <c r="R90" s="33">
        <f t="shared" si="27"/>
        <v>16.664474400000003</v>
      </c>
      <c r="S90" s="10">
        <f t="shared" si="25"/>
        <v>21.780760400000005</v>
      </c>
    </row>
    <row r="91" spans="1:19" ht="45.75" customHeight="1" thickBot="1" x14ac:dyDescent="0.4">
      <c r="A91" s="151"/>
      <c r="B91" s="239"/>
      <c r="C91" s="23" t="s">
        <v>438</v>
      </c>
      <c r="D91" s="195"/>
      <c r="E91" s="196"/>
      <c r="F91" s="218"/>
      <c r="G91" s="219"/>
      <c r="H91" s="20">
        <f t="shared" si="31"/>
        <v>833.22372000000007</v>
      </c>
      <c r="I91" s="11">
        <f>H91*0.0419</f>
        <v>34.912073868</v>
      </c>
      <c r="J91" s="2">
        <v>1</v>
      </c>
      <c r="K91" s="13">
        <f t="shared" si="30"/>
        <v>34.912073868</v>
      </c>
      <c r="L91" s="18">
        <v>0.11666666666666667</v>
      </c>
      <c r="M91" s="33">
        <f t="shared" si="26"/>
        <v>4.0730752845999998</v>
      </c>
      <c r="N91" s="13">
        <f t="shared" si="29"/>
        <v>798.31164613200008</v>
      </c>
      <c r="O91" s="2">
        <v>1</v>
      </c>
      <c r="P91" s="13">
        <f t="shared" si="24"/>
        <v>798.31164613200008</v>
      </c>
      <c r="Q91" s="18">
        <v>0.02</v>
      </c>
      <c r="R91" s="33">
        <f t="shared" si="27"/>
        <v>15.966232922640001</v>
      </c>
      <c r="S91" s="10">
        <f t="shared" si="25"/>
        <v>20.039308207240001</v>
      </c>
    </row>
    <row r="92" spans="1:19" ht="42.75" customHeight="1" thickBot="1" x14ac:dyDescent="0.4">
      <c r="A92" s="151"/>
      <c r="B92" s="239"/>
      <c r="C92" s="23" t="s">
        <v>439</v>
      </c>
      <c r="D92" s="195"/>
      <c r="E92" s="196"/>
      <c r="F92" s="218"/>
      <c r="G92" s="219"/>
      <c r="H92" s="20">
        <f t="shared" si="31"/>
        <v>798.31164613200008</v>
      </c>
      <c r="I92" s="11">
        <f>H92*0.0313</f>
        <v>24.987154523931604</v>
      </c>
      <c r="J92" s="2">
        <v>1</v>
      </c>
      <c r="K92" s="13">
        <f t="shared" si="30"/>
        <v>24.987154523931604</v>
      </c>
      <c r="L92" s="18">
        <v>0.11666666666666667</v>
      </c>
      <c r="M92" s="33">
        <f t="shared" si="26"/>
        <v>2.9151680277920207</v>
      </c>
      <c r="N92" s="13">
        <f t="shared" si="29"/>
        <v>773.32449160806846</v>
      </c>
      <c r="O92" s="2">
        <v>1</v>
      </c>
      <c r="P92" s="13">
        <f t="shared" si="24"/>
        <v>773.32449160806846</v>
      </c>
      <c r="Q92" s="18">
        <v>0.02</v>
      </c>
      <c r="R92" s="33">
        <f t="shared" si="27"/>
        <v>15.46648983216137</v>
      </c>
      <c r="S92" s="10">
        <f t="shared" si="25"/>
        <v>18.381657859953393</v>
      </c>
    </row>
    <row r="93" spans="1:19" ht="49.5" customHeight="1" thickBot="1" x14ac:dyDescent="0.4">
      <c r="A93" s="151"/>
      <c r="B93" s="239"/>
      <c r="C93" s="23" t="s">
        <v>440</v>
      </c>
      <c r="D93" s="195"/>
      <c r="E93" s="196"/>
      <c r="F93" s="218"/>
      <c r="G93" s="219"/>
      <c r="H93" s="20">
        <f t="shared" si="31"/>
        <v>773.32449160806846</v>
      </c>
      <c r="I93" s="11">
        <f>H93*0.018</f>
        <v>13.919840848945231</v>
      </c>
      <c r="J93" s="2">
        <v>1</v>
      </c>
      <c r="K93" s="13">
        <f t="shared" si="30"/>
        <v>13.919840848945231</v>
      </c>
      <c r="L93" s="18">
        <v>0.11666666666666667</v>
      </c>
      <c r="M93" s="33">
        <f t="shared" si="26"/>
        <v>1.6239814323769437</v>
      </c>
      <c r="N93" s="13">
        <f t="shared" si="29"/>
        <v>759.40465075912323</v>
      </c>
      <c r="O93" s="2">
        <v>1</v>
      </c>
      <c r="P93" s="13">
        <f t="shared" si="24"/>
        <v>759.40465075912323</v>
      </c>
      <c r="Q93" s="17">
        <v>0.02</v>
      </c>
      <c r="R93" s="33">
        <f t="shared" si="27"/>
        <v>15.188093015182465</v>
      </c>
      <c r="S93" s="10">
        <f t="shared" si="25"/>
        <v>16.812074447559411</v>
      </c>
    </row>
    <row r="94" spans="1:19" ht="45" customHeight="1" thickBot="1" x14ac:dyDescent="0.4">
      <c r="A94" s="151"/>
      <c r="B94" s="239"/>
      <c r="C94" s="23" t="s">
        <v>477</v>
      </c>
      <c r="D94" s="197"/>
      <c r="E94" s="198"/>
      <c r="F94" s="220"/>
      <c r="G94" s="221"/>
      <c r="H94" s="20">
        <f t="shared" si="31"/>
        <v>759.40465075912323</v>
      </c>
      <c r="I94" s="11">
        <v>9</v>
      </c>
      <c r="J94" s="2">
        <v>1</v>
      </c>
      <c r="K94" s="13">
        <f t="shared" si="30"/>
        <v>9</v>
      </c>
      <c r="L94" s="18">
        <v>0.11666666666666667</v>
      </c>
      <c r="M94" s="33">
        <f t="shared" si="26"/>
        <v>1.05</v>
      </c>
      <c r="N94" s="13">
        <f t="shared" si="29"/>
        <v>750.40465075912323</v>
      </c>
      <c r="O94" s="2">
        <v>1</v>
      </c>
      <c r="P94" s="13">
        <f>O94*N94</f>
        <v>750.40465075912323</v>
      </c>
      <c r="Q94" s="18">
        <v>0.02</v>
      </c>
      <c r="R94" s="33">
        <f t="shared" si="27"/>
        <v>15.008093015182466</v>
      </c>
      <c r="S94" s="10">
        <f t="shared" si="25"/>
        <v>16.058093015182465</v>
      </c>
    </row>
    <row r="95" spans="1:19" ht="43.5" customHeight="1" thickBot="1" x14ac:dyDescent="0.4">
      <c r="A95" s="151"/>
      <c r="B95" s="239"/>
      <c r="C95" s="23" t="s">
        <v>42</v>
      </c>
      <c r="D95" s="203" t="str">
        <f>Appendices!$E$53&amp;","</f>
        <v>C20.a,</v>
      </c>
      <c r="E95" s="204"/>
      <c r="F95" s="262" t="str">
        <f>Appendices!E$54</f>
        <v>C20.b</v>
      </c>
      <c r="G95" s="263"/>
      <c r="H95" s="20">
        <f t="shared" si="31"/>
        <v>750.40465075912323</v>
      </c>
      <c r="I95" s="11">
        <f>H95*0.35</f>
        <v>262.6416277656931</v>
      </c>
      <c r="J95" s="2">
        <v>1</v>
      </c>
      <c r="K95" s="13">
        <f t="shared" si="30"/>
        <v>262.6416277656931</v>
      </c>
      <c r="L95" s="18">
        <v>0.02</v>
      </c>
      <c r="M95" s="33">
        <f t="shared" si="26"/>
        <v>5.2528325553138622</v>
      </c>
      <c r="N95" s="13">
        <f t="shared" si="29"/>
        <v>487.76302299343013</v>
      </c>
      <c r="O95" s="2">
        <v>1</v>
      </c>
      <c r="P95" s="13">
        <f t="shared" si="24"/>
        <v>487.76302299343013</v>
      </c>
      <c r="Q95" s="17">
        <v>0.02</v>
      </c>
      <c r="R95" s="33">
        <f t="shared" si="27"/>
        <v>9.7552604598686035</v>
      </c>
      <c r="S95" s="10">
        <f t="shared" si="25"/>
        <v>15.008093015182466</v>
      </c>
    </row>
    <row r="96" spans="1:19" ht="42.75" customHeight="1" thickBot="1" x14ac:dyDescent="0.4">
      <c r="A96" s="151"/>
      <c r="B96" s="239"/>
      <c r="C96" s="23" t="s">
        <v>43</v>
      </c>
      <c r="D96" s="203" t="str">
        <f>Appendices!$E$55&amp;","</f>
        <v>C21.a,</v>
      </c>
      <c r="E96" s="204"/>
      <c r="F96" s="262" t="str">
        <f>Appendices!E$56</f>
        <v>C21.b</v>
      </c>
      <c r="G96" s="263"/>
      <c r="H96" s="149">
        <f>H95</f>
        <v>750.40465075912323</v>
      </c>
      <c r="I96" s="77">
        <v>263</v>
      </c>
      <c r="J96" s="2">
        <v>1</v>
      </c>
      <c r="K96" s="13">
        <f t="shared" si="30"/>
        <v>263</v>
      </c>
      <c r="L96" s="18">
        <v>0.02</v>
      </c>
      <c r="M96" s="33">
        <f t="shared" si="26"/>
        <v>5.26</v>
      </c>
      <c r="N96" s="77">
        <f t="shared" si="29"/>
        <v>487.40465075912323</v>
      </c>
      <c r="O96" s="2">
        <v>1</v>
      </c>
      <c r="P96" s="13">
        <f t="shared" si="24"/>
        <v>487.40465075912323</v>
      </c>
      <c r="Q96" s="17">
        <v>0.02</v>
      </c>
      <c r="R96" s="33">
        <f t="shared" si="27"/>
        <v>9.7480930151824641</v>
      </c>
      <c r="S96" s="10">
        <f t="shared" si="25"/>
        <v>15.008093015182464</v>
      </c>
    </row>
    <row r="97" spans="1:19" ht="40.5" customHeight="1" thickBot="1" x14ac:dyDescent="0.4">
      <c r="A97" s="151"/>
      <c r="B97" s="239"/>
      <c r="C97" s="23" t="s">
        <v>331</v>
      </c>
      <c r="D97" s="203" t="str">
        <f>Appendices!$E$78&amp;","</f>
        <v>D10.a,</v>
      </c>
      <c r="E97" s="204"/>
      <c r="F97" s="306" t="str">
        <f>Appendices!E$79</f>
        <v>D10.b</v>
      </c>
      <c r="G97" s="307"/>
      <c r="H97" s="74">
        <v>750</v>
      </c>
      <c r="I97" s="77">
        <v>750</v>
      </c>
      <c r="J97" s="74">
        <v>1</v>
      </c>
      <c r="K97" s="13">
        <f t="shared" si="30"/>
        <v>750</v>
      </c>
      <c r="L97" s="74">
        <v>0.02</v>
      </c>
      <c r="M97" s="33">
        <f t="shared" si="26"/>
        <v>15</v>
      </c>
      <c r="N97" s="77">
        <f t="shared" si="29"/>
        <v>0</v>
      </c>
      <c r="O97" s="2">
        <v>0</v>
      </c>
      <c r="P97" s="13">
        <f t="shared" si="24"/>
        <v>0</v>
      </c>
      <c r="Q97" s="76">
        <v>0</v>
      </c>
      <c r="R97" s="33">
        <f t="shared" si="27"/>
        <v>0</v>
      </c>
      <c r="S97" s="10">
        <f t="shared" si="25"/>
        <v>15</v>
      </c>
    </row>
    <row r="98" spans="1:19" ht="43.5" customHeight="1" thickBot="1" x14ac:dyDescent="0.4">
      <c r="A98" s="151"/>
      <c r="B98" s="239"/>
      <c r="C98" s="70" t="s">
        <v>41</v>
      </c>
      <c r="D98" s="179" t="str">
        <f>Appendices!$E$82&amp;","</f>
        <v>D12.a,</v>
      </c>
      <c r="E98" s="180"/>
      <c r="F98" s="234" t="str">
        <f>Appendices!E$83</f>
        <v>D12.b</v>
      </c>
      <c r="G98" s="235"/>
      <c r="H98" s="74">
        <v>750</v>
      </c>
      <c r="I98" s="74">
        <v>750</v>
      </c>
      <c r="J98" s="74">
        <v>1</v>
      </c>
      <c r="K98" s="2">
        <f t="shared" si="30"/>
        <v>750</v>
      </c>
      <c r="L98" s="74">
        <v>0.02</v>
      </c>
      <c r="M98" s="33">
        <f t="shared" si="26"/>
        <v>15</v>
      </c>
      <c r="N98" s="74">
        <v>0</v>
      </c>
      <c r="O98" s="74">
        <v>0</v>
      </c>
      <c r="P98" s="2">
        <f t="shared" si="24"/>
        <v>0</v>
      </c>
      <c r="Q98" s="18">
        <v>0</v>
      </c>
      <c r="R98" s="33">
        <f t="shared" si="27"/>
        <v>0</v>
      </c>
      <c r="S98" s="10">
        <f t="shared" si="25"/>
        <v>15</v>
      </c>
    </row>
    <row r="99" spans="1:19" ht="34.5" customHeight="1" thickBot="1" x14ac:dyDescent="0.4">
      <c r="A99" s="151"/>
      <c r="B99" s="239"/>
      <c r="C99" s="29" t="s">
        <v>441</v>
      </c>
      <c r="D99" s="103" t="str">
        <f>Appendices!E17&amp;","</f>
        <v>B5.a,</v>
      </c>
      <c r="E99" s="104" t="str">
        <f>Appendices!E18&amp;","</f>
        <v>B5.b,</v>
      </c>
      <c r="F99" s="104" t="str">
        <f>Appendices!E19&amp;","</f>
        <v>B5.c,</v>
      </c>
      <c r="G99" s="105" t="str">
        <f>Appendices!E$20</f>
        <v>B5.d</v>
      </c>
      <c r="H99" s="38">
        <f>N86</f>
        <v>750</v>
      </c>
      <c r="I99" s="31">
        <v>450</v>
      </c>
      <c r="J99" s="31">
        <v>1</v>
      </c>
      <c r="K99" s="31">
        <f t="shared" si="30"/>
        <v>450</v>
      </c>
      <c r="L99" s="32">
        <f>(30/60)</f>
        <v>0.5</v>
      </c>
      <c r="M99" s="33">
        <f t="shared" si="26"/>
        <v>225</v>
      </c>
      <c r="N99" s="31">
        <f t="shared" ref="N99:N114" si="32">H99-I99</f>
        <v>300</v>
      </c>
      <c r="O99" s="31">
        <v>0</v>
      </c>
      <c r="P99" s="31">
        <f t="shared" si="24"/>
        <v>0</v>
      </c>
      <c r="Q99" s="32">
        <v>0</v>
      </c>
      <c r="R99" s="33">
        <f t="shared" si="27"/>
        <v>0</v>
      </c>
      <c r="S99" s="33">
        <f t="shared" si="25"/>
        <v>225</v>
      </c>
    </row>
    <row r="100" spans="1:19" ht="15" thickBot="1" x14ac:dyDescent="0.4">
      <c r="A100" s="151"/>
      <c r="B100" s="239"/>
      <c r="C100" s="69" t="s">
        <v>443</v>
      </c>
      <c r="D100" s="203" t="str">
        <f>Appendices!$E$57&amp;","</f>
        <v>C22.a,</v>
      </c>
      <c r="E100" s="204"/>
      <c r="F100" s="189" t="str">
        <f>Appendices!E$58</f>
        <v>C22.b</v>
      </c>
      <c r="G100" s="190"/>
      <c r="H100" s="8">
        <v>750</v>
      </c>
      <c r="I100" s="2">
        <v>450</v>
      </c>
      <c r="J100" s="2">
        <v>1</v>
      </c>
      <c r="K100" s="2">
        <f t="shared" si="30"/>
        <v>450</v>
      </c>
      <c r="L100" s="18">
        <v>0.08</v>
      </c>
      <c r="M100" s="33">
        <f t="shared" si="26"/>
        <v>36</v>
      </c>
      <c r="N100" s="2">
        <f t="shared" si="32"/>
        <v>300</v>
      </c>
      <c r="O100" s="2">
        <v>0</v>
      </c>
      <c r="P100" s="13">
        <f t="shared" si="24"/>
        <v>0</v>
      </c>
      <c r="Q100" s="18">
        <v>0</v>
      </c>
      <c r="R100" s="33">
        <f t="shared" si="27"/>
        <v>0</v>
      </c>
      <c r="S100" s="10">
        <f t="shared" si="25"/>
        <v>36</v>
      </c>
    </row>
    <row r="101" spans="1:19" ht="15" thickBot="1" x14ac:dyDescent="0.4">
      <c r="A101" s="151"/>
      <c r="B101" s="239"/>
      <c r="C101" s="59" t="s">
        <v>478</v>
      </c>
      <c r="D101" s="181" t="str">
        <f>Appendices!$E$80&amp;","</f>
        <v>D11.a,</v>
      </c>
      <c r="E101" s="182"/>
      <c r="F101" s="222" t="str">
        <f>Appendices!E81</f>
        <v>D11.b</v>
      </c>
      <c r="G101" s="223"/>
      <c r="H101" s="8">
        <v>750</v>
      </c>
      <c r="I101" s="2">
        <v>750</v>
      </c>
      <c r="J101" s="2">
        <v>1</v>
      </c>
      <c r="K101" s="2">
        <f t="shared" si="30"/>
        <v>750</v>
      </c>
      <c r="L101" s="18">
        <v>0.02</v>
      </c>
      <c r="M101" s="33">
        <f t="shared" si="26"/>
        <v>15</v>
      </c>
      <c r="N101" s="2">
        <f t="shared" si="32"/>
        <v>0</v>
      </c>
      <c r="O101" s="2">
        <v>0</v>
      </c>
      <c r="P101" s="13">
        <f t="shared" si="24"/>
        <v>0</v>
      </c>
      <c r="Q101" s="18">
        <v>0</v>
      </c>
      <c r="R101" s="33">
        <f t="shared" si="27"/>
        <v>0</v>
      </c>
      <c r="S101" s="10">
        <f t="shared" si="25"/>
        <v>15</v>
      </c>
    </row>
    <row r="102" spans="1:19" ht="15" thickBot="1" x14ac:dyDescent="0.4">
      <c r="A102" s="151"/>
      <c r="B102" s="239" t="s">
        <v>40</v>
      </c>
      <c r="C102" s="29" t="s">
        <v>442</v>
      </c>
      <c r="D102" s="110" t="str">
        <f>Appendices!E$13&amp;","</f>
        <v>B4.a,</v>
      </c>
      <c r="E102" s="111" t="str">
        <f>Appendices!$E$14&amp;","</f>
        <v>B4.b,</v>
      </c>
      <c r="F102" s="111" t="str">
        <f>Appendices!$E$15&amp;","</f>
        <v>B4.c,</v>
      </c>
      <c r="G102" s="112" t="str">
        <f>Appendices!$E$16</f>
        <v>B4.d</v>
      </c>
      <c r="H102" s="30">
        <v>240</v>
      </c>
      <c r="I102" s="31">
        <v>192</v>
      </c>
      <c r="J102" s="31">
        <v>1</v>
      </c>
      <c r="K102" s="31">
        <f t="shared" si="30"/>
        <v>192</v>
      </c>
      <c r="L102" s="32">
        <v>0.65</v>
      </c>
      <c r="M102" s="33">
        <f t="shared" si="26"/>
        <v>124.80000000000001</v>
      </c>
      <c r="N102" s="31">
        <f t="shared" si="32"/>
        <v>48</v>
      </c>
      <c r="O102" s="31">
        <v>0</v>
      </c>
      <c r="P102" s="31">
        <f t="shared" si="24"/>
        <v>0</v>
      </c>
      <c r="Q102" s="32">
        <v>0</v>
      </c>
      <c r="R102" s="33">
        <f t="shared" si="27"/>
        <v>0</v>
      </c>
      <c r="S102" s="33">
        <f t="shared" si="25"/>
        <v>124.80000000000001</v>
      </c>
    </row>
    <row r="103" spans="1:19" ht="15" thickBot="1" x14ac:dyDescent="0.4">
      <c r="A103" s="151"/>
      <c r="B103" s="239"/>
      <c r="C103" s="53" t="s">
        <v>444</v>
      </c>
      <c r="D103" s="224" t="str">
        <f>Appendices!$E$43&amp;","</f>
        <v>C15.a,</v>
      </c>
      <c r="E103" s="225"/>
      <c r="F103" s="288" t="str">
        <f>Appendices!$E$44</f>
        <v>C15.b</v>
      </c>
      <c r="G103" s="289"/>
      <c r="H103" s="12">
        <v>240</v>
      </c>
      <c r="I103" s="13">
        <f>H103*(0.3/2.55)</f>
        <v>28.235294117647058</v>
      </c>
      <c r="J103" s="2">
        <v>1</v>
      </c>
      <c r="K103" s="13">
        <f t="shared" si="30"/>
        <v>28.235294117647058</v>
      </c>
      <c r="L103" s="18">
        <v>0.13</v>
      </c>
      <c r="M103" s="33">
        <f t="shared" si="26"/>
        <v>3.6705882352941175</v>
      </c>
      <c r="N103" s="11">
        <f t="shared" si="32"/>
        <v>211.76470588235293</v>
      </c>
      <c r="O103" s="2">
        <v>1</v>
      </c>
      <c r="P103" s="13">
        <f t="shared" si="24"/>
        <v>211.76470588235293</v>
      </c>
      <c r="Q103" s="74">
        <v>0.02</v>
      </c>
      <c r="R103" s="33">
        <f t="shared" si="27"/>
        <v>4.2352941176470589</v>
      </c>
      <c r="S103" s="10">
        <f t="shared" si="25"/>
        <v>7.9058823529411768</v>
      </c>
    </row>
    <row r="104" spans="1:19" ht="15" thickBot="1" x14ac:dyDescent="0.4">
      <c r="A104" s="151"/>
      <c r="B104" s="239"/>
      <c r="C104" s="53" t="s">
        <v>445</v>
      </c>
      <c r="D104" s="226"/>
      <c r="E104" s="227"/>
      <c r="F104" s="290"/>
      <c r="G104" s="291"/>
      <c r="H104" s="12">
        <f t="shared" ref="H104:H111" si="33">N103</f>
        <v>211.76470588235293</v>
      </c>
      <c r="I104" s="13">
        <f>H104*(0.3/2.55)</f>
        <v>24.913494809688579</v>
      </c>
      <c r="J104" s="2">
        <v>1</v>
      </c>
      <c r="K104" s="13">
        <f t="shared" si="30"/>
        <v>24.913494809688579</v>
      </c>
      <c r="L104" s="18">
        <v>0.13</v>
      </c>
      <c r="M104" s="33">
        <f t="shared" si="26"/>
        <v>3.2387543252595155</v>
      </c>
      <c r="N104" s="11">
        <f t="shared" si="32"/>
        <v>186.85121107266434</v>
      </c>
      <c r="O104" s="2">
        <v>1</v>
      </c>
      <c r="P104" s="13">
        <f t="shared" si="24"/>
        <v>186.85121107266434</v>
      </c>
      <c r="Q104" s="18">
        <v>0.02</v>
      </c>
      <c r="R104" s="33">
        <f t="shared" si="27"/>
        <v>3.7370242214532867</v>
      </c>
      <c r="S104" s="10">
        <f t="shared" ref="S104:S122" si="34">R104+M104</f>
        <v>6.9757785467128022</v>
      </c>
    </row>
    <row r="105" spans="1:19" ht="15" thickBot="1" x14ac:dyDescent="0.4">
      <c r="A105" s="151"/>
      <c r="B105" s="239"/>
      <c r="C105" s="53" t="s">
        <v>446</v>
      </c>
      <c r="D105" s="226"/>
      <c r="E105" s="227"/>
      <c r="F105" s="290"/>
      <c r="G105" s="291"/>
      <c r="H105" s="12">
        <f t="shared" si="33"/>
        <v>186.85121107266434</v>
      </c>
      <c r="I105" s="13">
        <f>H105*(0.3/2.55)</f>
        <v>21.982495420313452</v>
      </c>
      <c r="J105" s="2">
        <v>1</v>
      </c>
      <c r="K105" s="13">
        <f t="shared" si="30"/>
        <v>21.982495420313452</v>
      </c>
      <c r="L105" s="18">
        <v>0.13</v>
      </c>
      <c r="M105" s="33">
        <f t="shared" si="26"/>
        <v>2.8577244046407486</v>
      </c>
      <c r="N105" s="11">
        <f t="shared" si="32"/>
        <v>164.86871565235089</v>
      </c>
      <c r="O105" s="2">
        <v>1</v>
      </c>
      <c r="P105" s="13">
        <f t="shared" si="24"/>
        <v>164.86871565235089</v>
      </c>
      <c r="Q105" s="18">
        <v>0.02</v>
      </c>
      <c r="R105" s="33">
        <f t="shared" si="27"/>
        <v>3.2973743130470177</v>
      </c>
      <c r="S105" s="10">
        <f t="shared" si="34"/>
        <v>6.1550987176877658</v>
      </c>
    </row>
    <row r="106" spans="1:19" ht="15" thickBot="1" x14ac:dyDescent="0.4">
      <c r="A106" s="151"/>
      <c r="B106" s="239"/>
      <c r="C106" s="53" t="s">
        <v>447</v>
      </c>
      <c r="D106" s="226"/>
      <c r="E106" s="227"/>
      <c r="F106" s="290"/>
      <c r="G106" s="291"/>
      <c r="H106" s="12">
        <f t="shared" si="33"/>
        <v>164.86871565235089</v>
      </c>
      <c r="I106" s="13">
        <f>H106*(0.045)</f>
        <v>7.4190922043557892</v>
      </c>
      <c r="J106" s="2">
        <v>1</v>
      </c>
      <c r="K106" s="13">
        <f t="shared" si="30"/>
        <v>7.4190922043557892</v>
      </c>
      <c r="L106" s="18">
        <v>0.13</v>
      </c>
      <c r="M106" s="33">
        <f t="shared" si="26"/>
        <v>0.96448198656625261</v>
      </c>
      <c r="N106" s="11">
        <f>ROUNDUP(H106-I106,0)</f>
        <v>158</v>
      </c>
      <c r="O106" s="2">
        <v>1</v>
      </c>
      <c r="P106" s="13">
        <f t="shared" si="24"/>
        <v>158</v>
      </c>
      <c r="Q106" s="74">
        <v>0.02</v>
      </c>
      <c r="R106" s="33">
        <f t="shared" si="27"/>
        <v>3.16</v>
      </c>
      <c r="S106" s="10">
        <f t="shared" si="34"/>
        <v>4.124481986566253</v>
      </c>
    </row>
    <row r="107" spans="1:19" ht="15" thickBot="1" x14ac:dyDescent="0.4">
      <c r="A107" s="151"/>
      <c r="B107" s="239"/>
      <c r="C107" s="53" t="s">
        <v>448</v>
      </c>
      <c r="D107" s="226"/>
      <c r="E107" s="227"/>
      <c r="F107" s="290"/>
      <c r="G107" s="291"/>
      <c r="H107" s="12">
        <f t="shared" si="33"/>
        <v>158</v>
      </c>
      <c r="I107" s="13">
        <f>H107*(0.04)</f>
        <v>6.32</v>
      </c>
      <c r="J107" s="2">
        <v>1</v>
      </c>
      <c r="K107" s="13">
        <f t="shared" si="30"/>
        <v>6.32</v>
      </c>
      <c r="L107" s="18">
        <v>0.13</v>
      </c>
      <c r="M107" s="33">
        <f t="shared" si="26"/>
        <v>0.82160000000000011</v>
      </c>
      <c r="N107" s="11">
        <f t="shared" si="32"/>
        <v>151.68</v>
      </c>
      <c r="O107" s="2">
        <v>1</v>
      </c>
      <c r="P107" s="13">
        <f t="shared" si="24"/>
        <v>151.68</v>
      </c>
      <c r="Q107" s="18">
        <v>0.02</v>
      </c>
      <c r="R107" s="33">
        <f t="shared" si="27"/>
        <v>3.0336000000000003</v>
      </c>
      <c r="S107" s="10">
        <f t="shared" si="34"/>
        <v>3.8552000000000004</v>
      </c>
    </row>
    <row r="108" spans="1:19" ht="15" thickBot="1" x14ac:dyDescent="0.4">
      <c r="A108" s="151"/>
      <c r="B108" s="239"/>
      <c r="C108" s="53" t="s">
        <v>449</v>
      </c>
      <c r="D108" s="226"/>
      <c r="E108" s="227"/>
      <c r="F108" s="290"/>
      <c r="G108" s="291"/>
      <c r="H108" s="12">
        <f t="shared" si="33"/>
        <v>151.68</v>
      </c>
      <c r="I108" s="13">
        <f>H108*(0.04)</f>
        <v>6.0672000000000006</v>
      </c>
      <c r="J108" s="2">
        <v>1</v>
      </c>
      <c r="K108" s="13">
        <f t="shared" si="30"/>
        <v>6.0672000000000006</v>
      </c>
      <c r="L108" s="18">
        <v>0.13</v>
      </c>
      <c r="M108" s="33">
        <f t="shared" si="26"/>
        <v>0.7887360000000001</v>
      </c>
      <c r="N108" s="11">
        <f t="shared" si="32"/>
        <v>145.61279999999999</v>
      </c>
      <c r="O108" s="2">
        <v>1</v>
      </c>
      <c r="P108" s="13">
        <f t="shared" si="24"/>
        <v>145.61279999999999</v>
      </c>
      <c r="Q108" s="18">
        <v>0.02</v>
      </c>
      <c r="R108" s="33">
        <f t="shared" si="27"/>
        <v>2.9122559999999997</v>
      </c>
      <c r="S108" s="10">
        <f t="shared" si="34"/>
        <v>3.7009919999999998</v>
      </c>
    </row>
    <row r="109" spans="1:19" ht="15" thickBot="1" x14ac:dyDescent="0.4">
      <c r="A109" s="151"/>
      <c r="B109" s="239"/>
      <c r="C109" s="53" t="s">
        <v>450</v>
      </c>
      <c r="D109" s="228"/>
      <c r="E109" s="229"/>
      <c r="F109" s="292"/>
      <c r="G109" s="293"/>
      <c r="H109" s="12">
        <f t="shared" si="33"/>
        <v>145.61279999999999</v>
      </c>
      <c r="I109" s="13">
        <f>H109*(0.3/8.15)</f>
        <v>5.3599803680981584</v>
      </c>
      <c r="J109" s="2">
        <v>1</v>
      </c>
      <c r="K109" s="13">
        <f t="shared" si="30"/>
        <v>5.3599803680981584</v>
      </c>
      <c r="L109" s="18">
        <v>0.13</v>
      </c>
      <c r="M109" s="33">
        <f t="shared" si="26"/>
        <v>0.69679744785276065</v>
      </c>
      <c r="N109" s="11">
        <f>ROUNDUP(H109-I109,0)</f>
        <v>141</v>
      </c>
      <c r="O109" s="2">
        <v>1</v>
      </c>
      <c r="P109" s="13">
        <f t="shared" si="24"/>
        <v>141</v>
      </c>
      <c r="Q109" s="74">
        <v>0.02</v>
      </c>
      <c r="R109" s="33">
        <f t="shared" si="27"/>
        <v>2.82</v>
      </c>
      <c r="S109" s="10">
        <f t="shared" si="34"/>
        <v>3.5167974478527606</v>
      </c>
    </row>
    <row r="110" spans="1:19" ht="15" thickBot="1" x14ac:dyDescent="0.4">
      <c r="A110" s="151"/>
      <c r="B110" s="239"/>
      <c r="C110" s="48" t="s">
        <v>451</v>
      </c>
      <c r="D110" s="230" t="str">
        <f>Appendices!$E$45&amp;","</f>
        <v>C16.a,</v>
      </c>
      <c r="E110" s="231"/>
      <c r="F110" s="183" t="str">
        <f>Appendices!$E$46</f>
        <v>C16.b</v>
      </c>
      <c r="G110" s="184"/>
      <c r="H110" s="12">
        <f t="shared" si="33"/>
        <v>141</v>
      </c>
      <c r="I110" s="13">
        <f>H110*0.585</f>
        <v>82.484999999999999</v>
      </c>
      <c r="J110" s="2">
        <v>1</v>
      </c>
      <c r="K110" s="13">
        <f t="shared" si="30"/>
        <v>82.484999999999999</v>
      </c>
      <c r="L110" s="18">
        <v>0.17</v>
      </c>
      <c r="M110" s="33">
        <f t="shared" si="26"/>
        <v>14.022450000000001</v>
      </c>
      <c r="N110" s="11">
        <f t="shared" si="32"/>
        <v>58.515000000000001</v>
      </c>
      <c r="O110" s="2">
        <v>0</v>
      </c>
      <c r="P110" s="13">
        <f t="shared" si="24"/>
        <v>0</v>
      </c>
      <c r="Q110" s="18">
        <v>0</v>
      </c>
      <c r="R110" s="33">
        <f t="shared" si="27"/>
        <v>0</v>
      </c>
      <c r="S110" s="10">
        <f t="shared" si="34"/>
        <v>14.022450000000001</v>
      </c>
    </row>
    <row r="111" spans="1:19" ht="15" thickBot="1" x14ac:dyDescent="0.4">
      <c r="A111" s="151"/>
      <c r="B111" s="239"/>
      <c r="C111" s="48" t="s">
        <v>452</v>
      </c>
      <c r="D111" s="232"/>
      <c r="E111" s="233"/>
      <c r="F111" s="187"/>
      <c r="G111" s="188"/>
      <c r="H111" s="12">
        <f t="shared" si="33"/>
        <v>58.515000000000001</v>
      </c>
      <c r="I111" s="13">
        <f>H111*0.189</f>
        <v>11.059335000000001</v>
      </c>
      <c r="J111" s="2">
        <v>1</v>
      </c>
      <c r="K111" s="13">
        <f t="shared" si="30"/>
        <v>11.059335000000001</v>
      </c>
      <c r="L111" s="18">
        <v>0.17</v>
      </c>
      <c r="M111" s="33">
        <f t="shared" si="26"/>
        <v>1.8800869500000004</v>
      </c>
      <c r="N111" s="11">
        <f>ROUNDUP(H111-I111,0)</f>
        <v>48</v>
      </c>
      <c r="O111" s="2">
        <v>0</v>
      </c>
      <c r="P111" s="13">
        <f t="shared" si="24"/>
        <v>0</v>
      </c>
      <c r="Q111" s="18">
        <v>0</v>
      </c>
      <c r="R111" s="33">
        <f t="shared" si="27"/>
        <v>0</v>
      </c>
      <c r="S111" s="10">
        <f t="shared" si="34"/>
        <v>1.8800869500000004</v>
      </c>
    </row>
    <row r="112" spans="1:19" ht="15" thickBot="1" x14ac:dyDescent="0.4">
      <c r="A112" s="151"/>
      <c r="B112" s="239"/>
      <c r="C112" s="55" t="s">
        <v>453</v>
      </c>
      <c r="D112" s="323" t="str">
        <f>Appendices!$E$47&amp;","</f>
        <v>C17.a,</v>
      </c>
      <c r="E112" s="324"/>
      <c r="F112" s="189" t="str">
        <f>Appendices!$E$48</f>
        <v>C17.b</v>
      </c>
      <c r="G112" s="190"/>
      <c r="H112" s="12">
        <v>192</v>
      </c>
      <c r="I112" s="13">
        <f>H112*0.55</f>
        <v>105.60000000000001</v>
      </c>
      <c r="J112" s="2">
        <v>1</v>
      </c>
      <c r="K112" s="13">
        <f t="shared" si="30"/>
        <v>105.60000000000001</v>
      </c>
      <c r="L112" s="18">
        <v>0.02</v>
      </c>
      <c r="M112" s="33">
        <f t="shared" si="26"/>
        <v>2.1120000000000001</v>
      </c>
      <c r="N112" s="11">
        <f t="shared" si="32"/>
        <v>86.399999999999991</v>
      </c>
      <c r="O112" s="2">
        <v>1</v>
      </c>
      <c r="P112" s="13">
        <f t="shared" si="24"/>
        <v>86.399999999999991</v>
      </c>
      <c r="Q112" s="18">
        <v>0.02</v>
      </c>
      <c r="R112" s="33">
        <f t="shared" si="27"/>
        <v>1.7279999999999998</v>
      </c>
      <c r="S112" s="10">
        <f t="shared" si="34"/>
        <v>3.84</v>
      </c>
    </row>
    <row r="113" spans="1:19" ht="46.5" customHeight="1" thickBot="1" x14ac:dyDescent="0.4">
      <c r="A113" s="151"/>
      <c r="B113" s="239"/>
      <c r="C113" s="51" t="s">
        <v>454</v>
      </c>
      <c r="D113" s="203" t="str">
        <f>Appendices!$E$49&amp;","</f>
        <v>C18.a,</v>
      </c>
      <c r="E113" s="204"/>
      <c r="F113" s="189" t="str">
        <f>Appendices!$E$50</f>
        <v>C18.b</v>
      </c>
      <c r="G113" s="190"/>
      <c r="H113" s="12">
        <f>N112</f>
        <v>86.399999999999991</v>
      </c>
      <c r="I113" s="13">
        <f>H113*0.5</f>
        <v>43.199999999999996</v>
      </c>
      <c r="J113" s="2">
        <v>1</v>
      </c>
      <c r="K113" s="13">
        <f t="shared" si="30"/>
        <v>43.199999999999996</v>
      </c>
      <c r="L113" s="18">
        <v>0.1</v>
      </c>
      <c r="M113" s="33">
        <f t="shared" si="26"/>
        <v>4.3199999999999994</v>
      </c>
      <c r="N113" s="11">
        <f t="shared" si="32"/>
        <v>43.199999999999996</v>
      </c>
      <c r="O113" s="2">
        <v>1</v>
      </c>
      <c r="P113" s="13">
        <f t="shared" si="24"/>
        <v>43.199999999999996</v>
      </c>
      <c r="Q113" s="74">
        <v>0.02</v>
      </c>
      <c r="R113" s="33">
        <f t="shared" si="27"/>
        <v>0.86399999999999988</v>
      </c>
      <c r="S113" s="10">
        <f t="shared" si="34"/>
        <v>5.1839999999999993</v>
      </c>
    </row>
    <row r="114" spans="1:19" ht="51.75" customHeight="1" thickBot="1" x14ac:dyDescent="0.4">
      <c r="A114" s="151"/>
      <c r="B114" s="239"/>
      <c r="C114" s="28" t="s">
        <v>473</v>
      </c>
      <c r="D114" s="179" t="str">
        <f>Appendices!$E$74&amp;","</f>
        <v>D8.a,</v>
      </c>
      <c r="E114" s="180"/>
      <c r="F114" s="189" t="str">
        <f>Appendices!$E$75</f>
        <v>D8.b</v>
      </c>
      <c r="G114" s="190"/>
      <c r="H114" s="12">
        <v>240</v>
      </c>
      <c r="I114" s="2">
        <v>192</v>
      </c>
      <c r="J114" s="2">
        <v>1</v>
      </c>
      <c r="K114" s="13">
        <f t="shared" si="30"/>
        <v>192</v>
      </c>
      <c r="L114" s="18">
        <v>0.02</v>
      </c>
      <c r="M114" s="33">
        <f t="shared" si="26"/>
        <v>3.84</v>
      </c>
      <c r="N114" s="11">
        <f t="shared" si="32"/>
        <v>48</v>
      </c>
      <c r="O114" s="2">
        <v>1</v>
      </c>
      <c r="P114" s="13">
        <f t="shared" si="24"/>
        <v>48</v>
      </c>
      <c r="Q114" s="76">
        <v>0.02</v>
      </c>
      <c r="R114" s="33">
        <f t="shared" si="27"/>
        <v>0.96</v>
      </c>
      <c r="S114" s="10">
        <f t="shared" si="34"/>
        <v>4.8</v>
      </c>
    </row>
    <row r="115" spans="1:19" ht="36.75" customHeight="1" thickBot="1" x14ac:dyDescent="0.4">
      <c r="A115" s="151"/>
      <c r="B115" s="239"/>
      <c r="C115" s="50" t="s">
        <v>82</v>
      </c>
      <c r="D115" s="181" t="str">
        <f>Appendices!$E$76&amp;","</f>
        <v>D9.a,</v>
      </c>
      <c r="E115" s="182"/>
      <c r="F115" s="191" t="str">
        <f>Appendices!$E$77</f>
        <v>D9.b</v>
      </c>
      <c r="G115" s="192"/>
      <c r="H115" s="75">
        <v>192</v>
      </c>
      <c r="I115" s="2">
        <v>192</v>
      </c>
      <c r="J115" s="2">
        <v>1</v>
      </c>
      <c r="K115" s="13">
        <f t="shared" si="30"/>
        <v>192</v>
      </c>
      <c r="L115" s="18">
        <v>0.1</v>
      </c>
      <c r="M115" s="33">
        <f t="shared" si="26"/>
        <v>19.200000000000003</v>
      </c>
      <c r="N115" s="74">
        <v>0</v>
      </c>
      <c r="O115" s="74">
        <v>0</v>
      </c>
      <c r="P115" s="74">
        <v>0</v>
      </c>
      <c r="Q115" s="76">
        <v>0</v>
      </c>
      <c r="R115" s="33">
        <f t="shared" si="27"/>
        <v>0</v>
      </c>
      <c r="S115" s="10">
        <f t="shared" si="34"/>
        <v>19.200000000000003</v>
      </c>
    </row>
    <row r="116" spans="1:19" ht="15.75" customHeight="1" thickBot="1" x14ac:dyDescent="0.4">
      <c r="A116" s="151"/>
      <c r="B116" s="208" t="s">
        <v>31</v>
      </c>
      <c r="C116" s="35" t="s">
        <v>455</v>
      </c>
      <c r="D116" s="209" t="str">
        <f>Appendices!$E$21&amp;","</f>
        <v>B6.a,</v>
      </c>
      <c r="E116" s="210"/>
      <c r="F116" s="211" t="str">
        <f>Appendices!$E$22</f>
        <v>B6.b</v>
      </c>
      <c r="G116" s="212"/>
      <c r="H116" s="36">
        <v>520</v>
      </c>
      <c r="I116" s="31">
        <v>125</v>
      </c>
      <c r="J116" s="31">
        <v>1</v>
      </c>
      <c r="K116" s="31">
        <f t="shared" si="30"/>
        <v>125</v>
      </c>
      <c r="L116" s="33">
        <v>0.5</v>
      </c>
      <c r="M116" s="33">
        <f t="shared" si="26"/>
        <v>62.5</v>
      </c>
      <c r="N116" s="37">
        <f t="shared" ref="N116:N121" si="35">H116-I116</f>
        <v>395</v>
      </c>
      <c r="O116" s="31">
        <v>1</v>
      </c>
      <c r="P116" s="37">
        <f t="shared" ref="P116:P122" si="36">O116*N116</f>
        <v>395</v>
      </c>
      <c r="Q116" s="33">
        <v>0.02</v>
      </c>
      <c r="R116" s="33">
        <f t="shared" si="27"/>
        <v>7.9</v>
      </c>
      <c r="S116" s="33">
        <f t="shared" si="34"/>
        <v>70.400000000000006</v>
      </c>
    </row>
    <row r="117" spans="1:19" ht="30.75" customHeight="1" thickBot="1" x14ac:dyDescent="0.4">
      <c r="A117" s="151"/>
      <c r="B117" s="172"/>
      <c r="C117" s="22" t="s">
        <v>456</v>
      </c>
      <c r="D117" s="308" t="str">
        <f>Appendices!$E$59&amp;","</f>
        <v>C23.a,</v>
      </c>
      <c r="E117" s="309"/>
      <c r="F117" s="216" t="str">
        <f>Appendices!$E$60</f>
        <v>C23.b</v>
      </c>
      <c r="G117" s="217"/>
      <c r="H117" s="20">
        <f>H116</f>
        <v>520</v>
      </c>
      <c r="I117" s="13">
        <f>H117*0.125</f>
        <v>65</v>
      </c>
      <c r="J117" s="2">
        <v>1</v>
      </c>
      <c r="K117" s="13">
        <f t="shared" si="30"/>
        <v>65</v>
      </c>
      <c r="L117" s="9">
        <v>0.17</v>
      </c>
      <c r="M117" s="33">
        <f t="shared" si="26"/>
        <v>11.05</v>
      </c>
      <c r="N117" s="13">
        <f t="shared" si="35"/>
        <v>455</v>
      </c>
      <c r="O117" s="2">
        <v>1</v>
      </c>
      <c r="P117" s="13">
        <f t="shared" si="36"/>
        <v>455</v>
      </c>
      <c r="Q117" s="9">
        <v>0.02</v>
      </c>
      <c r="R117" s="33">
        <f t="shared" si="27"/>
        <v>9.1</v>
      </c>
      <c r="S117" s="10">
        <f t="shared" si="34"/>
        <v>20.149999999999999</v>
      </c>
    </row>
    <row r="118" spans="1:19" ht="31.5" customHeight="1" thickBot="1" x14ac:dyDescent="0.4">
      <c r="A118" s="151"/>
      <c r="B118" s="172"/>
      <c r="C118" s="22" t="s">
        <v>457</v>
      </c>
      <c r="D118" s="310"/>
      <c r="E118" s="311"/>
      <c r="F118" s="218"/>
      <c r="G118" s="219"/>
      <c r="H118" s="20">
        <f>N117</f>
        <v>455</v>
      </c>
      <c r="I118" s="13">
        <f>H118*0.075</f>
        <v>34.125</v>
      </c>
      <c r="J118" s="2">
        <v>1</v>
      </c>
      <c r="K118" s="13">
        <f t="shared" si="30"/>
        <v>34.125</v>
      </c>
      <c r="L118" s="9">
        <v>0.17</v>
      </c>
      <c r="M118" s="33">
        <f t="shared" si="26"/>
        <v>5.8012500000000005</v>
      </c>
      <c r="N118" s="13">
        <f t="shared" si="35"/>
        <v>420.875</v>
      </c>
      <c r="O118" s="2">
        <v>1</v>
      </c>
      <c r="P118" s="13">
        <f t="shared" si="36"/>
        <v>420.875</v>
      </c>
      <c r="Q118" s="9">
        <v>0.02</v>
      </c>
      <c r="R118" s="33">
        <f t="shared" si="27"/>
        <v>8.4175000000000004</v>
      </c>
      <c r="S118" s="10">
        <f t="shared" si="34"/>
        <v>14.21875</v>
      </c>
    </row>
    <row r="119" spans="1:19" ht="31.5" customHeight="1" thickBot="1" x14ac:dyDescent="0.4">
      <c r="A119" s="151"/>
      <c r="B119" s="172"/>
      <c r="C119" s="22" t="s">
        <v>458</v>
      </c>
      <c r="D119" s="310"/>
      <c r="E119" s="311"/>
      <c r="F119" s="218"/>
      <c r="G119" s="219"/>
      <c r="H119" s="20">
        <f>N118</f>
        <v>420.875</v>
      </c>
      <c r="I119" s="13">
        <f>H119*0.038</f>
        <v>15.99325</v>
      </c>
      <c r="J119" s="2">
        <v>1</v>
      </c>
      <c r="K119" s="13">
        <f t="shared" si="30"/>
        <v>15.99325</v>
      </c>
      <c r="L119" s="9">
        <v>0.17</v>
      </c>
      <c r="M119" s="33">
        <f t="shared" si="26"/>
        <v>2.7188525000000001</v>
      </c>
      <c r="N119" s="13">
        <f t="shared" si="35"/>
        <v>404.88175000000001</v>
      </c>
      <c r="O119" s="2">
        <v>1</v>
      </c>
      <c r="P119" s="13">
        <f t="shared" si="36"/>
        <v>404.88175000000001</v>
      </c>
      <c r="Q119" s="9">
        <v>0.02</v>
      </c>
      <c r="R119" s="33">
        <f t="shared" si="27"/>
        <v>8.0976350000000004</v>
      </c>
      <c r="S119" s="10">
        <f t="shared" si="34"/>
        <v>10.816487500000001</v>
      </c>
    </row>
    <row r="120" spans="1:19" ht="37.5" customHeight="1" thickBot="1" x14ac:dyDescent="0.4">
      <c r="A120" s="151"/>
      <c r="B120" s="172"/>
      <c r="C120" s="22" t="s">
        <v>459</v>
      </c>
      <c r="D120" s="310"/>
      <c r="E120" s="311"/>
      <c r="F120" s="218"/>
      <c r="G120" s="219"/>
      <c r="H120" s="20">
        <f>N119</f>
        <v>404.88175000000001</v>
      </c>
      <c r="I120" s="13">
        <f>H120*0.015</f>
        <v>6.0732262500000003</v>
      </c>
      <c r="J120" s="2">
        <v>1</v>
      </c>
      <c r="K120" s="13">
        <f t="shared" si="30"/>
        <v>6.0732262500000003</v>
      </c>
      <c r="L120" s="9">
        <v>0.17</v>
      </c>
      <c r="M120" s="33">
        <f t="shared" si="26"/>
        <v>1.0324484625000001</v>
      </c>
      <c r="N120" s="13">
        <f t="shared" si="35"/>
        <v>398.80852375000001</v>
      </c>
      <c r="O120" s="2">
        <v>1</v>
      </c>
      <c r="P120" s="13">
        <f t="shared" si="36"/>
        <v>398.80852375000001</v>
      </c>
      <c r="Q120" s="9">
        <v>0.02</v>
      </c>
      <c r="R120" s="33">
        <f t="shared" si="27"/>
        <v>7.976170475</v>
      </c>
      <c r="S120" s="10">
        <f t="shared" si="34"/>
        <v>9.0086189374999996</v>
      </c>
    </row>
    <row r="121" spans="1:19" ht="37.5" customHeight="1" thickBot="1" x14ac:dyDescent="0.4">
      <c r="A121" s="151"/>
      <c r="B121" s="172"/>
      <c r="C121" s="22" t="s">
        <v>460</v>
      </c>
      <c r="D121" s="312"/>
      <c r="E121" s="313"/>
      <c r="F121" s="220"/>
      <c r="G121" s="221"/>
      <c r="H121" s="20">
        <f>P120</f>
        <v>398.80852375000001</v>
      </c>
      <c r="I121" s="13">
        <f>H121*0.01</f>
        <v>3.9880852375</v>
      </c>
      <c r="J121" s="2">
        <v>1</v>
      </c>
      <c r="K121" s="13">
        <f t="shared" si="30"/>
        <v>3.9880852375</v>
      </c>
      <c r="L121" s="9">
        <v>0.17</v>
      </c>
      <c r="M121" s="33">
        <f t="shared" si="26"/>
        <v>0.67797449037500002</v>
      </c>
      <c r="N121" s="13">
        <f t="shared" si="35"/>
        <v>394.8204385125</v>
      </c>
      <c r="O121" s="2">
        <v>1</v>
      </c>
      <c r="P121" s="13">
        <f t="shared" si="36"/>
        <v>394.8204385125</v>
      </c>
      <c r="Q121" s="9">
        <v>0.02</v>
      </c>
      <c r="R121" s="33">
        <f t="shared" si="27"/>
        <v>7.8964087702499999</v>
      </c>
      <c r="S121" s="10">
        <f t="shared" si="34"/>
        <v>8.5743832606249999</v>
      </c>
    </row>
    <row r="122" spans="1:19" ht="40.5" customHeight="1" thickBot="1" x14ac:dyDescent="0.4">
      <c r="A122" s="174"/>
      <c r="B122" s="173"/>
      <c r="C122" s="71" t="s">
        <v>90</v>
      </c>
      <c r="D122" s="177" t="str">
        <f>Appendices!$E$84&amp;","</f>
        <v>D13.a,</v>
      </c>
      <c r="E122" s="178"/>
      <c r="F122" s="234" t="str">
        <f>Appendices!$E$85</f>
        <v>D13.b</v>
      </c>
      <c r="G122" s="235"/>
      <c r="H122" s="2">
        <v>125</v>
      </c>
      <c r="I122" s="2">
        <v>125</v>
      </c>
      <c r="J122" s="2">
        <v>1</v>
      </c>
      <c r="K122" s="2">
        <f t="shared" si="30"/>
        <v>125</v>
      </c>
      <c r="L122" s="74">
        <v>0.02</v>
      </c>
      <c r="M122" s="33">
        <f t="shared" si="26"/>
        <v>2.5</v>
      </c>
      <c r="N122" s="77">
        <v>0</v>
      </c>
      <c r="O122" s="74">
        <v>0</v>
      </c>
      <c r="P122" s="2">
        <f t="shared" si="36"/>
        <v>0</v>
      </c>
      <c r="Q122" s="76">
        <v>0</v>
      </c>
      <c r="R122" s="33">
        <f t="shared" si="27"/>
        <v>0</v>
      </c>
      <c r="S122" s="10">
        <f t="shared" si="34"/>
        <v>2.5</v>
      </c>
    </row>
    <row r="123" spans="1:19" ht="15" thickBot="1" x14ac:dyDescent="0.4">
      <c r="A123" s="169" t="s">
        <v>481</v>
      </c>
      <c r="B123" s="170"/>
      <c r="C123" s="170"/>
      <c r="D123" s="170"/>
      <c r="E123" s="170"/>
      <c r="F123" s="170"/>
      <c r="G123" s="170"/>
      <c r="H123" s="171"/>
      <c r="I123" s="27">
        <f>I116+I102+I99+I86+I72</f>
        <v>3117</v>
      </c>
      <c r="J123" s="57">
        <f>K123/I123</f>
        <v>4.7830971076656201</v>
      </c>
      <c r="K123" s="27">
        <f>SUM(K72:K122)</f>
        <v>14908.913684593737</v>
      </c>
      <c r="L123" s="4">
        <f>M123/K123</f>
        <v>0.2080900651486218</v>
      </c>
      <c r="M123" s="4">
        <f>SUM(M72:M122)</f>
        <v>3102.39681992229</v>
      </c>
      <c r="N123" s="27">
        <f>N116+N102+N99+N86+N72</f>
        <v>1893</v>
      </c>
      <c r="O123" s="57">
        <f>P123/N123</f>
        <v>11.442941174494393</v>
      </c>
      <c r="P123" s="60">
        <f>SUM(P72:P122)</f>
        <v>21661.487643317887</v>
      </c>
      <c r="Q123" s="4">
        <f>R123/P123</f>
        <v>0.02</v>
      </c>
      <c r="R123" s="4">
        <f>SUM(R72:R122)</f>
        <v>433.22975286635773</v>
      </c>
      <c r="S123" s="15">
        <f>SUM(S72:S122)</f>
        <v>3535.626572788648</v>
      </c>
    </row>
    <row r="124" spans="1:19" ht="15.75" customHeight="1" thickBot="1" x14ac:dyDescent="0.4">
      <c r="A124" s="205" t="s">
        <v>482</v>
      </c>
      <c r="B124" s="206"/>
      <c r="C124" s="206"/>
      <c r="D124" s="206"/>
      <c r="E124" s="206"/>
      <c r="F124" s="206"/>
      <c r="G124" s="206"/>
      <c r="H124" s="207"/>
      <c r="I124" s="84">
        <f>I123+I70</f>
        <v>3999</v>
      </c>
      <c r="J124" s="84">
        <f>K124/I124</f>
        <v>4.9249971704410447</v>
      </c>
      <c r="K124" s="84">
        <f>K123+K70</f>
        <v>19695.063684593737</v>
      </c>
      <c r="L124" s="85">
        <f>M124/K124</f>
        <v>0.21405884848970916</v>
      </c>
      <c r="M124" s="85">
        <f>M123+M70</f>
        <v>4215.9026532556236</v>
      </c>
      <c r="N124" s="84">
        <f>N123+N70</f>
        <v>2156.8000000000002</v>
      </c>
      <c r="O124" s="84">
        <f>P124/N124</f>
        <v>11.234319878079411</v>
      </c>
      <c r="P124" s="84">
        <f>P123+P70</f>
        <v>24230.181113041675</v>
      </c>
      <c r="Q124" s="85">
        <f>R124/P124</f>
        <v>2.0656882326422217E-2</v>
      </c>
      <c r="R124" s="85">
        <f>ROUNDDOWN(R123+R70,2)</f>
        <v>500.52</v>
      </c>
      <c r="S124" s="85">
        <f>S123+S70</f>
        <v>4716.4287755164569</v>
      </c>
    </row>
    <row r="125" spans="1:19" ht="15.65" customHeight="1" thickTop="1" thickBot="1" x14ac:dyDescent="0.4">
      <c r="A125" s="320" t="s">
        <v>483</v>
      </c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2"/>
    </row>
    <row r="126" spans="1:19" s="72" customFormat="1" ht="15.5" thickTop="1" thickBot="1" x14ac:dyDescent="0.4">
      <c r="A126" s="153" t="s">
        <v>19</v>
      </c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5"/>
    </row>
    <row r="127" spans="1:19" s="72" customFormat="1" ht="24.5" thickBot="1" x14ac:dyDescent="0.4">
      <c r="A127" s="213" t="s">
        <v>19</v>
      </c>
      <c r="B127" s="98" t="str">
        <f>B7</f>
        <v>State WIC Agency Directors</v>
      </c>
      <c r="C127" s="51" t="s">
        <v>38</v>
      </c>
      <c r="D127" s="236" t="str">
        <f>D60</f>
        <v>D1</v>
      </c>
      <c r="E127" s="237"/>
      <c r="F127" s="237"/>
      <c r="G127" s="238"/>
      <c r="H127" s="16">
        <v>3</v>
      </c>
      <c r="I127" s="2">
        <v>3</v>
      </c>
      <c r="J127" s="2">
        <v>1</v>
      </c>
      <c r="K127" s="13">
        <f>I127*J127</f>
        <v>3</v>
      </c>
      <c r="L127" s="18">
        <v>0.05</v>
      </c>
      <c r="M127" s="32">
        <f>L127*K127</f>
        <v>0.15000000000000002</v>
      </c>
      <c r="N127" s="16">
        <f>H127-I127</f>
        <v>0</v>
      </c>
      <c r="O127" s="17">
        <v>0</v>
      </c>
      <c r="P127" s="25">
        <f>N127*O127</f>
        <v>0</v>
      </c>
      <c r="Q127" s="18">
        <v>0</v>
      </c>
      <c r="R127" s="32">
        <f>Q127*P127</f>
        <v>0</v>
      </c>
      <c r="S127" s="14">
        <f>R127+M127</f>
        <v>0.15000000000000002</v>
      </c>
    </row>
    <row r="128" spans="1:19" s="86" customFormat="1" ht="15" thickBot="1" x14ac:dyDescent="0.4">
      <c r="A128" s="214"/>
      <c r="B128" s="213" t="s">
        <v>61</v>
      </c>
      <c r="C128" s="24" t="s">
        <v>93</v>
      </c>
      <c r="D128" s="294" t="str">
        <f>D61</f>
        <v>D3</v>
      </c>
      <c r="E128" s="295"/>
      <c r="F128" s="295"/>
      <c r="G128" s="296"/>
      <c r="H128" s="25">
        <v>6</v>
      </c>
      <c r="I128" s="47">
        <v>6</v>
      </c>
      <c r="J128" s="2">
        <v>1</v>
      </c>
      <c r="K128" s="13">
        <f>I128*J128</f>
        <v>6</v>
      </c>
      <c r="L128" s="18">
        <v>0.05</v>
      </c>
      <c r="M128" s="32">
        <f t="shared" ref="M128:M131" si="37">L128*K128</f>
        <v>0.30000000000000004</v>
      </c>
      <c r="N128" s="25">
        <f>ROUNDDOWN(H128-I128, 0)</f>
        <v>0</v>
      </c>
      <c r="O128" s="17">
        <v>0</v>
      </c>
      <c r="P128" s="25">
        <f>N128*O128</f>
        <v>0</v>
      </c>
      <c r="Q128" s="18">
        <v>0</v>
      </c>
      <c r="R128" s="32">
        <f t="shared" ref="R128:R131" si="38">Q128*P128</f>
        <v>0</v>
      </c>
      <c r="S128" s="14">
        <f>R128+M128</f>
        <v>0.30000000000000004</v>
      </c>
    </row>
    <row r="129" spans="1:19" s="86" customFormat="1" ht="15" thickBot="1" x14ac:dyDescent="0.4">
      <c r="A129" s="214"/>
      <c r="B129" s="214"/>
      <c r="C129" s="24" t="s">
        <v>425</v>
      </c>
      <c r="D129" s="297" t="str">
        <f>D62</f>
        <v>D4</v>
      </c>
      <c r="E129" s="298"/>
      <c r="F129" s="298"/>
      <c r="G129" s="299"/>
      <c r="H129" s="25">
        <v>6</v>
      </c>
      <c r="I129" s="13">
        <f>H129*0.45</f>
        <v>2.7</v>
      </c>
      <c r="J129" s="2">
        <v>1</v>
      </c>
      <c r="K129" s="13">
        <f>I129*J129</f>
        <v>2.7</v>
      </c>
      <c r="L129" s="18">
        <v>0.57999999999999996</v>
      </c>
      <c r="M129" s="32">
        <f t="shared" si="37"/>
        <v>1.5660000000000001</v>
      </c>
      <c r="N129" s="25">
        <f>H129-I129</f>
        <v>3.3</v>
      </c>
      <c r="O129" s="17">
        <v>1</v>
      </c>
      <c r="P129" s="25">
        <f>N129*O129</f>
        <v>3.3</v>
      </c>
      <c r="Q129" s="17">
        <v>0.02</v>
      </c>
      <c r="R129" s="32">
        <f t="shared" si="38"/>
        <v>6.6000000000000003E-2</v>
      </c>
      <c r="S129" s="14">
        <f>R129+M129</f>
        <v>1.6320000000000001</v>
      </c>
    </row>
    <row r="130" spans="1:19" s="86" customFormat="1" ht="15" thickBot="1" x14ac:dyDescent="0.4">
      <c r="A130" s="214"/>
      <c r="B130" s="214"/>
      <c r="C130" s="24" t="s">
        <v>426</v>
      </c>
      <c r="D130" s="300"/>
      <c r="E130" s="301"/>
      <c r="F130" s="301"/>
      <c r="G130" s="302"/>
      <c r="H130" s="25">
        <f>N129</f>
        <v>3.3</v>
      </c>
      <c r="I130" s="13">
        <f>H130*0.5</f>
        <v>1.65</v>
      </c>
      <c r="J130" s="2">
        <v>1</v>
      </c>
      <c r="K130" s="13">
        <f>I130*J130</f>
        <v>1.65</v>
      </c>
      <c r="L130" s="18">
        <v>0.57999999999999996</v>
      </c>
      <c r="M130" s="32">
        <f t="shared" si="37"/>
        <v>0.95699999999999985</v>
      </c>
      <c r="N130" s="25">
        <f>ROUNDDOWN(H130-I130,0)</f>
        <v>1</v>
      </c>
      <c r="O130" s="17">
        <v>1</v>
      </c>
      <c r="P130" s="25">
        <f>N130*O130</f>
        <v>1</v>
      </c>
      <c r="Q130" s="17">
        <v>0.02</v>
      </c>
      <c r="R130" s="32">
        <f t="shared" si="38"/>
        <v>0.02</v>
      </c>
      <c r="S130" s="14">
        <f>R130+M130</f>
        <v>0.97699999999999987</v>
      </c>
    </row>
    <row r="131" spans="1:19" s="86" customFormat="1" ht="15" thickBot="1" x14ac:dyDescent="0.4">
      <c r="A131" s="215"/>
      <c r="B131" s="215"/>
      <c r="C131" s="24" t="s">
        <v>94</v>
      </c>
      <c r="D131" s="303"/>
      <c r="E131" s="304"/>
      <c r="F131" s="304"/>
      <c r="G131" s="305"/>
      <c r="H131" s="25">
        <f>N130</f>
        <v>1</v>
      </c>
      <c r="I131" s="13">
        <f>H131</f>
        <v>1</v>
      </c>
      <c r="J131" s="2">
        <v>1</v>
      </c>
      <c r="K131" s="13">
        <f>I131*J131</f>
        <v>1</v>
      </c>
      <c r="L131" s="18">
        <v>0.57999999999999996</v>
      </c>
      <c r="M131" s="32">
        <f t="shared" si="37"/>
        <v>0.57999999999999996</v>
      </c>
      <c r="N131" s="25">
        <f>H131-I131</f>
        <v>0</v>
      </c>
      <c r="O131" s="17">
        <v>0</v>
      </c>
      <c r="P131" s="25">
        <v>0</v>
      </c>
      <c r="Q131" s="18">
        <v>0</v>
      </c>
      <c r="R131" s="32">
        <f t="shared" si="38"/>
        <v>0</v>
      </c>
      <c r="S131" s="14">
        <f>R131+M131</f>
        <v>0.57999999999999996</v>
      </c>
    </row>
    <row r="132" spans="1:19" s="72" customFormat="1" ht="15" thickBot="1" x14ac:dyDescent="0.4">
      <c r="A132" s="169" t="s">
        <v>484</v>
      </c>
      <c r="B132" s="170"/>
      <c r="C132" s="170"/>
      <c r="D132" s="170"/>
      <c r="E132" s="170"/>
      <c r="F132" s="170"/>
      <c r="G132" s="170"/>
      <c r="H132" s="171"/>
      <c r="I132" s="27">
        <f>I127+I128</f>
        <v>9</v>
      </c>
      <c r="J132" s="45">
        <f>K132/I132</f>
        <v>1.5944444444444443</v>
      </c>
      <c r="K132" s="44">
        <f>SUM(K127:K131)</f>
        <v>14.35</v>
      </c>
      <c r="L132" s="4">
        <f>M132/K132</f>
        <v>0.24759581881533102</v>
      </c>
      <c r="M132" s="134">
        <f>SUM(M127:M131)</f>
        <v>3.5529999999999999</v>
      </c>
      <c r="N132" s="58">
        <f>N129</f>
        <v>3.3</v>
      </c>
      <c r="O132" s="57">
        <f>P132/N132</f>
        <v>1.303030303030303</v>
      </c>
      <c r="P132" s="45">
        <f>SUM(P127:P131)</f>
        <v>4.3</v>
      </c>
      <c r="Q132" s="4">
        <f>R132/P132</f>
        <v>2.0000000000000004E-2</v>
      </c>
      <c r="R132" s="134">
        <f>SUM(R127:R131)</f>
        <v>8.6000000000000007E-2</v>
      </c>
      <c r="S132" s="15">
        <f>SUM(S127:S131)</f>
        <v>3.6390000000000002</v>
      </c>
    </row>
    <row r="133" spans="1:19" s="72" customFormat="1" ht="15" thickBot="1" x14ac:dyDescent="0.4">
      <c r="A133" s="266" t="s">
        <v>20</v>
      </c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8"/>
    </row>
    <row r="134" spans="1:19" ht="29.25" customHeight="1" thickBot="1" x14ac:dyDescent="0.4">
      <c r="A134" s="151" t="s">
        <v>20</v>
      </c>
      <c r="B134" s="172" t="s">
        <v>91</v>
      </c>
      <c r="C134" s="78" t="s">
        <v>461</v>
      </c>
      <c r="D134" s="113" t="str">
        <f>D72</f>
        <v>B3.a,</v>
      </c>
      <c r="E134" s="114" t="str">
        <f>E72</f>
        <v>B3.b,</v>
      </c>
      <c r="F134" s="114" t="str">
        <f>F72</f>
        <v>B3.c,</v>
      </c>
      <c r="G134" s="115" t="str">
        <f>G72</f>
        <v>B3.d</v>
      </c>
      <c r="H134" s="79">
        <v>200</v>
      </c>
      <c r="I134" s="80">
        <v>160</v>
      </c>
      <c r="J134" s="81">
        <v>1</v>
      </c>
      <c r="K134" s="81">
        <f t="shared" ref="K134:K160" si="39">I134*J134</f>
        <v>160</v>
      </c>
      <c r="L134" s="148">
        <v>0.7</v>
      </c>
      <c r="M134" s="83">
        <f>L134*K134</f>
        <v>112</v>
      </c>
      <c r="N134" s="81">
        <f>H134-I134</f>
        <v>40</v>
      </c>
      <c r="O134" s="81">
        <v>0</v>
      </c>
      <c r="P134" s="81">
        <f t="shared" ref="P134:P159" si="40">O134*N134</f>
        <v>0</v>
      </c>
      <c r="Q134" s="82">
        <v>0</v>
      </c>
      <c r="R134" s="83">
        <f>Q134*P134</f>
        <v>0</v>
      </c>
      <c r="S134" s="83">
        <f t="shared" ref="S134:S160" si="41">R134+M134</f>
        <v>112</v>
      </c>
    </row>
    <row r="135" spans="1:19" ht="34.5" customHeight="1" thickBot="1" x14ac:dyDescent="0.4">
      <c r="A135" s="151"/>
      <c r="B135" s="172"/>
      <c r="C135" s="22" t="s">
        <v>462</v>
      </c>
      <c r="D135" s="308" t="str">
        <f>D73</f>
        <v>C11.a,</v>
      </c>
      <c r="E135" s="309"/>
      <c r="F135" s="314" t="str">
        <f>F73</f>
        <v>C11.b</v>
      </c>
      <c r="G135" s="315"/>
      <c r="H135" s="52">
        <v>200</v>
      </c>
      <c r="I135" s="47">
        <f>H135*0.2</f>
        <v>40</v>
      </c>
      <c r="J135" s="17">
        <v>1</v>
      </c>
      <c r="K135" s="47">
        <f t="shared" si="39"/>
        <v>40</v>
      </c>
      <c r="L135" s="18">
        <v>0.18</v>
      </c>
      <c r="M135" s="83">
        <f t="shared" ref="M135:M160" si="42">L135*K135</f>
        <v>7.1999999999999993</v>
      </c>
      <c r="N135" s="47">
        <f>H135-I135</f>
        <v>160</v>
      </c>
      <c r="O135" s="17">
        <v>1</v>
      </c>
      <c r="P135" s="47">
        <f t="shared" si="40"/>
        <v>160</v>
      </c>
      <c r="Q135" s="17">
        <v>0.02</v>
      </c>
      <c r="R135" s="83">
        <f t="shared" ref="R135:R160" si="43">Q135*P135</f>
        <v>3.2</v>
      </c>
      <c r="S135" s="18">
        <f t="shared" si="41"/>
        <v>10.399999999999999</v>
      </c>
    </row>
    <row r="136" spans="1:19" ht="40.5" customHeight="1" thickBot="1" x14ac:dyDescent="0.4">
      <c r="A136" s="151"/>
      <c r="B136" s="172"/>
      <c r="C136" s="22" t="s">
        <v>463</v>
      </c>
      <c r="D136" s="310"/>
      <c r="E136" s="311"/>
      <c r="F136" s="316"/>
      <c r="G136" s="317"/>
      <c r="H136" s="52">
        <f t="shared" ref="H136:H142" si="44">N135</f>
        <v>160</v>
      </c>
      <c r="I136" s="47">
        <f>H136*0.2</f>
        <v>32</v>
      </c>
      <c r="J136" s="17">
        <v>1</v>
      </c>
      <c r="K136" s="47">
        <f t="shared" si="39"/>
        <v>32</v>
      </c>
      <c r="L136" s="18">
        <v>0.18</v>
      </c>
      <c r="M136" s="83">
        <f t="shared" si="42"/>
        <v>5.76</v>
      </c>
      <c r="N136" s="47">
        <f>ROUNDUP(H136,0)-I136</f>
        <v>128</v>
      </c>
      <c r="O136" s="17">
        <v>1</v>
      </c>
      <c r="P136" s="47">
        <f t="shared" si="40"/>
        <v>128</v>
      </c>
      <c r="Q136" s="18">
        <v>0.02</v>
      </c>
      <c r="R136" s="83">
        <f t="shared" si="43"/>
        <v>2.56</v>
      </c>
      <c r="S136" s="18">
        <f t="shared" si="41"/>
        <v>8.32</v>
      </c>
    </row>
    <row r="137" spans="1:19" ht="45" customHeight="1" thickBot="1" x14ac:dyDescent="0.4">
      <c r="A137" s="151"/>
      <c r="B137" s="172"/>
      <c r="C137" s="22" t="s">
        <v>464</v>
      </c>
      <c r="D137" s="310"/>
      <c r="E137" s="311"/>
      <c r="F137" s="316"/>
      <c r="G137" s="317"/>
      <c r="H137" s="52">
        <f t="shared" si="44"/>
        <v>128</v>
      </c>
      <c r="I137" s="47">
        <f>H137*0.2</f>
        <v>25.6</v>
      </c>
      <c r="J137" s="17">
        <v>1</v>
      </c>
      <c r="K137" s="47">
        <f t="shared" si="39"/>
        <v>25.6</v>
      </c>
      <c r="L137" s="18">
        <v>0.18</v>
      </c>
      <c r="M137" s="83">
        <f t="shared" si="42"/>
        <v>4.6079999999999997</v>
      </c>
      <c r="N137" s="47">
        <f>ROUNDUP(H137, 0)-ROUNDUP(I137, 0)</f>
        <v>102</v>
      </c>
      <c r="O137" s="17">
        <v>1</v>
      </c>
      <c r="P137" s="47">
        <f t="shared" si="40"/>
        <v>102</v>
      </c>
      <c r="Q137" s="18">
        <v>0.02</v>
      </c>
      <c r="R137" s="83">
        <f t="shared" si="43"/>
        <v>2.04</v>
      </c>
      <c r="S137" s="18">
        <f t="shared" si="41"/>
        <v>6.6479999999999997</v>
      </c>
    </row>
    <row r="138" spans="1:19" ht="36" customHeight="1" thickBot="1" x14ac:dyDescent="0.4">
      <c r="A138" s="151"/>
      <c r="B138" s="172"/>
      <c r="C138" s="22" t="s">
        <v>465</v>
      </c>
      <c r="D138" s="310"/>
      <c r="E138" s="311"/>
      <c r="F138" s="316"/>
      <c r="G138" s="317"/>
      <c r="H138" s="52">
        <f t="shared" si="44"/>
        <v>102</v>
      </c>
      <c r="I138" s="47">
        <f>H138*0.2</f>
        <v>20.400000000000002</v>
      </c>
      <c r="J138" s="17">
        <v>1</v>
      </c>
      <c r="K138" s="47">
        <f t="shared" si="39"/>
        <v>20.400000000000002</v>
      </c>
      <c r="L138" s="18">
        <v>0.18</v>
      </c>
      <c r="M138" s="83">
        <f t="shared" si="42"/>
        <v>3.6720000000000002</v>
      </c>
      <c r="N138" s="47">
        <f t="shared" ref="N138:N159" si="45">H138-I138</f>
        <v>81.599999999999994</v>
      </c>
      <c r="O138" s="17">
        <v>1</v>
      </c>
      <c r="P138" s="47">
        <f t="shared" si="40"/>
        <v>81.599999999999994</v>
      </c>
      <c r="Q138" s="17">
        <v>0.02</v>
      </c>
      <c r="R138" s="83">
        <f t="shared" si="43"/>
        <v>1.6319999999999999</v>
      </c>
      <c r="S138" s="18">
        <f t="shared" si="41"/>
        <v>5.3040000000000003</v>
      </c>
    </row>
    <row r="139" spans="1:19" ht="48" customHeight="1" thickBot="1" x14ac:dyDescent="0.4">
      <c r="A139" s="151"/>
      <c r="B139" s="172"/>
      <c r="C139" s="22" t="s">
        <v>466</v>
      </c>
      <c r="D139" s="310"/>
      <c r="E139" s="311"/>
      <c r="F139" s="316"/>
      <c r="G139" s="317"/>
      <c r="H139" s="52">
        <f t="shared" si="44"/>
        <v>81.599999999999994</v>
      </c>
      <c r="I139" s="47">
        <f>H139*0.12</f>
        <v>9.7919999999999998</v>
      </c>
      <c r="J139" s="17">
        <v>1</v>
      </c>
      <c r="K139" s="47">
        <f t="shared" si="39"/>
        <v>9.7919999999999998</v>
      </c>
      <c r="L139" s="18">
        <v>0.18</v>
      </c>
      <c r="M139" s="83">
        <f t="shared" si="42"/>
        <v>1.7625599999999999</v>
      </c>
      <c r="N139" s="47">
        <f t="shared" si="45"/>
        <v>71.807999999999993</v>
      </c>
      <c r="O139" s="17">
        <v>1</v>
      </c>
      <c r="P139" s="47">
        <f t="shared" si="40"/>
        <v>71.807999999999993</v>
      </c>
      <c r="Q139" s="18">
        <v>0.02</v>
      </c>
      <c r="R139" s="83">
        <f t="shared" si="43"/>
        <v>1.4361599999999999</v>
      </c>
      <c r="S139" s="18">
        <f t="shared" si="41"/>
        <v>3.1987199999999998</v>
      </c>
    </row>
    <row r="140" spans="1:19" ht="37.5" customHeight="1" thickBot="1" x14ac:dyDescent="0.4">
      <c r="A140" s="151"/>
      <c r="B140" s="172"/>
      <c r="C140" s="22" t="s">
        <v>467</v>
      </c>
      <c r="D140" s="310"/>
      <c r="E140" s="311"/>
      <c r="F140" s="316"/>
      <c r="G140" s="317"/>
      <c r="H140" s="52">
        <f t="shared" si="44"/>
        <v>71.807999999999993</v>
      </c>
      <c r="I140" s="47">
        <f>ROUNDDOWN(H140*0.1,0)</f>
        <v>7</v>
      </c>
      <c r="J140" s="17">
        <v>1</v>
      </c>
      <c r="K140" s="47">
        <f t="shared" si="39"/>
        <v>7</v>
      </c>
      <c r="L140" s="18">
        <v>0.18</v>
      </c>
      <c r="M140" s="83">
        <f t="shared" si="42"/>
        <v>1.26</v>
      </c>
      <c r="N140" s="47">
        <f>ROUNDUP(H140-I140,0)</f>
        <v>65</v>
      </c>
      <c r="O140" s="17">
        <v>1</v>
      </c>
      <c r="P140" s="47">
        <f t="shared" si="40"/>
        <v>65</v>
      </c>
      <c r="Q140" s="18">
        <v>0.02</v>
      </c>
      <c r="R140" s="83">
        <f t="shared" si="43"/>
        <v>1.3</v>
      </c>
      <c r="S140" s="18">
        <f t="shared" si="41"/>
        <v>2.56</v>
      </c>
    </row>
    <row r="141" spans="1:19" ht="43.5" customHeight="1" thickBot="1" x14ac:dyDescent="0.4">
      <c r="A141" s="151"/>
      <c r="B141" s="172"/>
      <c r="C141" s="22" t="s">
        <v>468</v>
      </c>
      <c r="D141" s="312"/>
      <c r="E141" s="313"/>
      <c r="F141" s="318"/>
      <c r="G141" s="319"/>
      <c r="H141" s="52">
        <f t="shared" si="44"/>
        <v>65</v>
      </c>
      <c r="I141" s="47">
        <f>ROUNDUP(H141*0.1,0)</f>
        <v>7</v>
      </c>
      <c r="J141" s="17">
        <v>1</v>
      </c>
      <c r="K141" s="47">
        <f t="shared" si="39"/>
        <v>7</v>
      </c>
      <c r="L141" s="18">
        <v>0.18</v>
      </c>
      <c r="M141" s="83">
        <f t="shared" si="42"/>
        <v>1.26</v>
      </c>
      <c r="N141" s="47">
        <v>53</v>
      </c>
      <c r="O141" s="17">
        <v>1</v>
      </c>
      <c r="P141" s="47">
        <f t="shared" si="40"/>
        <v>53</v>
      </c>
      <c r="Q141" s="17">
        <v>0.02</v>
      </c>
      <c r="R141" s="83">
        <f t="shared" si="43"/>
        <v>1.06</v>
      </c>
      <c r="S141" s="18">
        <f t="shared" si="41"/>
        <v>2.3200000000000003</v>
      </c>
    </row>
    <row r="142" spans="1:19" ht="37.5" customHeight="1" thickBot="1" x14ac:dyDescent="0.4">
      <c r="A142" s="151"/>
      <c r="B142" s="172"/>
      <c r="C142" s="22" t="s">
        <v>469</v>
      </c>
      <c r="D142" s="177" t="str">
        <f>D80</f>
        <v>C12.a,</v>
      </c>
      <c r="E142" s="178"/>
      <c r="F142" s="262" t="str">
        <f>F80</f>
        <v>C12.b</v>
      </c>
      <c r="G142" s="263"/>
      <c r="H142" s="20">
        <f t="shared" si="44"/>
        <v>53</v>
      </c>
      <c r="I142" s="54">
        <f>H142*0.429</f>
        <v>22.736999999999998</v>
      </c>
      <c r="J142" s="2">
        <v>1</v>
      </c>
      <c r="K142" s="47">
        <f t="shared" si="39"/>
        <v>22.736999999999998</v>
      </c>
      <c r="L142" s="18">
        <v>0.17</v>
      </c>
      <c r="M142" s="83">
        <f t="shared" si="42"/>
        <v>3.8652899999999999</v>
      </c>
      <c r="N142" s="13">
        <f t="shared" si="45"/>
        <v>30.263000000000002</v>
      </c>
      <c r="O142" s="2">
        <v>0</v>
      </c>
      <c r="P142" s="13">
        <f t="shared" si="40"/>
        <v>0</v>
      </c>
      <c r="Q142" s="18">
        <v>0</v>
      </c>
      <c r="R142" s="83">
        <f t="shared" si="43"/>
        <v>0</v>
      </c>
      <c r="S142" s="9">
        <f t="shared" si="41"/>
        <v>3.8652899999999999</v>
      </c>
    </row>
    <row r="143" spans="1:19" ht="30.75" customHeight="1" thickBot="1" x14ac:dyDescent="0.4">
      <c r="A143" s="151"/>
      <c r="B143" s="172"/>
      <c r="C143" s="22" t="s">
        <v>470</v>
      </c>
      <c r="D143" s="177" t="str">
        <f>D81</f>
        <v>C13.a,</v>
      </c>
      <c r="E143" s="178"/>
      <c r="F143" s="325" t="str">
        <f>F81</f>
        <v>C13.b</v>
      </c>
      <c r="G143" s="326"/>
      <c r="H143" s="19">
        <v>180</v>
      </c>
      <c r="I143" s="13">
        <f>H143*0.55</f>
        <v>99.000000000000014</v>
      </c>
      <c r="J143" s="2">
        <v>1</v>
      </c>
      <c r="K143" s="47">
        <f t="shared" si="39"/>
        <v>99.000000000000014</v>
      </c>
      <c r="L143" s="18">
        <v>0.02</v>
      </c>
      <c r="M143" s="83">
        <f t="shared" si="42"/>
        <v>1.9800000000000004</v>
      </c>
      <c r="N143" s="13">
        <f t="shared" si="45"/>
        <v>80.999999999999986</v>
      </c>
      <c r="O143" s="2">
        <v>1</v>
      </c>
      <c r="P143" s="2">
        <f t="shared" si="40"/>
        <v>80.999999999999986</v>
      </c>
      <c r="Q143" s="18">
        <v>0</v>
      </c>
      <c r="R143" s="83">
        <f t="shared" si="43"/>
        <v>0</v>
      </c>
      <c r="S143" s="10">
        <f t="shared" si="41"/>
        <v>1.9800000000000004</v>
      </c>
    </row>
    <row r="144" spans="1:19" ht="34.5" customHeight="1" thickBot="1" x14ac:dyDescent="0.4">
      <c r="A144" s="151"/>
      <c r="B144" s="172"/>
      <c r="C144" s="22" t="s">
        <v>471</v>
      </c>
      <c r="D144" s="177" t="str">
        <f>D82</f>
        <v>C14.a,</v>
      </c>
      <c r="E144" s="178"/>
      <c r="F144" s="325" t="str">
        <f>F82</f>
        <v>C14.b</v>
      </c>
      <c r="G144" s="326"/>
      <c r="H144" s="19">
        <v>180</v>
      </c>
      <c r="I144" s="13">
        <f>H144*0.5</f>
        <v>90</v>
      </c>
      <c r="J144" s="2">
        <v>1</v>
      </c>
      <c r="K144" s="47">
        <f t="shared" si="39"/>
        <v>90</v>
      </c>
      <c r="L144" s="18">
        <v>0.05</v>
      </c>
      <c r="M144" s="83">
        <f t="shared" si="42"/>
        <v>4.5</v>
      </c>
      <c r="N144" s="13">
        <f t="shared" si="45"/>
        <v>90</v>
      </c>
      <c r="O144" s="2">
        <v>1</v>
      </c>
      <c r="P144" s="2">
        <f t="shared" si="40"/>
        <v>90</v>
      </c>
      <c r="Q144" s="17">
        <v>0.02</v>
      </c>
      <c r="R144" s="83">
        <f t="shared" si="43"/>
        <v>1.8</v>
      </c>
      <c r="S144" s="10">
        <f t="shared" si="41"/>
        <v>6.3</v>
      </c>
    </row>
    <row r="145" spans="1:19" ht="34.5" customHeight="1" thickBot="1" x14ac:dyDescent="0.4">
      <c r="A145" s="151"/>
      <c r="B145" s="172"/>
      <c r="C145" s="22" t="s">
        <v>472</v>
      </c>
      <c r="D145" s="177" t="str">
        <f>D83</f>
        <v>D6.a,</v>
      </c>
      <c r="E145" s="178"/>
      <c r="F145" s="262" t="str">
        <f>F83</f>
        <v>D6.b</v>
      </c>
      <c r="G145" s="263"/>
      <c r="H145" s="19">
        <v>180</v>
      </c>
      <c r="I145" s="13">
        <v>150</v>
      </c>
      <c r="J145" s="2">
        <v>1</v>
      </c>
      <c r="K145" s="47">
        <f t="shared" si="39"/>
        <v>150</v>
      </c>
      <c r="L145" s="18">
        <v>0.05</v>
      </c>
      <c r="M145" s="83">
        <f t="shared" si="42"/>
        <v>7.5</v>
      </c>
      <c r="N145" s="13">
        <f t="shared" si="45"/>
        <v>30</v>
      </c>
      <c r="O145" s="2">
        <v>1</v>
      </c>
      <c r="P145" s="2">
        <f t="shared" si="40"/>
        <v>30</v>
      </c>
      <c r="Q145" s="18">
        <v>0.02</v>
      </c>
      <c r="R145" s="83">
        <f t="shared" si="43"/>
        <v>0.6</v>
      </c>
      <c r="S145" s="10">
        <f t="shared" si="41"/>
        <v>8.1</v>
      </c>
    </row>
    <row r="146" spans="1:19" ht="39.75" customHeight="1" thickBot="1" x14ac:dyDescent="0.4">
      <c r="A146" s="151"/>
      <c r="B146" s="172"/>
      <c r="C146" s="22" t="str">
        <f>C84</f>
        <v>Participant Consent Form-Certification Survey</v>
      </c>
      <c r="D146" s="177" t="str">
        <f>D84</f>
        <v>D7.a,</v>
      </c>
      <c r="E146" s="178"/>
      <c r="F146" s="262" t="str">
        <f>F84</f>
        <v>D7.b</v>
      </c>
      <c r="G146" s="263"/>
      <c r="H146" s="13">
        <v>150</v>
      </c>
      <c r="I146" s="13">
        <v>150</v>
      </c>
      <c r="J146" s="2">
        <v>1</v>
      </c>
      <c r="K146" s="47">
        <f t="shared" si="39"/>
        <v>150</v>
      </c>
      <c r="L146" s="18">
        <v>0.08</v>
      </c>
      <c r="M146" s="83">
        <f t="shared" si="42"/>
        <v>12</v>
      </c>
      <c r="N146" s="13">
        <f t="shared" si="45"/>
        <v>0</v>
      </c>
      <c r="O146" s="2">
        <v>0</v>
      </c>
      <c r="P146" s="2">
        <f t="shared" si="40"/>
        <v>0</v>
      </c>
      <c r="Q146" s="18">
        <v>0</v>
      </c>
      <c r="R146" s="83">
        <f t="shared" si="43"/>
        <v>0</v>
      </c>
      <c r="S146" s="10">
        <f t="shared" si="41"/>
        <v>12</v>
      </c>
    </row>
    <row r="147" spans="1:19" ht="36.75" customHeight="1" thickBot="1" x14ac:dyDescent="0.4">
      <c r="A147" s="151"/>
      <c r="B147" s="172"/>
      <c r="C147" s="29" t="s">
        <v>442</v>
      </c>
      <c r="D147" s="103" t="str">
        <f>D102</f>
        <v>B4.a,</v>
      </c>
      <c r="E147" s="104" t="str">
        <f>E102</f>
        <v>B4.b,</v>
      </c>
      <c r="F147" s="104" t="str">
        <f>F102</f>
        <v>B4.c,</v>
      </c>
      <c r="G147" s="105" t="str">
        <f>G102</f>
        <v>B4.d</v>
      </c>
      <c r="H147" s="30">
        <v>24</v>
      </c>
      <c r="I147" s="31">
        <v>19</v>
      </c>
      <c r="J147" s="31">
        <v>1</v>
      </c>
      <c r="K147" s="31">
        <f t="shared" si="39"/>
        <v>19</v>
      </c>
      <c r="L147" s="145">
        <v>0.65</v>
      </c>
      <c r="M147" s="83">
        <f t="shared" si="42"/>
        <v>12.35</v>
      </c>
      <c r="N147" s="31">
        <f t="shared" si="45"/>
        <v>5</v>
      </c>
      <c r="O147" s="31">
        <v>0</v>
      </c>
      <c r="P147" s="31">
        <f t="shared" si="40"/>
        <v>0</v>
      </c>
      <c r="Q147" s="32">
        <v>0</v>
      </c>
      <c r="R147" s="83">
        <f t="shared" si="43"/>
        <v>0</v>
      </c>
      <c r="S147" s="33">
        <f t="shared" si="41"/>
        <v>12.35</v>
      </c>
    </row>
    <row r="148" spans="1:19" ht="36.75" customHeight="1" thickBot="1" x14ac:dyDescent="0.4">
      <c r="A148" s="151"/>
      <c r="B148" s="172"/>
      <c r="C148" s="53" t="s">
        <v>444</v>
      </c>
      <c r="D148" s="193" t="str">
        <f>D103</f>
        <v>C15.a,</v>
      </c>
      <c r="E148" s="194"/>
      <c r="F148" s="183" t="str">
        <f>F103</f>
        <v>C15.b</v>
      </c>
      <c r="G148" s="184"/>
      <c r="H148" s="12">
        <v>24</v>
      </c>
      <c r="I148" s="13">
        <f>H148*(0.3/2.55)</f>
        <v>2.8235294117647056</v>
      </c>
      <c r="J148" s="2">
        <v>1</v>
      </c>
      <c r="K148" s="13">
        <f t="shared" si="39"/>
        <v>2.8235294117647056</v>
      </c>
      <c r="L148" s="18">
        <v>0.13</v>
      </c>
      <c r="M148" s="83">
        <f t="shared" si="42"/>
        <v>0.36705882352941177</v>
      </c>
      <c r="N148" s="11">
        <f t="shared" si="45"/>
        <v>21.176470588235293</v>
      </c>
      <c r="O148" s="2">
        <v>1</v>
      </c>
      <c r="P148" s="13">
        <f t="shared" si="40"/>
        <v>21.176470588235293</v>
      </c>
      <c r="Q148" s="74">
        <v>0.02</v>
      </c>
      <c r="R148" s="83">
        <f t="shared" si="43"/>
        <v>0.42352941176470588</v>
      </c>
      <c r="S148" s="10">
        <f t="shared" si="41"/>
        <v>0.79058823529411759</v>
      </c>
    </row>
    <row r="149" spans="1:19" ht="33.75" customHeight="1" thickBot="1" x14ac:dyDescent="0.4">
      <c r="A149" s="151"/>
      <c r="B149" s="172"/>
      <c r="C149" s="53" t="s">
        <v>445</v>
      </c>
      <c r="D149" s="195"/>
      <c r="E149" s="196"/>
      <c r="F149" s="185"/>
      <c r="G149" s="186"/>
      <c r="H149" s="12">
        <f t="shared" ref="H149:H156" si="46">N148</f>
        <v>21.176470588235293</v>
      </c>
      <c r="I149" s="13">
        <f>ROUNDDOWN(H149*(0.3/2.55),0)</f>
        <v>2</v>
      </c>
      <c r="J149" s="2">
        <v>1</v>
      </c>
      <c r="K149" s="13">
        <f t="shared" si="39"/>
        <v>2</v>
      </c>
      <c r="L149" s="18">
        <v>0.13</v>
      </c>
      <c r="M149" s="83">
        <f t="shared" si="42"/>
        <v>0.26</v>
      </c>
      <c r="N149" s="11">
        <f t="shared" si="45"/>
        <v>19.176470588235293</v>
      </c>
      <c r="O149" s="2">
        <v>1</v>
      </c>
      <c r="P149" s="13">
        <f t="shared" si="40"/>
        <v>19.176470588235293</v>
      </c>
      <c r="Q149" s="18">
        <v>0.02</v>
      </c>
      <c r="R149" s="83">
        <f t="shared" si="43"/>
        <v>0.3835294117647059</v>
      </c>
      <c r="S149" s="10">
        <f t="shared" si="41"/>
        <v>0.64352941176470591</v>
      </c>
    </row>
    <row r="150" spans="1:19" ht="45.75" customHeight="1" thickBot="1" x14ac:dyDescent="0.4">
      <c r="A150" s="151"/>
      <c r="B150" s="172"/>
      <c r="C150" s="140" t="s">
        <v>446</v>
      </c>
      <c r="D150" s="195"/>
      <c r="E150" s="196"/>
      <c r="F150" s="185"/>
      <c r="G150" s="186"/>
      <c r="H150" s="141">
        <f t="shared" si="46"/>
        <v>19.176470588235293</v>
      </c>
      <c r="I150" s="142">
        <f>ROUNDDOWN(H150*(0.3/2.55),0)</f>
        <v>2</v>
      </c>
      <c r="J150" s="2">
        <v>1</v>
      </c>
      <c r="K150" s="13">
        <f t="shared" si="39"/>
        <v>2</v>
      </c>
      <c r="L150" s="18">
        <v>0.13</v>
      </c>
      <c r="M150" s="83">
        <f t="shared" si="42"/>
        <v>0.26</v>
      </c>
      <c r="N150" s="143">
        <v>17</v>
      </c>
      <c r="O150" s="2">
        <v>1</v>
      </c>
      <c r="P150" s="13">
        <f t="shared" si="40"/>
        <v>17</v>
      </c>
      <c r="Q150" s="18">
        <v>0.02</v>
      </c>
      <c r="R150" s="83">
        <f t="shared" si="43"/>
        <v>0.34</v>
      </c>
      <c r="S150" s="10">
        <f t="shared" si="41"/>
        <v>0.60000000000000009</v>
      </c>
    </row>
    <row r="151" spans="1:19" ht="61.5" customHeight="1" thickBot="1" x14ac:dyDescent="0.4">
      <c r="A151" s="151"/>
      <c r="B151" s="172"/>
      <c r="C151" s="53" t="s">
        <v>447</v>
      </c>
      <c r="D151" s="195"/>
      <c r="E151" s="196"/>
      <c r="F151" s="185"/>
      <c r="G151" s="186"/>
      <c r="H151" s="12">
        <f t="shared" si="46"/>
        <v>17</v>
      </c>
      <c r="I151" s="13">
        <f>ROUNDUP(H151*(0.045),0)</f>
        <v>1</v>
      </c>
      <c r="J151" s="2">
        <v>1</v>
      </c>
      <c r="K151" s="13">
        <f t="shared" si="39"/>
        <v>1</v>
      </c>
      <c r="L151" s="18">
        <v>0.13</v>
      </c>
      <c r="M151" s="83">
        <f t="shared" si="42"/>
        <v>0.13</v>
      </c>
      <c r="N151" s="11">
        <f t="shared" si="45"/>
        <v>16</v>
      </c>
      <c r="O151" s="2">
        <v>1</v>
      </c>
      <c r="P151" s="13">
        <f t="shared" si="40"/>
        <v>16</v>
      </c>
      <c r="Q151" s="74">
        <v>0.02</v>
      </c>
      <c r="R151" s="83">
        <f t="shared" si="43"/>
        <v>0.32</v>
      </c>
      <c r="S151" s="10">
        <f t="shared" si="41"/>
        <v>0.45</v>
      </c>
    </row>
    <row r="152" spans="1:19" ht="51.75" customHeight="1" thickBot="1" x14ac:dyDescent="0.4">
      <c r="A152" s="151"/>
      <c r="B152" s="172"/>
      <c r="C152" s="53" t="s">
        <v>448</v>
      </c>
      <c r="D152" s="195"/>
      <c r="E152" s="196"/>
      <c r="F152" s="185"/>
      <c r="G152" s="186"/>
      <c r="H152" s="12">
        <f t="shared" si="46"/>
        <v>16</v>
      </c>
      <c r="I152" s="13">
        <f>ROUNDUP(H152*(0.04),0)</f>
        <v>1</v>
      </c>
      <c r="J152" s="2">
        <v>1</v>
      </c>
      <c r="K152" s="13">
        <f t="shared" si="39"/>
        <v>1</v>
      </c>
      <c r="L152" s="18">
        <v>0.13</v>
      </c>
      <c r="M152" s="83">
        <f t="shared" si="42"/>
        <v>0.13</v>
      </c>
      <c r="N152" s="11">
        <f>ROUNDDOWN(H152-I152,0)</f>
        <v>15</v>
      </c>
      <c r="O152" s="2">
        <v>1</v>
      </c>
      <c r="P152" s="13">
        <f t="shared" si="40"/>
        <v>15</v>
      </c>
      <c r="Q152" s="18">
        <v>0.02</v>
      </c>
      <c r="R152" s="83">
        <f t="shared" si="43"/>
        <v>0.3</v>
      </c>
      <c r="S152" s="10">
        <f t="shared" si="41"/>
        <v>0.43</v>
      </c>
    </row>
    <row r="153" spans="1:19" ht="48.75" customHeight="1" thickBot="1" x14ac:dyDescent="0.4">
      <c r="A153" s="151"/>
      <c r="B153" s="172"/>
      <c r="C153" s="53" t="s">
        <v>449</v>
      </c>
      <c r="D153" s="195"/>
      <c r="E153" s="196"/>
      <c r="F153" s="185"/>
      <c r="G153" s="186"/>
      <c r="H153" s="12">
        <f t="shared" si="46"/>
        <v>15</v>
      </c>
      <c r="I153" s="13">
        <f>ROUNDUP(H153*(0.04),0)</f>
        <v>1</v>
      </c>
      <c r="J153" s="2">
        <v>1</v>
      </c>
      <c r="K153" s="13">
        <f t="shared" si="39"/>
        <v>1</v>
      </c>
      <c r="L153" s="18">
        <v>0.13</v>
      </c>
      <c r="M153" s="83">
        <f t="shared" si="42"/>
        <v>0.13</v>
      </c>
      <c r="N153" s="11">
        <f t="shared" si="45"/>
        <v>14</v>
      </c>
      <c r="O153" s="2">
        <v>1</v>
      </c>
      <c r="P153" s="13">
        <f t="shared" si="40"/>
        <v>14</v>
      </c>
      <c r="Q153" s="18">
        <v>0.02</v>
      </c>
      <c r="R153" s="83">
        <f t="shared" si="43"/>
        <v>0.28000000000000003</v>
      </c>
      <c r="S153" s="10">
        <f t="shared" si="41"/>
        <v>0.41000000000000003</v>
      </c>
    </row>
    <row r="154" spans="1:19" ht="46.5" customHeight="1" thickBot="1" x14ac:dyDescent="0.4">
      <c r="A154" s="151"/>
      <c r="B154" s="172"/>
      <c r="C154" s="53" t="s">
        <v>450</v>
      </c>
      <c r="D154" s="197"/>
      <c r="E154" s="198"/>
      <c r="F154" s="187"/>
      <c r="G154" s="188"/>
      <c r="H154" s="12">
        <f t="shared" si="46"/>
        <v>14</v>
      </c>
      <c r="I154" s="13">
        <f>ROUNDUP(H154*(0.3/8.15),0)</f>
        <v>1</v>
      </c>
      <c r="J154" s="2">
        <v>1</v>
      </c>
      <c r="K154" s="13">
        <f t="shared" si="39"/>
        <v>1</v>
      </c>
      <c r="L154" s="18">
        <v>0.13</v>
      </c>
      <c r="M154" s="83">
        <f t="shared" si="42"/>
        <v>0.13</v>
      </c>
      <c r="N154" s="11">
        <f>ROUNDDOWN(H154-I154,0)</f>
        <v>13</v>
      </c>
      <c r="O154" s="2">
        <v>1</v>
      </c>
      <c r="P154" s="13">
        <f t="shared" si="40"/>
        <v>13</v>
      </c>
      <c r="Q154" s="74">
        <v>0.02</v>
      </c>
      <c r="R154" s="83">
        <f t="shared" si="43"/>
        <v>0.26</v>
      </c>
      <c r="S154" s="10">
        <f t="shared" si="41"/>
        <v>0.39</v>
      </c>
    </row>
    <row r="155" spans="1:19" ht="50.25" customHeight="1" thickBot="1" x14ac:dyDescent="0.4">
      <c r="A155" s="151"/>
      <c r="B155" s="172"/>
      <c r="C155" s="48" t="s">
        <v>451</v>
      </c>
      <c r="D155" s="199" t="str">
        <f>D110</f>
        <v>C16.a,</v>
      </c>
      <c r="E155" s="200"/>
      <c r="F155" s="183" t="str">
        <f>F110</f>
        <v>C16.b</v>
      </c>
      <c r="G155" s="184"/>
      <c r="H155" s="12">
        <f t="shared" si="46"/>
        <v>13</v>
      </c>
      <c r="I155" s="13">
        <f>H155*0.585</f>
        <v>7.6049999999999995</v>
      </c>
      <c r="J155" s="2">
        <v>1</v>
      </c>
      <c r="K155" s="13">
        <f t="shared" si="39"/>
        <v>7.6049999999999995</v>
      </c>
      <c r="L155" s="18">
        <v>0.17</v>
      </c>
      <c r="M155" s="83">
        <f t="shared" si="42"/>
        <v>1.2928500000000001</v>
      </c>
      <c r="N155" s="11">
        <f t="shared" si="45"/>
        <v>5.3950000000000005</v>
      </c>
      <c r="O155" s="2">
        <v>0</v>
      </c>
      <c r="P155" s="13">
        <f t="shared" si="40"/>
        <v>0</v>
      </c>
      <c r="Q155" s="18">
        <v>0</v>
      </c>
      <c r="R155" s="83">
        <f t="shared" si="43"/>
        <v>0</v>
      </c>
      <c r="S155" s="10">
        <f t="shared" si="41"/>
        <v>1.2928500000000001</v>
      </c>
    </row>
    <row r="156" spans="1:19" ht="53.25" customHeight="1" thickBot="1" x14ac:dyDescent="0.4">
      <c r="A156" s="151"/>
      <c r="B156" s="172"/>
      <c r="C156" s="48" t="s">
        <v>452</v>
      </c>
      <c r="D156" s="201"/>
      <c r="E156" s="202"/>
      <c r="F156" s="187"/>
      <c r="G156" s="188"/>
      <c r="H156" s="12">
        <f t="shared" si="46"/>
        <v>5.3950000000000005</v>
      </c>
      <c r="I156" s="13">
        <f>H156*0.189</f>
        <v>1.0196550000000002</v>
      </c>
      <c r="J156" s="2">
        <v>1</v>
      </c>
      <c r="K156" s="13">
        <f t="shared" si="39"/>
        <v>1.0196550000000002</v>
      </c>
      <c r="L156" s="18">
        <v>0.17</v>
      </c>
      <c r="M156" s="83">
        <f t="shared" si="42"/>
        <v>0.17334135000000003</v>
      </c>
      <c r="N156" s="11">
        <f t="shared" si="45"/>
        <v>4.3753450000000003</v>
      </c>
      <c r="O156" s="2">
        <v>0</v>
      </c>
      <c r="P156" s="13">
        <f t="shared" si="40"/>
        <v>0</v>
      </c>
      <c r="Q156" s="18">
        <v>0</v>
      </c>
      <c r="R156" s="83">
        <f t="shared" si="43"/>
        <v>0</v>
      </c>
      <c r="S156" s="10">
        <f t="shared" si="41"/>
        <v>0.17334135000000003</v>
      </c>
    </row>
    <row r="157" spans="1:19" ht="38.25" customHeight="1" thickBot="1" x14ac:dyDescent="0.4">
      <c r="A157" s="151"/>
      <c r="B157" s="172"/>
      <c r="C157" s="55" t="s">
        <v>453</v>
      </c>
      <c r="D157" s="203" t="str">
        <f>D112</f>
        <v>C17.a,</v>
      </c>
      <c r="E157" s="204"/>
      <c r="F157" s="189" t="str">
        <f>F112</f>
        <v>C17.b</v>
      </c>
      <c r="G157" s="190"/>
      <c r="H157" s="12">
        <v>24</v>
      </c>
      <c r="I157" s="13">
        <f>H157*0.55</f>
        <v>13.200000000000001</v>
      </c>
      <c r="J157" s="2">
        <v>1</v>
      </c>
      <c r="K157" s="13">
        <f t="shared" si="39"/>
        <v>13.200000000000001</v>
      </c>
      <c r="L157" s="18">
        <v>0.02</v>
      </c>
      <c r="M157" s="83">
        <f t="shared" si="42"/>
        <v>0.26400000000000001</v>
      </c>
      <c r="N157" s="11">
        <f t="shared" si="45"/>
        <v>10.799999999999999</v>
      </c>
      <c r="O157" s="2">
        <v>1</v>
      </c>
      <c r="P157" s="13">
        <f t="shared" si="40"/>
        <v>10.799999999999999</v>
      </c>
      <c r="Q157" s="18">
        <v>0.02</v>
      </c>
      <c r="R157" s="83">
        <f t="shared" si="43"/>
        <v>0.21599999999999997</v>
      </c>
      <c r="S157" s="10">
        <f t="shared" si="41"/>
        <v>0.48</v>
      </c>
    </row>
    <row r="158" spans="1:19" ht="39.75" customHeight="1" thickBot="1" x14ac:dyDescent="0.4">
      <c r="A158" s="151"/>
      <c r="B158" s="172"/>
      <c r="C158" s="51" t="s">
        <v>454</v>
      </c>
      <c r="D158" s="203" t="str">
        <f>D113</f>
        <v>C18.a,</v>
      </c>
      <c r="E158" s="204"/>
      <c r="F158" s="189" t="str">
        <f>F113</f>
        <v>C18.b</v>
      </c>
      <c r="G158" s="190"/>
      <c r="H158" s="12">
        <f>N157</f>
        <v>10.799999999999999</v>
      </c>
      <c r="I158" s="13">
        <f>H158*0.5</f>
        <v>5.3999999999999995</v>
      </c>
      <c r="J158" s="2">
        <v>1</v>
      </c>
      <c r="K158" s="13">
        <f t="shared" si="39"/>
        <v>5.3999999999999995</v>
      </c>
      <c r="L158" s="18">
        <v>0.1</v>
      </c>
      <c r="M158" s="83">
        <f t="shared" si="42"/>
        <v>0.53999999999999992</v>
      </c>
      <c r="N158" s="11">
        <f>ROUNDUP(H158-I158,0)</f>
        <v>6</v>
      </c>
      <c r="O158" s="2">
        <v>1</v>
      </c>
      <c r="P158" s="13">
        <f t="shared" si="40"/>
        <v>6</v>
      </c>
      <c r="Q158" s="74">
        <v>0.02</v>
      </c>
      <c r="R158" s="83">
        <f t="shared" si="43"/>
        <v>0.12</v>
      </c>
      <c r="S158" s="10">
        <f t="shared" si="41"/>
        <v>0.65999999999999992</v>
      </c>
    </row>
    <row r="159" spans="1:19" ht="34.5" customHeight="1" thickBot="1" x14ac:dyDescent="0.4">
      <c r="A159" s="151"/>
      <c r="B159" s="172"/>
      <c r="C159" s="28" t="s">
        <v>473</v>
      </c>
      <c r="D159" s="179" t="str">
        <f>D114</f>
        <v>D8.a,</v>
      </c>
      <c r="E159" s="180"/>
      <c r="F159" s="189" t="str">
        <f>F114</f>
        <v>D8.b</v>
      </c>
      <c r="G159" s="190"/>
      <c r="H159" s="12">
        <v>24</v>
      </c>
      <c r="I159" s="2">
        <v>19</v>
      </c>
      <c r="J159" s="2">
        <v>1</v>
      </c>
      <c r="K159" s="13">
        <f t="shared" si="39"/>
        <v>19</v>
      </c>
      <c r="L159" s="18">
        <v>0.02</v>
      </c>
      <c r="M159" s="83">
        <f t="shared" si="42"/>
        <v>0.38</v>
      </c>
      <c r="N159" s="11">
        <f t="shared" si="45"/>
        <v>5</v>
      </c>
      <c r="O159" s="2">
        <v>1</v>
      </c>
      <c r="P159" s="13">
        <f t="shared" si="40"/>
        <v>5</v>
      </c>
      <c r="Q159" s="76">
        <v>0.02</v>
      </c>
      <c r="R159" s="83">
        <f t="shared" si="43"/>
        <v>0.1</v>
      </c>
      <c r="S159" s="10">
        <f t="shared" si="41"/>
        <v>0.48</v>
      </c>
    </row>
    <row r="160" spans="1:19" ht="15" thickBot="1" x14ac:dyDescent="0.4">
      <c r="A160" s="174"/>
      <c r="B160" s="173"/>
      <c r="C160" s="64" t="str">
        <f>C115</f>
        <v>Participant Consent Form-Denied Applicant Survey</v>
      </c>
      <c r="D160" s="181" t="str">
        <f>D115</f>
        <v>D9.a,</v>
      </c>
      <c r="E160" s="182"/>
      <c r="F160" s="191" t="str">
        <f>F115</f>
        <v>D9.b</v>
      </c>
      <c r="G160" s="192"/>
      <c r="H160" s="75">
        <v>19</v>
      </c>
      <c r="I160" s="2">
        <v>19</v>
      </c>
      <c r="J160" s="2">
        <v>1</v>
      </c>
      <c r="K160" s="13">
        <f t="shared" si="39"/>
        <v>19</v>
      </c>
      <c r="L160" s="18">
        <v>0.1</v>
      </c>
      <c r="M160" s="83">
        <f t="shared" si="42"/>
        <v>1.9000000000000001</v>
      </c>
      <c r="N160" s="74">
        <v>0</v>
      </c>
      <c r="O160" s="74">
        <v>0</v>
      </c>
      <c r="P160" s="74">
        <v>0</v>
      </c>
      <c r="Q160" s="76">
        <v>0</v>
      </c>
      <c r="R160" s="83">
        <f t="shared" si="43"/>
        <v>0</v>
      </c>
      <c r="S160" s="10">
        <f t="shared" si="41"/>
        <v>1.9000000000000001</v>
      </c>
    </row>
    <row r="161" spans="1:19" s="72" customFormat="1" ht="15" thickBot="1" x14ac:dyDescent="0.4">
      <c r="A161" s="169" t="s">
        <v>485</v>
      </c>
      <c r="B161" s="170"/>
      <c r="C161" s="170"/>
      <c r="D161" s="170"/>
      <c r="E161" s="170"/>
      <c r="F161" s="170"/>
      <c r="G161" s="170"/>
      <c r="H161" s="171"/>
      <c r="I161" s="66">
        <f>I147+I134</f>
        <v>179</v>
      </c>
      <c r="J161" s="66">
        <f>K161/I161</f>
        <v>5.0758501922444959</v>
      </c>
      <c r="K161" s="66">
        <f>SUM(K134:K160)</f>
        <v>908.57718441176473</v>
      </c>
      <c r="L161" s="67">
        <f>M161/K161</f>
        <v>0.20435809236585659</v>
      </c>
      <c r="M161" s="67">
        <f>SUM(M134:M160)</f>
        <v>185.67510017352933</v>
      </c>
      <c r="N161" s="65">
        <f>N147+N134</f>
        <v>45</v>
      </c>
      <c r="O161" s="66">
        <f>P161/N161</f>
        <v>22.212465359477122</v>
      </c>
      <c r="P161" s="66">
        <f>SUM(P134:P160)</f>
        <v>999.56094117647046</v>
      </c>
      <c r="Q161" s="67">
        <f>R161/P161</f>
        <v>1.837806905337732E-2</v>
      </c>
      <c r="R161" s="67">
        <f>ROUNDDOWN(SUM(R134:R160), 2)</f>
        <v>18.37</v>
      </c>
      <c r="S161" s="67">
        <f>SUM(S134:S160)</f>
        <v>204.04631899705873</v>
      </c>
    </row>
    <row r="162" spans="1:19" ht="15.75" customHeight="1" thickBot="1" x14ac:dyDescent="0.4">
      <c r="A162" s="205" t="s">
        <v>486</v>
      </c>
      <c r="B162" s="206"/>
      <c r="C162" s="206"/>
      <c r="D162" s="206"/>
      <c r="E162" s="206"/>
      <c r="F162" s="206"/>
      <c r="G162" s="206"/>
      <c r="H162" s="207"/>
      <c r="I162" s="84">
        <f>I161+I132</f>
        <v>188</v>
      </c>
      <c r="J162" s="66">
        <f>K162/I162</f>
        <v>4.9091871511264085</v>
      </c>
      <c r="K162" s="84">
        <f>K161+K132</f>
        <v>922.92718441176476</v>
      </c>
      <c r="L162" s="67">
        <f>M162/K162</f>
        <v>0.20503036790939841</v>
      </c>
      <c r="M162" s="85">
        <f>M161+M132</f>
        <v>189.22810017352933</v>
      </c>
      <c r="N162" s="125">
        <f>N161+N132</f>
        <v>48.3</v>
      </c>
      <c r="O162" s="66">
        <f>P162/N162</f>
        <v>20.783870417732309</v>
      </c>
      <c r="P162" s="84">
        <f>P161+P132</f>
        <v>1003.8609411764704</v>
      </c>
      <c r="Q162" s="67">
        <f>R162/P162</f>
        <v>1.8385016532639045E-2</v>
      </c>
      <c r="R162" s="85">
        <f>R161+R132</f>
        <v>18.456</v>
      </c>
      <c r="S162" s="67">
        <f>S161+S132</f>
        <v>207.68531899705874</v>
      </c>
    </row>
    <row r="163" spans="1:19" ht="15.65" customHeight="1" thickTop="1" thickBot="1" x14ac:dyDescent="0.4">
      <c r="A163" s="320" t="s">
        <v>487</v>
      </c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2"/>
    </row>
    <row r="164" spans="1:19" s="72" customFormat="1" ht="15.5" thickTop="1" thickBot="1" x14ac:dyDescent="0.4">
      <c r="A164" s="153" t="s">
        <v>19</v>
      </c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5"/>
    </row>
    <row r="165" spans="1:19" s="72" customFormat="1" ht="24.5" thickBot="1" x14ac:dyDescent="0.4">
      <c r="A165" s="213" t="s">
        <v>19</v>
      </c>
      <c r="B165" s="98" t="s">
        <v>24</v>
      </c>
      <c r="C165" s="51" t="s">
        <v>38</v>
      </c>
      <c r="D165" s="236" t="str">
        <f>D25</f>
        <v>D1</v>
      </c>
      <c r="E165" s="237"/>
      <c r="F165" s="237"/>
      <c r="G165" s="238"/>
      <c r="H165" s="16">
        <v>3</v>
      </c>
      <c r="I165" s="2">
        <f t="shared" ref="I165:S165" si="47">I127</f>
        <v>3</v>
      </c>
      <c r="J165" s="2">
        <f t="shared" si="47"/>
        <v>1</v>
      </c>
      <c r="K165" s="13">
        <f t="shared" si="47"/>
        <v>3</v>
      </c>
      <c r="L165" s="18">
        <f t="shared" si="47"/>
        <v>0.05</v>
      </c>
      <c r="M165" s="32">
        <f t="shared" si="47"/>
        <v>0.15000000000000002</v>
      </c>
      <c r="N165" s="16">
        <f t="shared" si="47"/>
        <v>0</v>
      </c>
      <c r="O165" s="17">
        <f t="shared" si="47"/>
        <v>0</v>
      </c>
      <c r="P165" s="25">
        <f t="shared" si="47"/>
        <v>0</v>
      </c>
      <c r="Q165" s="18">
        <f t="shared" si="47"/>
        <v>0</v>
      </c>
      <c r="R165" s="32">
        <f t="shared" si="47"/>
        <v>0</v>
      </c>
      <c r="S165" s="14">
        <f t="shared" si="47"/>
        <v>0.15000000000000002</v>
      </c>
    </row>
    <row r="166" spans="1:19" s="86" customFormat="1" ht="15" thickBot="1" x14ac:dyDescent="0.4">
      <c r="A166" s="214"/>
      <c r="B166" s="213" t="s">
        <v>61</v>
      </c>
      <c r="C166" s="24" t="s">
        <v>93</v>
      </c>
      <c r="D166" s="294" t="str">
        <f>D61</f>
        <v>D3</v>
      </c>
      <c r="E166" s="295"/>
      <c r="F166" s="295"/>
      <c r="G166" s="296"/>
      <c r="H166" s="25">
        <v>6</v>
      </c>
      <c r="I166" s="47">
        <f t="shared" ref="I166:S166" si="48">I128</f>
        <v>6</v>
      </c>
      <c r="J166" s="17">
        <f t="shared" si="48"/>
        <v>1</v>
      </c>
      <c r="K166" s="47">
        <f t="shared" si="48"/>
        <v>6</v>
      </c>
      <c r="L166" s="18">
        <f t="shared" si="48"/>
        <v>0.05</v>
      </c>
      <c r="M166" s="32">
        <f t="shared" si="48"/>
        <v>0.30000000000000004</v>
      </c>
      <c r="N166" s="25">
        <f t="shared" si="48"/>
        <v>0</v>
      </c>
      <c r="O166" s="17">
        <f t="shared" si="48"/>
        <v>0</v>
      </c>
      <c r="P166" s="25">
        <f t="shared" si="48"/>
        <v>0</v>
      </c>
      <c r="Q166" s="18">
        <f t="shared" si="48"/>
        <v>0</v>
      </c>
      <c r="R166" s="32">
        <f t="shared" si="48"/>
        <v>0</v>
      </c>
      <c r="S166" s="14">
        <f t="shared" si="48"/>
        <v>0.30000000000000004</v>
      </c>
    </row>
    <row r="167" spans="1:19" s="86" customFormat="1" ht="15" thickBot="1" x14ac:dyDescent="0.4">
      <c r="A167" s="214"/>
      <c r="B167" s="214"/>
      <c r="C167" s="24" t="s">
        <v>425</v>
      </c>
      <c r="D167" s="297" t="str">
        <f>D62</f>
        <v>D4</v>
      </c>
      <c r="E167" s="298"/>
      <c r="F167" s="298"/>
      <c r="G167" s="299"/>
      <c r="H167" s="25">
        <v>6</v>
      </c>
      <c r="I167" s="47">
        <f t="shared" ref="I167:S167" si="49">I129</f>
        <v>2.7</v>
      </c>
      <c r="J167" s="17">
        <f t="shared" si="49"/>
        <v>1</v>
      </c>
      <c r="K167" s="47">
        <f t="shared" si="49"/>
        <v>2.7</v>
      </c>
      <c r="L167" s="18">
        <f t="shared" si="49"/>
        <v>0.57999999999999996</v>
      </c>
      <c r="M167" s="32">
        <f t="shared" si="49"/>
        <v>1.5660000000000001</v>
      </c>
      <c r="N167" s="25">
        <f t="shared" si="49"/>
        <v>3.3</v>
      </c>
      <c r="O167" s="17">
        <f t="shared" si="49"/>
        <v>1</v>
      </c>
      <c r="P167" s="25">
        <f t="shared" si="49"/>
        <v>3.3</v>
      </c>
      <c r="Q167" s="17">
        <f t="shared" si="49"/>
        <v>0.02</v>
      </c>
      <c r="R167" s="32">
        <f t="shared" si="49"/>
        <v>6.6000000000000003E-2</v>
      </c>
      <c r="S167" s="14">
        <f t="shared" si="49"/>
        <v>1.6320000000000001</v>
      </c>
    </row>
    <row r="168" spans="1:19" s="86" customFormat="1" ht="15" thickBot="1" x14ac:dyDescent="0.4">
      <c r="A168" s="214"/>
      <c r="B168" s="214"/>
      <c r="C168" s="24" t="s">
        <v>426</v>
      </c>
      <c r="D168" s="300"/>
      <c r="E168" s="301"/>
      <c r="F168" s="301"/>
      <c r="G168" s="302"/>
      <c r="H168" s="25">
        <f>N167</f>
        <v>3.3</v>
      </c>
      <c r="I168" s="47">
        <f t="shared" ref="I168:S168" si="50">I130</f>
        <v>1.65</v>
      </c>
      <c r="J168" s="17">
        <f t="shared" si="50"/>
        <v>1</v>
      </c>
      <c r="K168" s="47">
        <f t="shared" si="50"/>
        <v>1.65</v>
      </c>
      <c r="L168" s="18">
        <f t="shared" si="50"/>
        <v>0.57999999999999996</v>
      </c>
      <c r="M168" s="32">
        <f t="shared" si="50"/>
        <v>0.95699999999999985</v>
      </c>
      <c r="N168" s="25">
        <f t="shared" si="50"/>
        <v>1</v>
      </c>
      <c r="O168" s="17">
        <f t="shared" si="50"/>
        <v>1</v>
      </c>
      <c r="P168" s="25">
        <f t="shared" si="50"/>
        <v>1</v>
      </c>
      <c r="Q168" s="17">
        <f t="shared" si="50"/>
        <v>0.02</v>
      </c>
      <c r="R168" s="32">
        <f t="shared" si="50"/>
        <v>0.02</v>
      </c>
      <c r="S168" s="14">
        <f t="shared" si="50"/>
        <v>0.97699999999999987</v>
      </c>
    </row>
    <row r="169" spans="1:19" s="86" customFormat="1" ht="15" thickBot="1" x14ac:dyDescent="0.4">
      <c r="A169" s="215"/>
      <c r="B169" s="215"/>
      <c r="C169" s="24" t="s">
        <v>94</v>
      </c>
      <c r="D169" s="303"/>
      <c r="E169" s="304"/>
      <c r="F169" s="304"/>
      <c r="G169" s="305"/>
      <c r="H169" s="25">
        <f>N168</f>
        <v>1</v>
      </c>
      <c r="I169" s="47">
        <f t="shared" ref="I169:S169" si="51">I131</f>
        <v>1</v>
      </c>
      <c r="J169" s="17">
        <f t="shared" si="51"/>
        <v>1</v>
      </c>
      <c r="K169" s="47">
        <f t="shared" si="51"/>
        <v>1</v>
      </c>
      <c r="L169" s="18">
        <f t="shared" si="51"/>
        <v>0.57999999999999996</v>
      </c>
      <c r="M169" s="32">
        <f t="shared" si="51"/>
        <v>0.57999999999999996</v>
      </c>
      <c r="N169" s="25">
        <f t="shared" si="51"/>
        <v>0</v>
      </c>
      <c r="O169" s="17">
        <f t="shared" si="51"/>
        <v>0</v>
      </c>
      <c r="P169" s="25">
        <f t="shared" si="51"/>
        <v>0</v>
      </c>
      <c r="Q169" s="18">
        <f t="shared" si="51"/>
        <v>0</v>
      </c>
      <c r="R169" s="32">
        <f t="shared" si="51"/>
        <v>0</v>
      </c>
      <c r="S169" s="14">
        <f t="shared" si="51"/>
        <v>0.57999999999999996</v>
      </c>
    </row>
    <row r="170" spans="1:19" s="72" customFormat="1" ht="15" thickBot="1" x14ac:dyDescent="0.4">
      <c r="A170" s="169" t="s">
        <v>488</v>
      </c>
      <c r="B170" s="170"/>
      <c r="C170" s="170"/>
      <c r="D170" s="170"/>
      <c r="E170" s="170"/>
      <c r="F170" s="170"/>
      <c r="G170" s="170"/>
      <c r="H170" s="171"/>
      <c r="I170" s="27">
        <f>I165+I166</f>
        <v>9</v>
      </c>
      <c r="J170" s="45">
        <f>K170/I170</f>
        <v>1.5944444444444443</v>
      </c>
      <c r="K170" s="44">
        <f>SUM(K165:K169)</f>
        <v>14.35</v>
      </c>
      <c r="L170" s="4">
        <f>M170/K170</f>
        <v>0.24759581881533102</v>
      </c>
      <c r="M170" s="134">
        <f>SUM(M165:M169)</f>
        <v>3.5529999999999999</v>
      </c>
      <c r="N170" s="58">
        <f>N167</f>
        <v>3.3</v>
      </c>
      <c r="O170" s="57">
        <f>P170/N170</f>
        <v>1.303030303030303</v>
      </c>
      <c r="P170" s="45">
        <f>SUM(P165:P169)</f>
        <v>4.3</v>
      </c>
      <c r="Q170" s="4">
        <f>R170/P170</f>
        <v>2.0000000000000004E-2</v>
      </c>
      <c r="R170" s="134">
        <f>SUM(R165:R169)</f>
        <v>8.6000000000000007E-2</v>
      </c>
      <c r="S170" s="15">
        <f>SUM(S165:S169)</f>
        <v>3.6390000000000002</v>
      </c>
    </row>
    <row r="171" spans="1:19" s="72" customFormat="1" ht="15" thickBot="1" x14ac:dyDescent="0.4">
      <c r="A171" s="266" t="s">
        <v>20</v>
      </c>
      <c r="B171" s="267"/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8"/>
    </row>
    <row r="172" spans="1:19" ht="15" thickBot="1" x14ac:dyDescent="0.4">
      <c r="A172" s="151" t="s">
        <v>20</v>
      </c>
      <c r="B172" s="172" t="s">
        <v>92</v>
      </c>
      <c r="C172" s="78" t="s">
        <v>461</v>
      </c>
      <c r="D172" s="116" t="str">
        <f>D72</f>
        <v>B3.a,</v>
      </c>
      <c r="E172" s="117" t="str">
        <f>E72</f>
        <v>B3.b,</v>
      </c>
      <c r="F172" s="117" t="str">
        <f>F72</f>
        <v>B3.c,</v>
      </c>
      <c r="G172" s="118" t="str">
        <f>G72</f>
        <v>B3.d</v>
      </c>
      <c r="H172" s="79">
        <v>200</v>
      </c>
      <c r="I172" s="80">
        <f t="shared" ref="I172:S172" si="52">I134</f>
        <v>160</v>
      </c>
      <c r="J172" s="80">
        <f t="shared" si="52"/>
        <v>1</v>
      </c>
      <c r="K172" s="80">
        <f t="shared" si="52"/>
        <v>160</v>
      </c>
      <c r="L172" s="146">
        <f t="shared" si="52"/>
        <v>0.7</v>
      </c>
      <c r="M172" s="83">
        <f t="shared" si="52"/>
        <v>112</v>
      </c>
      <c r="N172" s="80">
        <f t="shared" si="52"/>
        <v>40</v>
      </c>
      <c r="O172" s="80">
        <f t="shared" si="52"/>
        <v>0</v>
      </c>
      <c r="P172" s="80">
        <f t="shared" si="52"/>
        <v>0</v>
      </c>
      <c r="Q172" s="82">
        <f t="shared" si="52"/>
        <v>0</v>
      </c>
      <c r="R172" s="83">
        <f t="shared" si="52"/>
        <v>0</v>
      </c>
      <c r="S172" s="83">
        <f t="shared" si="52"/>
        <v>112</v>
      </c>
    </row>
    <row r="173" spans="1:19" ht="15" thickBot="1" x14ac:dyDescent="0.4">
      <c r="A173" s="151"/>
      <c r="B173" s="172"/>
      <c r="C173" s="22" t="s">
        <v>462</v>
      </c>
      <c r="D173" s="308" t="str">
        <f>D73</f>
        <v>C11.a,</v>
      </c>
      <c r="E173" s="309"/>
      <c r="F173" s="314" t="str">
        <f>F73</f>
        <v>C11.b</v>
      </c>
      <c r="G173" s="315"/>
      <c r="H173" s="52">
        <f t="shared" ref="H173:S173" si="53">H135</f>
        <v>200</v>
      </c>
      <c r="I173" s="47">
        <f t="shared" si="53"/>
        <v>40</v>
      </c>
      <c r="J173" s="47">
        <f t="shared" si="53"/>
        <v>1</v>
      </c>
      <c r="K173" s="47">
        <f t="shared" si="53"/>
        <v>40</v>
      </c>
      <c r="L173" s="18">
        <f t="shared" si="53"/>
        <v>0.18</v>
      </c>
      <c r="M173" s="83">
        <f t="shared" si="53"/>
        <v>7.1999999999999993</v>
      </c>
      <c r="N173" s="47">
        <f t="shared" si="53"/>
        <v>160</v>
      </c>
      <c r="O173" s="47">
        <f t="shared" si="53"/>
        <v>1</v>
      </c>
      <c r="P173" s="47">
        <f t="shared" si="53"/>
        <v>160</v>
      </c>
      <c r="Q173" s="18">
        <f t="shared" si="53"/>
        <v>0.02</v>
      </c>
      <c r="R173" s="83">
        <f t="shared" si="53"/>
        <v>3.2</v>
      </c>
      <c r="S173" s="18">
        <f t="shared" si="53"/>
        <v>10.399999999999999</v>
      </c>
    </row>
    <row r="174" spans="1:19" ht="15" thickBot="1" x14ac:dyDescent="0.4">
      <c r="A174" s="151"/>
      <c r="B174" s="172"/>
      <c r="C174" s="22" t="s">
        <v>463</v>
      </c>
      <c r="D174" s="310"/>
      <c r="E174" s="311"/>
      <c r="F174" s="316"/>
      <c r="G174" s="317"/>
      <c r="H174" s="52">
        <f t="shared" ref="H174:S174" si="54">H136</f>
        <v>160</v>
      </c>
      <c r="I174" s="47">
        <f t="shared" si="54"/>
        <v>32</v>
      </c>
      <c r="J174" s="47">
        <f t="shared" si="54"/>
        <v>1</v>
      </c>
      <c r="K174" s="47">
        <f t="shared" si="54"/>
        <v>32</v>
      </c>
      <c r="L174" s="18">
        <f t="shared" si="54"/>
        <v>0.18</v>
      </c>
      <c r="M174" s="83">
        <f t="shared" si="54"/>
        <v>5.76</v>
      </c>
      <c r="N174" s="47">
        <f t="shared" si="54"/>
        <v>128</v>
      </c>
      <c r="O174" s="47">
        <f t="shared" si="54"/>
        <v>1</v>
      </c>
      <c r="P174" s="47">
        <f t="shared" si="54"/>
        <v>128</v>
      </c>
      <c r="Q174" s="18">
        <f t="shared" si="54"/>
        <v>0.02</v>
      </c>
      <c r="R174" s="83">
        <f t="shared" si="54"/>
        <v>2.56</v>
      </c>
      <c r="S174" s="18">
        <f t="shared" si="54"/>
        <v>8.32</v>
      </c>
    </row>
    <row r="175" spans="1:19" ht="15" thickBot="1" x14ac:dyDescent="0.4">
      <c r="A175" s="151"/>
      <c r="B175" s="172"/>
      <c r="C175" s="22" t="s">
        <v>464</v>
      </c>
      <c r="D175" s="310"/>
      <c r="E175" s="311"/>
      <c r="F175" s="316"/>
      <c r="G175" s="317"/>
      <c r="H175" s="52">
        <f t="shared" ref="H175:S175" si="55">H137</f>
        <v>128</v>
      </c>
      <c r="I175" s="47">
        <f t="shared" si="55"/>
        <v>25.6</v>
      </c>
      <c r="J175" s="47">
        <f t="shared" si="55"/>
        <v>1</v>
      </c>
      <c r="K175" s="47">
        <f t="shared" si="55"/>
        <v>25.6</v>
      </c>
      <c r="L175" s="18">
        <f t="shared" si="55"/>
        <v>0.18</v>
      </c>
      <c r="M175" s="83">
        <f t="shared" si="55"/>
        <v>4.6079999999999997</v>
      </c>
      <c r="N175" s="47">
        <f t="shared" si="55"/>
        <v>102</v>
      </c>
      <c r="O175" s="47">
        <f t="shared" si="55"/>
        <v>1</v>
      </c>
      <c r="P175" s="47">
        <f t="shared" si="55"/>
        <v>102</v>
      </c>
      <c r="Q175" s="18">
        <f t="shared" si="55"/>
        <v>0.02</v>
      </c>
      <c r="R175" s="83">
        <f t="shared" si="55"/>
        <v>2.04</v>
      </c>
      <c r="S175" s="18">
        <f t="shared" si="55"/>
        <v>6.6479999999999997</v>
      </c>
    </row>
    <row r="176" spans="1:19" ht="15" thickBot="1" x14ac:dyDescent="0.4">
      <c r="A176" s="151"/>
      <c r="B176" s="172"/>
      <c r="C176" s="22" t="s">
        <v>465</v>
      </c>
      <c r="D176" s="310"/>
      <c r="E176" s="311"/>
      <c r="F176" s="316"/>
      <c r="G176" s="317"/>
      <c r="H176" s="52">
        <f t="shared" ref="H176:S176" si="56">H138</f>
        <v>102</v>
      </c>
      <c r="I176" s="47">
        <f t="shared" si="56"/>
        <v>20.400000000000002</v>
      </c>
      <c r="J176" s="47">
        <f t="shared" si="56"/>
        <v>1</v>
      </c>
      <c r="K176" s="47">
        <f t="shared" si="56"/>
        <v>20.400000000000002</v>
      </c>
      <c r="L176" s="18">
        <f t="shared" si="56"/>
        <v>0.18</v>
      </c>
      <c r="M176" s="83">
        <f t="shared" si="56"/>
        <v>3.6720000000000002</v>
      </c>
      <c r="N176" s="47">
        <f t="shared" si="56"/>
        <v>81.599999999999994</v>
      </c>
      <c r="O176" s="47">
        <f t="shared" si="56"/>
        <v>1</v>
      </c>
      <c r="P176" s="47">
        <f t="shared" si="56"/>
        <v>81.599999999999994</v>
      </c>
      <c r="Q176" s="18">
        <f t="shared" si="56"/>
        <v>0.02</v>
      </c>
      <c r="R176" s="83">
        <f t="shared" si="56"/>
        <v>1.6319999999999999</v>
      </c>
      <c r="S176" s="18">
        <f t="shared" si="56"/>
        <v>5.3040000000000003</v>
      </c>
    </row>
    <row r="177" spans="1:19" ht="15" thickBot="1" x14ac:dyDescent="0.4">
      <c r="A177" s="151"/>
      <c r="B177" s="172"/>
      <c r="C177" s="22" t="s">
        <v>466</v>
      </c>
      <c r="D177" s="310"/>
      <c r="E177" s="311"/>
      <c r="F177" s="316"/>
      <c r="G177" s="317"/>
      <c r="H177" s="52">
        <f t="shared" ref="H177:S177" si="57">H139</f>
        <v>81.599999999999994</v>
      </c>
      <c r="I177" s="47">
        <f t="shared" si="57"/>
        <v>9.7919999999999998</v>
      </c>
      <c r="J177" s="47">
        <f t="shared" si="57"/>
        <v>1</v>
      </c>
      <c r="K177" s="47">
        <f t="shared" si="57"/>
        <v>9.7919999999999998</v>
      </c>
      <c r="L177" s="18">
        <f t="shared" si="57"/>
        <v>0.18</v>
      </c>
      <c r="M177" s="83">
        <f t="shared" si="57"/>
        <v>1.7625599999999999</v>
      </c>
      <c r="N177" s="47">
        <f t="shared" si="57"/>
        <v>71.807999999999993</v>
      </c>
      <c r="O177" s="47">
        <f t="shared" si="57"/>
        <v>1</v>
      </c>
      <c r="P177" s="47">
        <f t="shared" si="57"/>
        <v>71.807999999999993</v>
      </c>
      <c r="Q177" s="18">
        <f t="shared" si="57"/>
        <v>0.02</v>
      </c>
      <c r="R177" s="83">
        <f t="shared" si="57"/>
        <v>1.4361599999999999</v>
      </c>
      <c r="S177" s="18">
        <f t="shared" si="57"/>
        <v>3.1987199999999998</v>
      </c>
    </row>
    <row r="178" spans="1:19" ht="15" thickBot="1" x14ac:dyDescent="0.4">
      <c r="A178" s="151"/>
      <c r="B178" s="172"/>
      <c r="C178" s="22" t="s">
        <v>467</v>
      </c>
      <c r="D178" s="310"/>
      <c r="E178" s="311"/>
      <c r="F178" s="316"/>
      <c r="G178" s="317"/>
      <c r="H178" s="52">
        <f t="shared" ref="H178:S178" si="58">H140</f>
        <v>71.807999999999993</v>
      </c>
      <c r="I178" s="47">
        <f t="shared" si="58"/>
        <v>7</v>
      </c>
      <c r="J178" s="47">
        <f t="shared" si="58"/>
        <v>1</v>
      </c>
      <c r="K178" s="47">
        <f t="shared" si="58"/>
        <v>7</v>
      </c>
      <c r="L178" s="18">
        <f t="shared" si="58"/>
        <v>0.18</v>
      </c>
      <c r="M178" s="83">
        <f t="shared" si="58"/>
        <v>1.26</v>
      </c>
      <c r="N178" s="47">
        <f t="shared" si="58"/>
        <v>65</v>
      </c>
      <c r="O178" s="47">
        <f t="shared" si="58"/>
        <v>1</v>
      </c>
      <c r="P178" s="47">
        <f t="shared" si="58"/>
        <v>65</v>
      </c>
      <c r="Q178" s="18">
        <f t="shared" si="58"/>
        <v>0.02</v>
      </c>
      <c r="R178" s="83">
        <f t="shared" si="58"/>
        <v>1.3</v>
      </c>
      <c r="S178" s="18">
        <f t="shared" si="58"/>
        <v>2.56</v>
      </c>
    </row>
    <row r="179" spans="1:19" ht="15" thickBot="1" x14ac:dyDescent="0.4">
      <c r="A179" s="151"/>
      <c r="B179" s="172"/>
      <c r="C179" s="22" t="s">
        <v>468</v>
      </c>
      <c r="D179" s="312"/>
      <c r="E179" s="313"/>
      <c r="F179" s="318"/>
      <c r="G179" s="319"/>
      <c r="H179" s="52">
        <f t="shared" ref="H179:S179" si="59">H141</f>
        <v>65</v>
      </c>
      <c r="I179" s="47">
        <f t="shared" si="59"/>
        <v>7</v>
      </c>
      <c r="J179" s="47">
        <f t="shared" si="59"/>
        <v>1</v>
      </c>
      <c r="K179" s="47">
        <f t="shared" si="59"/>
        <v>7</v>
      </c>
      <c r="L179" s="18">
        <f t="shared" si="59"/>
        <v>0.18</v>
      </c>
      <c r="M179" s="83">
        <f t="shared" si="59"/>
        <v>1.26</v>
      </c>
      <c r="N179" s="47">
        <f t="shared" si="59"/>
        <v>53</v>
      </c>
      <c r="O179" s="47">
        <f t="shared" si="59"/>
        <v>1</v>
      </c>
      <c r="P179" s="47">
        <f t="shared" si="59"/>
        <v>53</v>
      </c>
      <c r="Q179" s="18">
        <f t="shared" si="59"/>
        <v>0.02</v>
      </c>
      <c r="R179" s="83">
        <f t="shared" si="59"/>
        <v>1.06</v>
      </c>
      <c r="S179" s="18">
        <f t="shared" si="59"/>
        <v>2.3200000000000003</v>
      </c>
    </row>
    <row r="180" spans="1:19" ht="15" thickBot="1" x14ac:dyDescent="0.4">
      <c r="A180" s="151"/>
      <c r="B180" s="172"/>
      <c r="C180" s="22" t="s">
        <v>469</v>
      </c>
      <c r="D180" s="177" t="str">
        <f>D80</f>
        <v>C12.a,</v>
      </c>
      <c r="E180" s="178"/>
      <c r="F180" s="262" t="str">
        <f>F80</f>
        <v>C12.b</v>
      </c>
      <c r="G180" s="263"/>
      <c r="H180" s="20">
        <f t="shared" ref="H180:S180" si="60">H142</f>
        <v>53</v>
      </c>
      <c r="I180" s="54">
        <f t="shared" si="60"/>
        <v>22.736999999999998</v>
      </c>
      <c r="J180" s="13">
        <f t="shared" si="60"/>
        <v>1</v>
      </c>
      <c r="K180" s="47">
        <f t="shared" si="60"/>
        <v>22.736999999999998</v>
      </c>
      <c r="L180" s="18">
        <f t="shared" si="60"/>
        <v>0.17</v>
      </c>
      <c r="M180" s="83">
        <f t="shared" si="60"/>
        <v>3.8652899999999999</v>
      </c>
      <c r="N180" s="13">
        <f t="shared" si="60"/>
        <v>30.263000000000002</v>
      </c>
      <c r="O180" s="13">
        <f t="shared" si="60"/>
        <v>0</v>
      </c>
      <c r="P180" s="13">
        <f t="shared" si="60"/>
        <v>0</v>
      </c>
      <c r="Q180" s="18">
        <f t="shared" si="60"/>
        <v>0</v>
      </c>
      <c r="R180" s="83">
        <f t="shared" si="60"/>
        <v>0</v>
      </c>
      <c r="S180" s="9">
        <f t="shared" si="60"/>
        <v>3.8652899999999999</v>
      </c>
    </row>
    <row r="181" spans="1:19" ht="15" thickBot="1" x14ac:dyDescent="0.4">
      <c r="A181" s="151"/>
      <c r="B181" s="172"/>
      <c r="C181" s="22" t="s">
        <v>470</v>
      </c>
      <c r="D181" s="177" t="str">
        <f>D81</f>
        <v>C13.a,</v>
      </c>
      <c r="E181" s="178"/>
      <c r="F181" s="325" t="str">
        <f>F81</f>
        <v>C13.b</v>
      </c>
      <c r="G181" s="326"/>
      <c r="H181" s="19">
        <f t="shared" ref="H181:S181" si="61">H143</f>
        <v>180</v>
      </c>
      <c r="I181" s="13">
        <f t="shared" si="61"/>
        <v>99.000000000000014</v>
      </c>
      <c r="J181" s="13">
        <f t="shared" si="61"/>
        <v>1</v>
      </c>
      <c r="K181" s="47">
        <f t="shared" si="61"/>
        <v>99.000000000000014</v>
      </c>
      <c r="L181" s="18">
        <f t="shared" si="61"/>
        <v>0.02</v>
      </c>
      <c r="M181" s="83">
        <f t="shared" si="61"/>
        <v>1.9800000000000004</v>
      </c>
      <c r="N181" s="13">
        <f t="shared" si="61"/>
        <v>80.999999999999986</v>
      </c>
      <c r="O181" s="13">
        <f t="shared" si="61"/>
        <v>1</v>
      </c>
      <c r="P181" s="13">
        <f t="shared" si="61"/>
        <v>80.999999999999986</v>
      </c>
      <c r="Q181" s="18">
        <v>0.02</v>
      </c>
      <c r="R181" s="83">
        <f t="shared" si="61"/>
        <v>0</v>
      </c>
      <c r="S181" s="10">
        <f t="shared" si="61"/>
        <v>1.9800000000000004</v>
      </c>
    </row>
    <row r="182" spans="1:19" ht="15" thickBot="1" x14ac:dyDescent="0.4">
      <c r="A182" s="151"/>
      <c r="B182" s="172"/>
      <c r="C182" s="22" t="s">
        <v>471</v>
      </c>
      <c r="D182" s="177" t="str">
        <f>D82</f>
        <v>C14.a,</v>
      </c>
      <c r="E182" s="178"/>
      <c r="F182" s="325" t="str">
        <f>F82</f>
        <v>C14.b</v>
      </c>
      <c r="G182" s="326"/>
      <c r="H182" s="19">
        <f t="shared" ref="H182:S182" si="62">H144</f>
        <v>180</v>
      </c>
      <c r="I182" s="13">
        <f t="shared" si="62"/>
        <v>90</v>
      </c>
      <c r="J182" s="13">
        <f t="shared" si="62"/>
        <v>1</v>
      </c>
      <c r="K182" s="47">
        <f t="shared" si="62"/>
        <v>90</v>
      </c>
      <c r="L182" s="18">
        <f t="shared" si="62"/>
        <v>0.05</v>
      </c>
      <c r="M182" s="83">
        <f t="shared" si="62"/>
        <v>4.5</v>
      </c>
      <c r="N182" s="13">
        <f t="shared" si="62"/>
        <v>90</v>
      </c>
      <c r="O182" s="13">
        <f t="shared" si="62"/>
        <v>1</v>
      </c>
      <c r="P182" s="13">
        <f t="shared" si="62"/>
        <v>90</v>
      </c>
      <c r="Q182" s="18">
        <f t="shared" si="62"/>
        <v>0.02</v>
      </c>
      <c r="R182" s="83">
        <f t="shared" si="62"/>
        <v>1.8</v>
      </c>
      <c r="S182" s="10">
        <f t="shared" si="62"/>
        <v>6.3</v>
      </c>
    </row>
    <row r="183" spans="1:19" ht="15" thickBot="1" x14ac:dyDescent="0.4">
      <c r="A183" s="151"/>
      <c r="B183" s="172"/>
      <c r="C183" s="22" t="s">
        <v>472</v>
      </c>
      <c r="D183" s="177" t="str">
        <f>D83</f>
        <v>D6.a,</v>
      </c>
      <c r="E183" s="178"/>
      <c r="F183" s="262" t="str">
        <f>F83</f>
        <v>D6.b</v>
      </c>
      <c r="G183" s="263"/>
      <c r="H183" s="19">
        <f t="shared" ref="H183:S183" si="63">H145</f>
        <v>180</v>
      </c>
      <c r="I183" s="13">
        <f t="shared" si="63"/>
        <v>150</v>
      </c>
      <c r="J183" s="13">
        <f t="shared" si="63"/>
        <v>1</v>
      </c>
      <c r="K183" s="47">
        <f t="shared" si="63"/>
        <v>150</v>
      </c>
      <c r="L183" s="18">
        <f t="shared" si="63"/>
        <v>0.05</v>
      </c>
      <c r="M183" s="83">
        <f t="shared" si="63"/>
        <v>7.5</v>
      </c>
      <c r="N183" s="13">
        <f t="shared" si="63"/>
        <v>30</v>
      </c>
      <c r="O183" s="13">
        <v>1</v>
      </c>
      <c r="P183" s="13">
        <f>N183*O183</f>
        <v>30</v>
      </c>
      <c r="Q183" s="18">
        <v>0.02</v>
      </c>
      <c r="R183" s="83">
        <f t="shared" si="63"/>
        <v>0.6</v>
      </c>
      <c r="S183" s="10">
        <f t="shared" si="63"/>
        <v>8.1</v>
      </c>
    </row>
    <row r="184" spans="1:19" ht="15" thickBot="1" x14ac:dyDescent="0.4">
      <c r="A184" s="151"/>
      <c r="B184" s="172"/>
      <c r="C184" s="22" t="str">
        <f>C146</f>
        <v>Participant Consent Form-Certification Survey</v>
      </c>
      <c r="D184" s="177" t="str">
        <f>D84</f>
        <v>D7.a,</v>
      </c>
      <c r="E184" s="178"/>
      <c r="F184" s="262" t="str">
        <f>F84</f>
        <v>D7.b</v>
      </c>
      <c r="G184" s="263"/>
      <c r="H184" s="13">
        <f t="shared" ref="H184:S184" si="64">H146</f>
        <v>150</v>
      </c>
      <c r="I184" s="13">
        <f t="shared" si="64"/>
        <v>150</v>
      </c>
      <c r="J184" s="13">
        <f t="shared" si="64"/>
        <v>1</v>
      </c>
      <c r="K184" s="47">
        <f t="shared" si="64"/>
        <v>150</v>
      </c>
      <c r="L184" s="18">
        <f t="shared" si="64"/>
        <v>0.08</v>
      </c>
      <c r="M184" s="83">
        <f t="shared" si="64"/>
        <v>12</v>
      </c>
      <c r="N184" s="13">
        <f t="shared" si="64"/>
        <v>0</v>
      </c>
      <c r="O184" s="13">
        <f t="shared" si="64"/>
        <v>0</v>
      </c>
      <c r="P184" s="13">
        <f t="shared" si="64"/>
        <v>0</v>
      </c>
      <c r="Q184" s="18">
        <f t="shared" si="64"/>
        <v>0</v>
      </c>
      <c r="R184" s="83">
        <f t="shared" si="64"/>
        <v>0</v>
      </c>
      <c r="S184" s="10">
        <f t="shared" si="64"/>
        <v>12</v>
      </c>
    </row>
    <row r="185" spans="1:19" ht="15" thickBot="1" x14ac:dyDescent="0.4">
      <c r="A185" s="151"/>
      <c r="B185" s="172"/>
      <c r="C185" s="29" t="s">
        <v>442</v>
      </c>
      <c r="D185" s="103" t="str">
        <f>D102</f>
        <v>B4.a,</v>
      </c>
      <c r="E185" s="104" t="str">
        <f>E102</f>
        <v>B4.b,</v>
      </c>
      <c r="F185" s="104" t="str">
        <f>F102</f>
        <v>B4.c,</v>
      </c>
      <c r="G185" s="105" t="str">
        <f>G102</f>
        <v>B4.d</v>
      </c>
      <c r="H185" s="30">
        <f t="shared" ref="H185:S185" si="65">H147</f>
        <v>24</v>
      </c>
      <c r="I185" s="37">
        <f t="shared" si="65"/>
        <v>19</v>
      </c>
      <c r="J185" s="37">
        <f t="shared" si="65"/>
        <v>1</v>
      </c>
      <c r="K185" s="37">
        <f t="shared" si="65"/>
        <v>19</v>
      </c>
      <c r="L185" s="145">
        <f t="shared" si="65"/>
        <v>0.65</v>
      </c>
      <c r="M185" s="83">
        <f t="shared" si="65"/>
        <v>12.35</v>
      </c>
      <c r="N185" s="37">
        <f t="shared" si="65"/>
        <v>5</v>
      </c>
      <c r="O185" s="37">
        <f t="shared" si="65"/>
        <v>0</v>
      </c>
      <c r="P185" s="37">
        <f t="shared" si="65"/>
        <v>0</v>
      </c>
      <c r="Q185" s="32">
        <f t="shared" si="65"/>
        <v>0</v>
      </c>
      <c r="R185" s="83">
        <f t="shared" si="65"/>
        <v>0</v>
      </c>
      <c r="S185" s="33">
        <f t="shared" si="65"/>
        <v>12.35</v>
      </c>
    </row>
    <row r="186" spans="1:19" ht="15" thickBot="1" x14ac:dyDescent="0.4">
      <c r="A186" s="151"/>
      <c r="B186" s="172"/>
      <c r="C186" s="53" t="s">
        <v>444</v>
      </c>
      <c r="D186" s="193" t="str">
        <f>D103</f>
        <v>C15.a,</v>
      </c>
      <c r="E186" s="194"/>
      <c r="F186" s="183" t="str">
        <f>F103</f>
        <v>C15.b</v>
      </c>
      <c r="G186" s="184"/>
      <c r="H186" s="12">
        <f t="shared" ref="H186:S186" si="66">H148</f>
        <v>24</v>
      </c>
      <c r="I186" s="13">
        <f t="shared" si="66"/>
        <v>2.8235294117647056</v>
      </c>
      <c r="J186" s="13">
        <f t="shared" si="66"/>
        <v>1</v>
      </c>
      <c r="K186" s="13">
        <f t="shared" si="66"/>
        <v>2.8235294117647056</v>
      </c>
      <c r="L186" s="18">
        <f t="shared" si="66"/>
        <v>0.13</v>
      </c>
      <c r="M186" s="83">
        <f t="shared" si="66"/>
        <v>0.36705882352941177</v>
      </c>
      <c r="N186" s="11">
        <f t="shared" si="66"/>
        <v>21.176470588235293</v>
      </c>
      <c r="O186" s="13">
        <f t="shared" si="66"/>
        <v>1</v>
      </c>
      <c r="P186" s="13">
        <f t="shared" si="66"/>
        <v>21.176470588235293</v>
      </c>
      <c r="Q186" s="49">
        <f t="shared" si="66"/>
        <v>0.02</v>
      </c>
      <c r="R186" s="83">
        <f t="shared" si="66"/>
        <v>0.42352941176470588</v>
      </c>
      <c r="S186" s="10">
        <f t="shared" si="66"/>
        <v>0.79058823529411759</v>
      </c>
    </row>
    <row r="187" spans="1:19" ht="15" thickBot="1" x14ac:dyDescent="0.4">
      <c r="A187" s="151"/>
      <c r="B187" s="172"/>
      <c r="C187" s="53" t="s">
        <v>445</v>
      </c>
      <c r="D187" s="195"/>
      <c r="E187" s="196"/>
      <c r="F187" s="185"/>
      <c r="G187" s="186"/>
      <c r="H187" s="12">
        <f t="shared" ref="H187:S187" si="67">H149</f>
        <v>21.176470588235293</v>
      </c>
      <c r="I187" s="13">
        <f t="shared" si="67"/>
        <v>2</v>
      </c>
      <c r="J187" s="13">
        <f t="shared" si="67"/>
        <v>1</v>
      </c>
      <c r="K187" s="13">
        <f t="shared" si="67"/>
        <v>2</v>
      </c>
      <c r="L187" s="18">
        <f t="shared" si="67"/>
        <v>0.13</v>
      </c>
      <c r="M187" s="83">
        <f t="shared" si="67"/>
        <v>0.26</v>
      </c>
      <c r="N187" s="11">
        <f t="shared" si="67"/>
        <v>19.176470588235293</v>
      </c>
      <c r="O187" s="13">
        <f t="shared" si="67"/>
        <v>1</v>
      </c>
      <c r="P187" s="13">
        <f t="shared" si="67"/>
        <v>19.176470588235293</v>
      </c>
      <c r="Q187" s="18">
        <f t="shared" si="67"/>
        <v>0.02</v>
      </c>
      <c r="R187" s="83">
        <f t="shared" si="67"/>
        <v>0.3835294117647059</v>
      </c>
      <c r="S187" s="10">
        <f t="shared" si="67"/>
        <v>0.64352941176470591</v>
      </c>
    </row>
    <row r="188" spans="1:19" ht="15" thickBot="1" x14ac:dyDescent="0.4">
      <c r="A188" s="151"/>
      <c r="B188" s="172"/>
      <c r="C188" s="140" t="s">
        <v>446</v>
      </c>
      <c r="D188" s="195"/>
      <c r="E188" s="196"/>
      <c r="F188" s="185"/>
      <c r="G188" s="186"/>
      <c r="H188" s="141">
        <f t="shared" ref="H188:S188" si="68">H150</f>
        <v>19.176470588235293</v>
      </c>
      <c r="I188" s="142">
        <f t="shared" si="68"/>
        <v>2</v>
      </c>
      <c r="J188" s="13">
        <f t="shared" si="68"/>
        <v>1</v>
      </c>
      <c r="K188" s="13">
        <f t="shared" si="68"/>
        <v>2</v>
      </c>
      <c r="L188" s="18">
        <f t="shared" si="68"/>
        <v>0.13</v>
      </c>
      <c r="M188" s="83">
        <f t="shared" si="68"/>
        <v>0.26</v>
      </c>
      <c r="N188" s="143">
        <f t="shared" si="68"/>
        <v>17</v>
      </c>
      <c r="O188" s="13">
        <f t="shared" si="68"/>
        <v>1</v>
      </c>
      <c r="P188" s="13">
        <f t="shared" si="68"/>
        <v>17</v>
      </c>
      <c r="Q188" s="18">
        <f t="shared" si="68"/>
        <v>0.02</v>
      </c>
      <c r="R188" s="83">
        <f t="shared" si="68"/>
        <v>0.34</v>
      </c>
      <c r="S188" s="10">
        <f t="shared" si="68"/>
        <v>0.60000000000000009</v>
      </c>
    </row>
    <row r="189" spans="1:19" ht="15" thickBot="1" x14ac:dyDescent="0.4">
      <c r="A189" s="151"/>
      <c r="B189" s="172"/>
      <c r="C189" s="53" t="s">
        <v>447</v>
      </c>
      <c r="D189" s="195"/>
      <c r="E189" s="196"/>
      <c r="F189" s="185"/>
      <c r="G189" s="186"/>
      <c r="H189" s="12">
        <f t="shared" ref="H189:S189" si="69">H151</f>
        <v>17</v>
      </c>
      <c r="I189" s="13">
        <f t="shared" si="69"/>
        <v>1</v>
      </c>
      <c r="J189" s="13">
        <f t="shared" si="69"/>
        <v>1</v>
      </c>
      <c r="K189" s="13">
        <f t="shared" si="69"/>
        <v>1</v>
      </c>
      <c r="L189" s="18">
        <f t="shared" si="69"/>
        <v>0.13</v>
      </c>
      <c r="M189" s="83">
        <f t="shared" si="69"/>
        <v>0.13</v>
      </c>
      <c r="N189" s="11">
        <f t="shared" si="69"/>
        <v>16</v>
      </c>
      <c r="O189" s="13">
        <f t="shared" si="69"/>
        <v>1</v>
      </c>
      <c r="P189" s="13">
        <f t="shared" si="69"/>
        <v>16</v>
      </c>
      <c r="Q189" s="49">
        <f t="shared" si="69"/>
        <v>0.02</v>
      </c>
      <c r="R189" s="83">
        <f t="shared" si="69"/>
        <v>0.32</v>
      </c>
      <c r="S189" s="10">
        <f t="shared" si="69"/>
        <v>0.45</v>
      </c>
    </row>
    <row r="190" spans="1:19" ht="15" thickBot="1" x14ac:dyDescent="0.4">
      <c r="A190" s="151"/>
      <c r="B190" s="172"/>
      <c r="C190" s="53" t="s">
        <v>448</v>
      </c>
      <c r="D190" s="195"/>
      <c r="E190" s="196"/>
      <c r="F190" s="185"/>
      <c r="G190" s="186"/>
      <c r="H190" s="12">
        <f t="shared" ref="H190:S190" si="70">H152</f>
        <v>16</v>
      </c>
      <c r="I190" s="13">
        <f t="shared" si="70"/>
        <v>1</v>
      </c>
      <c r="J190" s="13">
        <f t="shared" si="70"/>
        <v>1</v>
      </c>
      <c r="K190" s="13">
        <f t="shared" si="70"/>
        <v>1</v>
      </c>
      <c r="L190" s="18">
        <f t="shared" si="70"/>
        <v>0.13</v>
      </c>
      <c r="M190" s="83">
        <f t="shared" si="70"/>
        <v>0.13</v>
      </c>
      <c r="N190" s="11">
        <f t="shared" si="70"/>
        <v>15</v>
      </c>
      <c r="O190" s="13">
        <f t="shared" si="70"/>
        <v>1</v>
      </c>
      <c r="P190" s="13">
        <f t="shared" si="70"/>
        <v>15</v>
      </c>
      <c r="Q190" s="18">
        <f t="shared" si="70"/>
        <v>0.02</v>
      </c>
      <c r="R190" s="83">
        <f t="shared" si="70"/>
        <v>0.3</v>
      </c>
      <c r="S190" s="10">
        <f t="shared" si="70"/>
        <v>0.43</v>
      </c>
    </row>
    <row r="191" spans="1:19" ht="15" thickBot="1" x14ac:dyDescent="0.4">
      <c r="A191" s="151"/>
      <c r="B191" s="172"/>
      <c r="C191" s="53" t="s">
        <v>449</v>
      </c>
      <c r="D191" s="195"/>
      <c r="E191" s="196"/>
      <c r="F191" s="185"/>
      <c r="G191" s="186"/>
      <c r="H191" s="12">
        <f t="shared" ref="H191:S191" si="71">H153</f>
        <v>15</v>
      </c>
      <c r="I191" s="13">
        <f t="shared" si="71"/>
        <v>1</v>
      </c>
      <c r="J191" s="13">
        <f t="shared" si="71"/>
        <v>1</v>
      </c>
      <c r="K191" s="13">
        <f t="shared" si="71"/>
        <v>1</v>
      </c>
      <c r="L191" s="18">
        <f t="shared" si="71"/>
        <v>0.13</v>
      </c>
      <c r="M191" s="83">
        <f t="shared" si="71"/>
        <v>0.13</v>
      </c>
      <c r="N191" s="11">
        <f t="shared" si="71"/>
        <v>14</v>
      </c>
      <c r="O191" s="13">
        <f t="shared" si="71"/>
        <v>1</v>
      </c>
      <c r="P191" s="13">
        <f t="shared" si="71"/>
        <v>14</v>
      </c>
      <c r="Q191" s="18">
        <f t="shared" si="71"/>
        <v>0.02</v>
      </c>
      <c r="R191" s="83">
        <f t="shared" si="71"/>
        <v>0.28000000000000003</v>
      </c>
      <c r="S191" s="10">
        <f t="shared" si="71"/>
        <v>0.41000000000000003</v>
      </c>
    </row>
    <row r="192" spans="1:19" ht="15" thickBot="1" x14ac:dyDescent="0.4">
      <c r="A192" s="151"/>
      <c r="B192" s="172"/>
      <c r="C192" s="53" t="s">
        <v>450</v>
      </c>
      <c r="D192" s="197"/>
      <c r="E192" s="198"/>
      <c r="F192" s="187"/>
      <c r="G192" s="188"/>
      <c r="H192" s="12">
        <f t="shared" ref="H192:S192" si="72">H154</f>
        <v>14</v>
      </c>
      <c r="I192" s="13">
        <f t="shared" si="72"/>
        <v>1</v>
      </c>
      <c r="J192" s="13">
        <f t="shared" si="72"/>
        <v>1</v>
      </c>
      <c r="K192" s="13">
        <f t="shared" si="72"/>
        <v>1</v>
      </c>
      <c r="L192" s="18">
        <f t="shared" si="72"/>
        <v>0.13</v>
      </c>
      <c r="M192" s="83">
        <f t="shared" si="72"/>
        <v>0.13</v>
      </c>
      <c r="N192" s="11">
        <f t="shared" si="72"/>
        <v>13</v>
      </c>
      <c r="O192" s="13">
        <f t="shared" si="72"/>
        <v>1</v>
      </c>
      <c r="P192" s="13">
        <f t="shared" si="72"/>
        <v>13</v>
      </c>
      <c r="Q192" s="49">
        <f t="shared" si="72"/>
        <v>0.02</v>
      </c>
      <c r="R192" s="83">
        <f t="shared" si="72"/>
        <v>0.26</v>
      </c>
      <c r="S192" s="10">
        <f t="shared" si="72"/>
        <v>0.39</v>
      </c>
    </row>
    <row r="193" spans="1:20" ht="15" thickBot="1" x14ac:dyDescent="0.4">
      <c r="A193" s="151"/>
      <c r="B193" s="172"/>
      <c r="C193" s="48" t="s">
        <v>451</v>
      </c>
      <c r="D193" s="199" t="str">
        <f>D110</f>
        <v>C16.a,</v>
      </c>
      <c r="E193" s="200"/>
      <c r="F193" s="183" t="str">
        <f>F110</f>
        <v>C16.b</v>
      </c>
      <c r="G193" s="184"/>
      <c r="H193" s="12">
        <f t="shared" ref="H193:S193" si="73">H155</f>
        <v>13</v>
      </c>
      <c r="I193" s="13">
        <f t="shared" si="73"/>
        <v>7.6049999999999995</v>
      </c>
      <c r="J193" s="13">
        <f t="shared" si="73"/>
        <v>1</v>
      </c>
      <c r="K193" s="13">
        <f t="shared" si="73"/>
        <v>7.6049999999999995</v>
      </c>
      <c r="L193" s="18">
        <f t="shared" si="73"/>
        <v>0.17</v>
      </c>
      <c r="M193" s="83">
        <f t="shared" si="73"/>
        <v>1.2928500000000001</v>
      </c>
      <c r="N193" s="11">
        <f t="shared" si="73"/>
        <v>5.3950000000000005</v>
      </c>
      <c r="O193" s="13">
        <f t="shared" si="73"/>
        <v>0</v>
      </c>
      <c r="P193" s="13">
        <f t="shared" si="73"/>
        <v>0</v>
      </c>
      <c r="Q193" s="18">
        <f t="shared" si="73"/>
        <v>0</v>
      </c>
      <c r="R193" s="83">
        <f t="shared" si="73"/>
        <v>0</v>
      </c>
      <c r="S193" s="10">
        <f t="shared" si="73"/>
        <v>1.2928500000000001</v>
      </c>
    </row>
    <row r="194" spans="1:20" ht="15" thickBot="1" x14ac:dyDescent="0.4">
      <c r="A194" s="151"/>
      <c r="B194" s="172"/>
      <c r="C194" s="48" t="s">
        <v>452</v>
      </c>
      <c r="D194" s="201"/>
      <c r="E194" s="202"/>
      <c r="F194" s="187"/>
      <c r="G194" s="188"/>
      <c r="H194" s="12">
        <f t="shared" ref="H194:S194" si="74">H156</f>
        <v>5.3950000000000005</v>
      </c>
      <c r="I194" s="13">
        <f t="shared" si="74"/>
        <v>1.0196550000000002</v>
      </c>
      <c r="J194" s="13">
        <f t="shared" si="74"/>
        <v>1</v>
      </c>
      <c r="K194" s="13">
        <f t="shared" si="74"/>
        <v>1.0196550000000002</v>
      </c>
      <c r="L194" s="18">
        <f t="shared" si="74"/>
        <v>0.17</v>
      </c>
      <c r="M194" s="83">
        <f t="shared" si="74"/>
        <v>0.17334135000000003</v>
      </c>
      <c r="N194" s="11">
        <f t="shared" si="74"/>
        <v>4.3753450000000003</v>
      </c>
      <c r="O194" s="13">
        <f t="shared" si="74"/>
        <v>0</v>
      </c>
      <c r="P194" s="13">
        <f t="shared" si="74"/>
        <v>0</v>
      </c>
      <c r="Q194" s="18">
        <f t="shared" si="74"/>
        <v>0</v>
      </c>
      <c r="R194" s="83">
        <f t="shared" si="74"/>
        <v>0</v>
      </c>
      <c r="S194" s="10">
        <f t="shared" si="74"/>
        <v>0.17334135000000003</v>
      </c>
    </row>
    <row r="195" spans="1:20" ht="18" customHeight="1" thickBot="1" x14ac:dyDescent="0.4">
      <c r="A195" s="151"/>
      <c r="B195" s="172"/>
      <c r="C195" s="55" t="s">
        <v>453</v>
      </c>
      <c r="D195" s="203" t="str">
        <f>D112</f>
        <v>C17.a,</v>
      </c>
      <c r="E195" s="204"/>
      <c r="F195" s="189" t="str">
        <f>F112</f>
        <v>C17.b</v>
      </c>
      <c r="G195" s="190"/>
      <c r="H195" s="12">
        <f t="shared" ref="H195:S195" si="75">H157</f>
        <v>24</v>
      </c>
      <c r="I195" s="13">
        <f t="shared" si="75"/>
        <v>13.200000000000001</v>
      </c>
      <c r="J195" s="13">
        <f t="shared" si="75"/>
        <v>1</v>
      </c>
      <c r="K195" s="13">
        <f t="shared" si="75"/>
        <v>13.200000000000001</v>
      </c>
      <c r="L195" s="18">
        <f t="shared" si="75"/>
        <v>0.02</v>
      </c>
      <c r="M195" s="83">
        <f t="shared" si="75"/>
        <v>0.26400000000000001</v>
      </c>
      <c r="N195" s="11">
        <f t="shared" si="75"/>
        <v>10.799999999999999</v>
      </c>
      <c r="O195" s="13">
        <f t="shared" si="75"/>
        <v>1</v>
      </c>
      <c r="P195" s="13">
        <f t="shared" si="75"/>
        <v>10.799999999999999</v>
      </c>
      <c r="Q195" s="18">
        <f t="shared" si="75"/>
        <v>0.02</v>
      </c>
      <c r="R195" s="83">
        <f t="shared" si="75"/>
        <v>0.21599999999999997</v>
      </c>
      <c r="S195" s="10">
        <f t="shared" si="75"/>
        <v>0.48</v>
      </c>
    </row>
    <row r="196" spans="1:20" ht="15" thickBot="1" x14ac:dyDescent="0.4">
      <c r="A196" s="151"/>
      <c r="B196" s="172"/>
      <c r="C196" s="51" t="s">
        <v>454</v>
      </c>
      <c r="D196" s="203" t="str">
        <f>D113</f>
        <v>C18.a,</v>
      </c>
      <c r="E196" s="204"/>
      <c r="F196" s="189" t="str">
        <f>F113</f>
        <v>C18.b</v>
      </c>
      <c r="G196" s="190"/>
      <c r="H196" s="12">
        <f t="shared" ref="H196:S196" si="76">H158</f>
        <v>10.799999999999999</v>
      </c>
      <c r="I196" s="13">
        <f t="shared" si="76"/>
        <v>5.3999999999999995</v>
      </c>
      <c r="J196" s="13">
        <f t="shared" si="76"/>
        <v>1</v>
      </c>
      <c r="K196" s="13">
        <f t="shared" si="76"/>
        <v>5.3999999999999995</v>
      </c>
      <c r="L196" s="18">
        <f t="shared" si="76"/>
        <v>0.1</v>
      </c>
      <c r="M196" s="83">
        <f t="shared" si="76"/>
        <v>0.53999999999999992</v>
      </c>
      <c r="N196" s="11">
        <f t="shared" si="76"/>
        <v>6</v>
      </c>
      <c r="O196" s="13">
        <f t="shared" si="76"/>
        <v>1</v>
      </c>
      <c r="P196" s="13">
        <f t="shared" si="76"/>
        <v>6</v>
      </c>
      <c r="Q196" s="49">
        <f t="shared" si="76"/>
        <v>0.02</v>
      </c>
      <c r="R196" s="83">
        <f t="shared" si="76"/>
        <v>0.12</v>
      </c>
      <c r="S196" s="10">
        <f t="shared" si="76"/>
        <v>0.65999999999999992</v>
      </c>
    </row>
    <row r="197" spans="1:20" ht="15" thickBot="1" x14ac:dyDescent="0.4">
      <c r="A197" s="151"/>
      <c r="B197" s="172"/>
      <c r="C197" s="28" t="s">
        <v>473</v>
      </c>
      <c r="D197" s="179" t="str">
        <f>D114</f>
        <v>D8.a,</v>
      </c>
      <c r="E197" s="180"/>
      <c r="F197" s="189" t="str">
        <f>F114</f>
        <v>D8.b</v>
      </c>
      <c r="G197" s="190"/>
      <c r="H197" s="12">
        <f t="shared" ref="H197:S197" si="77">H159</f>
        <v>24</v>
      </c>
      <c r="I197" s="13">
        <f t="shared" si="77"/>
        <v>19</v>
      </c>
      <c r="J197" s="13">
        <f t="shared" si="77"/>
        <v>1</v>
      </c>
      <c r="K197" s="13">
        <f t="shared" si="77"/>
        <v>19</v>
      </c>
      <c r="L197" s="18">
        <f t="shared" si="77"/>
        <v>0.02</v>
      </c>
      <c r="M197" s="83">
        <f t="shared" si="77"/>
        <v>0.38</v>
      </c>
      <c r="N197" s="11">
        <f t="shared" si="77"/>
        <v>5</v>
      </c>
      <c r="O197" s="13">
        <f t="shared" si="77"/>
        <v>1</v>
      </c>
      <c r="P197" s="13">
        <f t="shared" si="77"/>
        <v>5</v>
      </c>
      <c r="Q197" s="49">
        <f t="shared" si="77"/>
        <v>0.02</v>
      </c>
      <c r="R197" s="83">
        <f t="shared" si="77"/>
        <v>0.1</v>
      </c>
      <c r="S197" s="10">
        <f t="shared" si="77"/>
        <v>0.48</v>
      </c>
    </row>
    <row r="198" spans="1:20" ht="15" thickBot="1" x14ac:dyDescent="0.4">
      <c r="A198" s="174"/>
      <c r="B198" s="173"/>
      <c r="C198" s="64" t="str">
        <f>C160</f>
        <v>Participant Consent Form-Denied Applicant Survey</v>
      </c>
      <c r="D198" s="181" t="str">
        <f>D115</f>
        <v>D9.a,</v>
      </c>
      <c r="E198" s="182"/>
      <c r="F198" s="191" t="str">
        <f>F115</f>
        <v>D9.b</v>
      </c>
      <c r="G198" s="192"/>
      <c r="H198" s="138">
        <f t="shared" ref="H198:S198" si="78">H160</f>
        <v>19</v>
      </c>
      <c r="I198" s="13">
        <f t="shared" si="78"/>
        <v>19</v>
      </c>
      <c r="J198" s="13">
        <f t="shared" si="78"/>
        <v>1</v>
      </c>
      <c r="K198" s="13">
        <f t="shared" si="78"/>
        <v>19</v>
      </c>
      <c r="L198" s="18">
        <f t="shared" si="78"/>
        <v>0.1</v>
      </c>
      <c r="M198" s="83">
        <f t="shared" si="78"/>
        <v>1.9000000000000001</v>
      </c>
      <c r="N198" s="137">
        <f t="shared" si="78"/>
        <v>0</v>
      </c>
      <c r="O198" s="137">
        <f t="shared" si="78"/>
        <v>0</v>
      </c>
      <c r="P198" s="137">
        <f t="shared" si="78"/>
        <v>0</v>
      </c>
      <c r="Q198" s="49">
        <f t="shared" si="78"/>
        <v>0</v>
      </c>
      <c r="R198" s="83">
        <f t="shared" si="78"/>
        <v>0</v>
      </c>
      <c r="S198" s="10">
        <f t="shared" si="78"/>
        <v>1.9000000000000001</v>
      </c>
    </row>
    <row r="199" spans="1:20" s="72" customFormat="1" ht="15" thickBot="1" x14ac:dyDescent="0.4">
      <c r="A199" s="169" t="s">
        <v>489</v>
      </c>
      <c r="B199" s="170"/>
      <c r="C199" s="170"/>
      <c r="D199" s="170"/>
      <c r="E199" s="170"/>
      <c r="F199" s="170"/>
      <c r="G199" s="170"/>
      <c r="H199" s="171"/>
      <c r="I199" s="66">
        <f>I185+I172</f>
        <v>179</v>
      </c>
      <c r="J199" s="66">
        <f>K199/I199</f>
        <v>5.0758501922444959</v>
      </c>
      <c r="K199" s="66">
        <f>SUM(K172:K198)</f>
        <v>908.57718441176473</v>
      </c>
      <c r="L199" s="67">
        <f>M199/K199</f>
        <v>0.20435809236585659</v>
      </c>
      <c r="M199" s="67">
        <f>SUM(M172:M198)</f>
        <v>185.67510017352933</v>
      </c>
      <c r="N199" s="126">
        <f>N185+N172</f>
        <v>45</v>
      </c>
      <c r="O199" s="66">
        <f>P199/N199</f>
        <v>22.212465359477122</v>
      </c>
      <c r="P199" s="66">
        <f>SUM(P172:P198)</f>
        <v>999.56094117647046</v>
      </c>
      <c r="Q199" s="67">
        <f>R199/P199</f>
        <v>1.837806905337732E-2</v>
      </c>
      <c r="R199" s="67">
        <f>ROUNDDOWN(SUM(R172:R198),2)</f>
        <v>18.37</v>
      </c>
      <c r="S199" s="67">
        <f>SUM(S172:S198)</f>
        <v>204.04631899705873</v>
      </c>
    </row>
    <row r="200" spans="1:20" s="72" customFormat="1" ht="15.75" customHeight="1" thickBot="1" x14ac:dyDescent="0.4">
      <c r="A200" s="166" t="s">
        <v>490</v>
      </c>
      <c r="B200" s="167"/>
      <c r="C200" s="167"/>
      <c r="D200" s="167"/>
      <c r="E200" s="167"/>
      <c r="F200" s="167"/>
      <c r="G200" s="167"/>
      <c r="H200" s="168"/>
      <c r="I200" s="66">
        <f>I199+I170</f>
        <v>188</v>
      </c>
      <c r="J200" s="66">
        <f>K200/I200</f>
        <v>4.9091871511264085</v>
      </c>
      <c r="K200" s="66">
        <f>K199+K170</f>
        <v>922.92718441176476</v>
      </c>
      <c r="L200" s="67">
        <f>M200/K200</f>
        <v>0.20503036790939841</v>
      </c>
      <c r="M200" s="67">
        <f>M199+M170</f>
        <v>189.22810017352933</v>
      </c>
      <c r="N200" s="127">
        <f>N199+N170</f>
        <v>48.3</v>
      </c>
      <c r="O200" s="66">
        <f>P200/N200</f>
        <v>20.783870417732309</v>
      </c>
      <c r="P200" s="66">
        <f>P199+P170</f>
        <v>1003.8609411764704</v>
      </c>
      <c r="Q200" s="67">
        <f>R200/P200</f>
        <v>1.8385016532639045E-2</v>
      </c>
      <c r="R200" s="67">
        <f>R199+R170</f>
        <v>18.456</v>
      </c>
      <c r="S200" s="67">
        <f>S199+S170</f>
        <v>207.68531899705874</v>
      </c>
    </row>
    <row r="201" spans="1:20" s="86" customFormat="1" ht="15.75" customHeight="1" thickBot="1" x14ac:dyDescent="0.4">
      <c r="A201" s="175" t="s">
        <v>491</v>
      </c>
      <c r="B201" s="175"/>
      <c r="C201" s="175"/>
      <c r="D201" s="175"/>
      <c r="E201" s="175"/>
      <c r="F201" s="175"/>
      <c r="G201" s="175"/>
      <c r="H201" s="176"/>
      <c r="I201" s="122">
        <f>I200+I162+I124</f>
        <v>4375</v>
      </c>
      <c r="J201" s="135">
        <f>K201/I201</f>
        <v>4.9236384122096606</v>
      </c>
      <c r="K201" s="122">
        <f>SUM(K200+K124+K162)</f>
        <v>21540.918053417266</v>
      </c>
      <c r="L201" s="123">
        <f>M201/K201</f>
        <v>0.21328519249781136</v>
      </c>
      <c r="M201" s="124">
        <f>(M200+M162+M124)</f>
        <v>4594.3588536026818</v>
      </c>
      <c r="N201" s="122">
        <f>ROUNDDOWN(N200+N162+N124, 0)</f>
        <v>2253</v>
      </c>
      <c r="O201" s="136">
        <f>P201/N201</f>
        <v>11.645762536792994</v>
      </c>
      <c r="P201" s="122">
        <f>P200+P162+P124</f>
        <v>26237.902995394616</v>
      </c>
      <c r="Q201" s="123">
        <f>R201/P201</f>
        <v>2.048334427085631E-2</v>
      </c>
      <c r="R201" s="124">
        <f>ROUNDUP(R200+R162+R124,2)</f>
        <v>537.43999999999994</v>
      </c>
      <c r="S201" s="124">
        <f>S200+S162+S124</f>
        <v>5131.7994135105746</v>
      </c>
      <c r="T201" s="139"/>
    </row>
    <row r="202" spans="1:20" x14ac:dyDescent="0.35">
      <c r="A202" s="152" t="s">
        <v>380</v>
      </c>
      <c r="B202" s="152"/>
      <c r="C202" s="152"/>
      <c r="D202" s="152"/>
      <c r="E202" s="152"/>
      <c r="F202" s="152"/>
      <c r="G202" s="152"/>
      <c r="H202" s="15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20" s="86" customFormat="1" ht="143.15" customHeight="1" x14ac:dyDescent="0.35">
      <c r="A203" s="165" t="s">
        <v>479</v>
      </c>
      <c r="B203" s="165"/>
      <c r="C203" s="165"/>
      <c r="D203" s="165"/>
      <c r="E203" s="165"/>
      <c r="F203" s="165"/>
      <c r="G203" s="165"/>
      <c r="H203" s="16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20" s="86" customFormat="1" x14ac:dyDescent="0.35">
      <c r="A204" s="132"/>
      <c r="B204" s="131"/>
      <c r="C204" s="131"/>
      <c r="D204" s="131"/>
      <c r="E204" s="131"/>
      <c r="F204" s="131"/>
      <c r="G204" s="131"/>
      <c r="H204" s="131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20" s="86" customFormat="1" x14ac:dyDescent="0.35">
      <c r="A205" s="132"/>
      <c r="B205" s="131"/>
      <c r="C205" s="131"/>
      <c r="D205" s="131"/>
      <c r="E205" s="131"/>
      <c r="F205" s="131"/>
      <c r="G205" s="131"/>
      <c r="H205" s="131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20" x14ac:dyDescent="0.35">
      <c r="A206" s="5"/>
      <c r="B206" s="5" t="s">
        <v>21</v>
      </c>
      <c r="C206" s="5"/>
      <c r="D206" s="5"/>
      <c r="E206" s="5"/>
      <c r="F206" s="5"/>
      <c r="G206" s="5"/>
      <c r="H206" s="5"/>
      <c r="I206" s="130">
        <f>I201+N201</f>
        <v>6628</v>
      </c>
      <c r="J206" s="5"/>
      <c r="K206" s="5"/>
      <c r="L206" s="5"/>
      <c r="M206" s="5"/>
      <c r="N206" s="5"/>
      <c r="O206" s="5"/>
      <c r="P206" s="5"/>
      <c r="Q206" s="5"/>
      <c r="R206" s="5"/>
      <c r="S206" s="6"/>
    </row>
    <row r="207" spans="1:20" x14ac:dyDescent="0.35">
      <c r="A207" s="5"/>
      <c r="B207" s="5" t="s">
        <v>22</v>
      </c>
      <c r="C207" s="5"/>
      <c r="D207" s="5"/>
      <c r="E207" s="5"/>
      <c r="F207" s="5"/>
      <c r="G207" s="5"/>
      <c r="H207" s="5"/>
      <c r="I207" s="130">
        <f>K201+P201</f>
        <v>47778.821048811878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20" s="86" customFormat="1" x14ac:dyDescent="0.35">
      <c r="A208" s="5"/>
      <c r="B208" s="5" t="s">
        <v>393</v>
      </c>
      <c r="C208" s="5"/>
      <c r="D208" s="5"/>
      <c r="E208" s="5"/>
      <c r="F208" s="5"/>
      <c r="G208" s="5"/>
      <c r="H208" s="5"/>
      <c r="I208" s="130">
        <f>M201+R201</f>
        <v>5131.7988536026814</v>
      </c>
      <c r="J208" s="6"/>
      <c r="K208" s="6"/>
      <c r="L208" s="5"/>
      <c r="M208" s="5"/>
      <c r="N208" s="5"/>
      <c r="O208" s="5"/>
      <c r="P208" s="5"/>
      <c r="Q208" s="5"/>
      <c r="R208" s="5"/>
      <c r="S208" s="5"/>
    </row>
    <row r="209" spans="1:19" s="86" customFormat="1" x14ac:dyDescent="0.35">
      <c r="A209" s="5"/>
      <c r="B209" s="5" t="s">
        <v>395</v>
      </c>
      <c r="C209" s="5"/>
      <c r="D209" s="5"/>
      <c r="E209" s="5"/>
      <c r="F209" s="5"/>
      <c r="G209" s="5"/>
      <c r="H209" s="5"/>
      <c r="I209" s="6">
        <f>((K124+K162+K200)+(P124+P162+P200))/((I124+I162+I200)+N124+N162+N200)</f>
        <v>7.2081982150763189</v>
      </c>
      <c r="J209" s="6"/>
      <c r="K209" s="6"/>
      <c r="L209" s="5"/>
      <c r="M209" s="61"/>
      <c r="N209" s="61"/>
      <c r="O209" s="62"/>
      <c r="P209" s="61"/>
      <c r="Q209" s="5"/>
      <c r="R209" s="5"/>
      <c r="S209" s="5"/>
    </row>
    <row r="210" spans="1:19" s="86" customFormat="1" x14ac:dyDescent="0.35">
      <c r="A210" s="5"/>
      <c r="B210" s="5" t="s">
        <v>394</v>
      </c>
      <c r="C210" s="5"/>
      <c r="D210" s="5"/>
      <c r="E210" s="5"/>
      <c r="F210" s="5"/>
      <c r="G210" s="5"/>
      <c r="H210" s="5"/>
      <c r="I210" s="87">
        <f>(((M124+M162+M200)+(R124+R162+R200))/((K124+K162+K200)+(P124+P162+P200)))</f>
        <v>0.10740723067151307</v>
      </c>
      <c r="J210" s="6"/>
      <c r="K210" s="6"/>
      <c r="L210" s="6"/>
      <c r="M210" s="61"/>
      <c r="N210" s="61"/>
      <c r="O210" s="62"/>
      <c r="P210" s="61"/>
      <c r="Q210" s="56"/>
      <c r="R210" s="5"/>
      <c r="S210" s="5"/>
    </row>
    <row r="211" spans="1:19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61"/>
      <c r="N211" s="61"/>
      <c r="O211" s="62"/>
      <c r="P211" s="61"/>
      <c r="Q211" s="56"/>
      <c r="R211" s="5"/>
      <c r="S211" s="5"/>
    </row>
    <row r="212" spans="1:19" hidden="1" x14ac:dyDescent="0.35">
      <c r="A212" s="119" t="s">
        <v>29</v>
      </c>
      <c r="B212" s="119" t="s">
        <v>53</v>
      </c>
      <c r="C212" s="119" t="s">
        <v>25</v>
      </c>
      <c r="D212" s="119"/>
      <c r="E212" s="119"/>
      <c r="F212" s="119"/>
      <c r="G212" s="119"/>
      <c r="H212" s="119">
        <v>0.05</v>
      </c>
      <c r="M212" s="63"/>
      <c r="N212" s="63"/>
      <c r="O212" s="62"/>
      <c r="P212" s="63"/>
      <c r="Q212" s="46"/>
    </row>
    <row r="213" spans="1:19" hidden="1" x14ac:dyDescent="0.35">
      <c r="A213" s="119"/>
      <c r="B213" s="119" t="s">
        <v>54</v>
      </c>
      <c r="C213" s="119" t="s">
        <v>26</v>
      </c>
      <c r="D213" s="119"/>
      <c r="E213" s="119"/>
      <c r="F213" s="119"/>
      <c r="G213" s="119"/>
      <c r="H213" s="119">
        <v>0.02</v>
      </c>
      <c r="M213" s="63"/>
      <c r="N213" s="63"/>
      <c r="O213" s="62"/>
      <c r="P213" s="63"/>
      <c r="Q213" s="46"/>
    </row>
    <row r="214" spans="1:19" hidden="1" x14ac:dyDescent="0.35">
      <c r="A214" s="119"/>
      <c r="B214" s="119" t="s">
        <v>30</v>
      </c>
      <c r="C214" s="119" t="s">
        <v>28</v>
      </c>
      <c r="D214" s="119"/>
      <c r="E214" s="119"/>
      <c r="F214" s="119"/>
      <c r="G214" s="119"/>
      <c r="H214" s="119">
        <v>0.08</v>
      </c>
      <c r="M214" s="63"/>
      <c r="N214" s="63"/>
      <c r="O214" s="62"/>
      <c r="P214" s="63"/>
      <c r="Q214" s="46"/>
    </row>
    <row r="215" spans="1:19" hidden="1" x14ac:dyDescent="0.35">
      <c r="A215" s="119"/>
      <c r="B215" s="119" t="s">
        <v>27</v>
      </c>
      <c r="C215" s="119" t="s">
        <v>26</v>
      </c>
      <c r="D215" s="119"/>
      <c r="E215" s="119"/>
      <c r="F215" s="119"/>
      <c r="G215" s="119"/>
      <c r="H215" s="119">
        <v>0.02</v>
      </c>
      <c r="M215" s="63"/>
      <c r="N215" s="63"/>
      <c r="O215" s="63"/>
      <c r="P215" s="63"/>
      <c r="Q215" s="46"/>
    </row>
    <row r="216" spans="1:19" hidden="1" x14ac:dyDescent="0.35">
      <c r="A216" s="119"/>
      <c r="B216" s="119" t="s">
        <v>55</v>
      </c>
      <c r="C216" s="119" t="s">
        <v>26</v>
      </c>
      <c r="D216" s="119"/>
      <c r="E216" s="119"/>
      <c r="F216" s="119"/>
      <c r="G216" s="119"/>
      <c r="H216" s="119">
        <v>0.02</v>
      </c>
      <c r="M216" s="63"/>
      <c r="N216" s="63"/>
      <c r="O216" s="63"/>
      <c r="P216" s="63"/>
      <c r="Q216" s="46"/>
    </row>
    <row r="217" spans="1:19" hidden="1" x14ac:dyDescent="0.35">
      <c r="A217" s="119"/>
      <c r="B217" s="119" t="s">
        <v>56</v>
      </c>
      <c r="C217" s="119" t="s">
        <v>26</v>
      </c>
      <c r="D217" s="119"/>
      <c r="E217" s="119"/>
      <c r="F217" s="119"/>
      <c r="G217" s="119"/>
      <c r="H217" s="119">
        <v>0.02</v>
      </c>
      <c r="M217" s="63"/>
      <c r="N217" s="63"/>
      <c r="O217" s="63"/>
      <c r="P217" s="63"/>
    </row>
    <row r="218" spans="1:19" hidden="1" x14ac:dyDescent="0.35">
      <c r="A218" s="119"/>
      <c r="B218" s="119" t="s">
        <v>44</v>
      </c>
      <c r="C218" s="119" t="s">
        <v>26</v>
      </c>
      <c r="D218" s="119"/>
      <c r="E218" s="119"/>
      <c r="F218" s="119"/>
      <c r="G218" s="119"/>
      <c r="H218" s="119">
        <v>0.02</v>
      </c>
      <c r="M218" s="63"/>
      <c r="N218" s="63"/>
      <c r="O218" s="63"/>
      <c r="P218" s="63"/>
    </row>
    <row r="219" spans="1:19" hidden="1" x14ac:dyDescent="0.35">
      <c r="A219" s="119"/>
      <c r="B219" s="119" t="s">
        <v>57</v>
      </c>
      <c r="C219" s="119" t="s">
        <v>58</v>
      </c>
      <c r="D219" s="119"/>
      <c r="E219" s="119"/>
      <c r="F219" s="119"/>
      <c r="G219" s="119"/>
      <c r="H219" s="119">
        <v>0.03</v>
      </c>
    </row>
    <row r="220" spans="1:19" hidden="1" x14ac:dyDescent="0.35">
      <c r="A220" s="119"/>
      <c r="B220" s="119" t="s">
        <v>52</v>
      </c>
      <c r="C220" s="119" t="s">
        <v>25</v>
      </c>
      <c r="D220" s="119"/>
      <c r="E220" s="119"/>
      <c r="F220" s="119"/>
      <c r="G220" s="119"/>
      <c r="H220" s="119">
        <v>0.05</v>
      </c>
    </row>
    <row r="221" spans="1:19" hidden="1" x14ac:dyDescent="0.35">
      <c r="A221" s="119"/>
      <c r="B221" s="119" t="s">
        <v>62</v>
      </c>
      <c r="C221" s="119" t="s">
        <v>63</v>
      </c>
      <c r="D221" s="119"/>
      <c r="E221" s="119"/>
      <c r="F221" s="119"/>
      <c r="G221" s="119"/>
      <c r="H221" s="119">
        <v>0.1</v>
      </c>
    </row>
  </sheetData>
  <mergeCells count="170">
    <mergeCell ref="F145:G145"/>
    <mergeCell ref="F180:G180"/>
    <mergeCell ref="F181:G181"/>
    <mergeCell ref="F182:G182"/>
    <mergeCell ref="F146:G146"/>
    <mergeCell ref="D142:E142"/>
    <mergeCell ref="D143:E143"/>
    <mergeCell ref="A163:S163"/>
    <mergeCell ref="F183:G183"/>
    <mergeCell ref="F155:G156"/>
    <mergeCell ref="F148:G154"/>
    <mergeCell ref="D155:E156"/>
    <mergeCell ref="D148:E154"/>
    <mergeCell ref="F142:G142"/>
    <mergeCell ref="F143:G143"/>
    <mergeCell ref="D144:E144"/>
    <mergeCell ref="F144:G144"/>
    <mergeCell ref="F184:G184"/>
    <mergeCell ref="D167:G169"/>
    <mergeCell ref="D173:E179"/>
    <mergeCell ref="F173:G179"/>
    <mergeCell ref="D180:E180"/>
    <mergeCell ref="D181:E181"/>
    <mergeCell ref="A171:S171"/>
    <mergeCell ref="A164:S164"/>
    <mergeCell ref="A170:H170"/>
    <mergeCell ref="B166:B169"/>
    <mergeCell ref="A165:A169"/>
    <mergeCell ref="D165:G165"/>
    <mergeCell ref="D166:G166"/>
    <mergeCell ref="D98:E98"/>
    <mergeCell ref="F97:G97"/>
    <mergeCell ref="F98:G98"/>
    <mergeCell ref="D128:G128"/>
    <mergeCell ref="D129:G131"/>
    <mergeCell ref="D135:E141"/>
    <mergeCell ref="F135:G141"/>
    <mergeCell ref="D122:E122"/>
    <mergeCell ref="D117:E121"/>
    <mergeCell ref="A133:S133"/>
    <mergeCell ref="A86:A122"/>
    <mergeCell ref="D87:E94"/>
    <mergeCell ref="F87:G94"/>
    <mergeCell ref="D114:E114"/>
    <mergeCell ref="D115:E115"/>
    <mergeCell ref="D96:E96"/>
    <mergeCell ref="B86:B101"/>
    <mergeCell ref="D95:E95"/>
    <mergeCell ref="A125:S125"/>
    <mergeCell ref="D112:E112"/>
    <mergeCell ref="D113:E113"/>
    <mergeCell ref="D100:E100"/>
    <mergeCell ref="D101:E101"/>
    <mergeCell ref="F100:G100"/>
    <mergeCell ref="D10:G10"/>
    <mergeCell ref="D11:G17"/>
    <mergeCell ref="D18:G24"/>
    <mergeCell ref="D25:G25"/>
    <mergeCell ref="D66:G66"/>
    <mergeCell ref="D67:G67"/>
    <mergeCell ref="D27:G27"/>
    <mergeCell ref="D28:G28"/>
    <mergeCell ref="F115:G115"/>
    <mergeCell ref="F81:G81"/>
    <mergeCell ref="F82:G82"/>
    <mergeCell ref="F83:G83"/>
    <mergeCell ref="D73:E79"/>
    <mergeCell ref="F73:G79"/>
    <mergeCell ref="D80:E80"/>
    <mergeCell ref="D53:G59"/>
    <mergeCell ref="D60:G60"/>
    <mergeCell ref="D61:G61"/>
    <mergeCell ref="D62:G64"/>
    <mergeCell ref="D65:G65"/>
    <mergeCell ref="D69:G69"/>
    <mergeCell ref="D84:E84"/>
    <mergeCell ref="F103:G109"/>
    <mergeCell ref="F110:G111"/>
    <mergeCell ref="A7:A69"/>
    <mergeCell ref="D68:G68"/>
    <mergeCell ref="A72:A85"/>
    <mergeCell ref="B43:B69"/>
    <mergeCell ref="F95:G95"/>
    <mergeCell ref="F96:G96"/>
    <mergeCell ref="F114:G114"/>
    <mergeCell ref="F84:G84"/>
    <mergeCell ref="B72:B85"/>
    <mergeCell ref="D97:E97"/>
    <mergeCell ref="A70:H70"/>
    <mergeCell ref="A71:S71"/>
    <mergeCell ref="D26:G26"/>
    <mergeCell ref="D43:G43"/>
    <mergeCell ref="D44:G44"/>
    <mergeCell ref="D45:G45"/>
    <mergeCell ref="D46:G52"/>
    <mergeCell ref="F80:G80"/>
    <mergeCell ref="D81:E81"/>
    <mergeCell ref="D82:E82"/>
    <mergeCell ref="D83:E83"/>
    <mergeCell ref="D7:G7"/>
    <mergeCell ref="D8:G8"/>
    <mergeCell ref="D9:G9"/>
    <mergeCell ref="N2:R2"/>
    <mergeCell ref="S2:S3"/>
    <mergeCell ref="A6:S6"/>
    <mergeCell ref="A2:A3"/>
    <mergeCell ref="B2:B3"/>
    <mergeCell ref="C2:C3"/>
    <mergeCell ref="H2:H3"/>
    <mergeCell ref="I2:M2"/>
    <mergeCell ref="D2:G3"/>
    <mergeCell ref="A4:S4"/>
    <mergeCell ref="A5:S5"/>
    <mergeCell ref="F101:G101"/>
    <mergeCell ref="D103:E109"/>
    <mergeCell ref="F112:G112"/>
    <mergeCell ref="F113:G113"/>
    <mergeCell ref="D110:E111"/>
    <mergeCell ref="F122:G122"/>
    <mergeCell ref="D127:G127"/>
    <mergeCell ref="A132:H132"/>
    <mergeCell ref="B102:B115"/>
    <mergeCell ref="D186:E192"/>
    <mergeCell ref="D193:E194"/>
    <mergeCell ref="D195:E195"/>
    <mergeCell ref="D196:E196"/>
    <mergeCell ref="A123:H123"/>
    <mergeCell ref="A124:H124"/>
    <mergeCell ref="B116:B122"/>
    <mergeCell ref="D116:E116"/>
    <mergeCell ref="F116:G116"/>
    <mergeCell ref="D157:E157"/>
    <mergeCell ref="A162:H162"/>
    <mergeCell ref="A161:H161"/>
    <mergeCell ref="B128:B131"/>
    <mergeCell ref="A127:A131"/>
    <mergeCell ref="D145:E145"/>
    <mergeCell ref="D146:E146"/>
    <mergeCell ref="D158:E158"/>
    <mergeCell ref="D159:E159"/>
    <mergeCell ref="D160:E160"/>
    <mergeCell ref="F158:G158"/>
    <mergeCell ref="F157:G157"/>
    <mergeCell ref="F159:G159"/>
    <mergeCell ref="F160:G160"/>
    <mergeCell ref="F117:G121"/>
    <mergeCell ref="B7:B42"/>
    <mergeCell ref="A202:H202"/>
    <mergeCell ref="A126:S126"/>
    <mergeCell ref="D29:G35"/>
    <mergeCell ref="D36:G42"/>
    <mergeCell ref="A203:H203"/>
    <mergeCell ref="A200:H200"/>
    <mergeCell ref="A199:H199"/>
    <mergeCell ref="B134:B160"/>
    <mergeCell ref="B172:B198"/>
    <mergeCell ref="A172:A198"/>
    <mergeCell ref="A201:H201"/>
    <mergeCell ref="D182:E182"/>
    <mergeCell ref="D183:E183"/>
    <mergeCell ref="D184:E184"/>
    <mergeCell ref="A134:A160"/>
    <mergeCell ref="D197:E197"/>
    <mergeCell ref="D198:E198"/>
    <mergeCell ref="F186:G192"/>
    <mergeCell ref="F193:G194"/>
    <mergeCell ref="F195:G195"/>
    <mergeCell ref="F196:G196"/>
    <mergeCell ref="F197:G197"/>
    <mergeCell ref="F198:G198"/>
  </mergeCells>
  <pageMargins left="0.25" right="0.25" top="0.75" bottom="0.75" header="0.3" footer="0.3"/>
  <pageSetup paperSize="5" scale="57" fitToHeight="0" orientation="landscape" r:id="rId1"/>
  <ignoredErrors>
    <ignoredError sqref="H23:I23 H18 L201 Q201 O201 N46 N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4"/>
  <sheetViews>
    <sheetView topLeftCell="E48" zoomScale="85" zoomScaleNormal="85" workbookViewId="0">
      <selection activeCell="I77" sqref="I77"/>
    </sheetView>
  </sheetViews>
  <sheetFormatPr defaultColWidth="9" defaultRowHeight="14" x14ac:dyDescent="0.3"/>
  <cols>
    <col min="1" max="1" width="10.81640625" style="95" hidden="1" customWidth="1"/>
    <col min="2" max="2" width="11.1796875" style="96" hidden="1" customWidth="1"/>
    <col min="3" max="4" width="7.54296875" style="96" hidden="1" customWidth="1"/>
    <col min="5" max="5" width="7.54296875" style="96" customWidth="1"/>
    <col min="6" max="16384" width="9" style="95"/>
  </cols>
  <sheetData>
    <row r="1" spans="1:7" s="91" customFormat="1" x14ac:dyDescent="0.3">
      <c r="A1" s="89" t="s">
        <v>99</v>
      </c>
      <c r="B1" s="91" t="s">
        <v>332</v>
      </c>
      <c r="C1" s="90" t="s">
        <v>354</v>
      </c>
      <c r="D1" s="90" t="s">
        <v>355</v>
      </c>
      <c r="E1" s="90" t="s">
        <v>355</v>
      </c>
    </row>
    <row r="2" spans="1:7" s="91" customFormat="1" x14ac:dyDescent="0.3">
      <c r="A2" s="89"/>
      <c r="B2" s="92"/>
      <c r="C2" s="92"/>
      <c r="D2" s="92"/>
      <c r="E2" s="92"/>
    </row>
    <row r="3" spans="1:7" s="91" customFormat="1" x14ac:dyDescent="0.3">
      <c r="A3" s="93" t="s">
        <v>100</v>
      </c>
      <c r="B3" s="94" t="s">
        <v>259</v>
      </c>
      <c r="C3" s="94" t="s">
        <v>76</v>
      </c>
      <c r="D3" s="94" t="s">
        <v>76</v>
      </c>
      <c r="E3" s="94" t="s">
        <v>76</v>
      </c>
      <c r="F3" s="95" t="s">
        <v>101</v>
      </c>
      <c r="G3" s="95"/>
    </row>
    <row r="4" spans="1:7" x14ac:dyDescent="0.3">
      <c r="A4" s="94" t="s">
        <v>105</v>
      </c>
      <c r="B4" s="94" t="s">
        <v>259</v>
      </c>
      <c r="C4" s="94" t="s">
        <v>35</v>
      </c>
      <c r="D4" s="94" t="s">
        <v>35</v>
      </c>
      <c r="E4" s="94" t="s">
        <v>35</v>
      </c>
      <c r="F4" s="95" t="s">
        <v>106</v>
      </c>
    </row>
    <row r="5" spans="1:7" s="91" customFormat="1" x14ac:dyDescent="0.3">
      <c r="A5" s="93" t="s">
        <v>102</v>
      </c>
      <c r="B5" s="94" t="s">
        <v>259</v>
      </c>
      <c r="C5" s="94" t="s">
        <v>316</v>
      </c>
      <c r="D5" s="94" t="s">
        <v>316</v>
      </c>
      <c r="E5" s="94" t="s">
        <v>316</v>
      </c>
      <c r="F5" s="95" t="s">
        <v>104</v>
      </c>
      <c r="G5" s="95"/>
    </row>
    <row r="6" spans="1:7" s="96" customFormat="1" x14ac:dyDescent="0.3">
      <c r="A6" s="94"/>
      <c r="B6" s="94"/>
      <c r="C6" s="94"/>
      <c r="D6" s="94"/>
      <c r="E6" s="94"/>
    </row>
    <row r="7" spans="1:7" x14ac:dyDescent="0.3">
      <c r="A7" s="93" t="s">
        <v>107</v>
      </c>
      <c r="B7" s="94" t="s">
        <v>259</v>
      </c>
      <c r="C7" s="94" t="s">
        <v>36</v>
      </c>
      <c r="D7" s="94" t="s">
        <v>36</v>
      </c>
      <c r="E7" s="94" t="s">
        <v>36</v>
      </c>
      <c r="F7" s="95" t="s">
        <v>109</v>
      </c>
    </row>
    <row r="8" spans="1:7" x14ac:dyDescent="0.3">
      <c r="A8" s="93" t="s">
        <v>103</v>
      </c>
      <c r="B8" s="94" t="s">
        <v>259</v>
      </c>
      <c r="C8" s="94" t="s">
        <v>37</v>
      </c>
      <c r="D8" s="94" t="s">
        <v>37</v>
      </c>
      <c r="E8" s="94" t="s">
        <v>37</v>
      </c>
      <c r="F8" s="95" t="s">
        <v>87</v>
      </c>
    </row>
    <row r="9" spans="1:7" x14ac:dyDescent="0.3">
      <c r="A9" s="93" t="s">
        <v>111</v>
      </c>
      <c r="B9" s="94" t="s">
        <v>259</v>
      </c>
      <c r="C9" s="94" t="s">
        <v>260</v>
      </c>
      <c r="D9" s="94" t="s">
        <v>260</v>
      </c>
      <c r="E9" s="94" t="s">
        <v>260</v>
      </c>
      <c r="F9" s="95" t="s">
        <v>112</v>
      </c>
    </row>
    <row r="10" spans="1:7" x14ac:dyDescent="0.3">
      <c r="A10" s="93" t="s">
        <v>113</v>
      </c>
      <c r="B10" s="94" t="s">
        <v>259</v>
      </c>
      <c r="C10" s="94" t="s">
        <v>261</v>
      </c>
      <c r="D10" s="94" t="s">
        <v>261</v>
      </c>
      <c r="E10" s="94" t="s">
        <v>261</v>
      </c>
      <c r="F10" s="95" t="s">
        <v>114</v>
      </c>
    </row>
    <row r="11" spans="1:7" x14ac:dyDescent="0.3">
      <c r="A11" s="93" t="s">
        <v>115</v>
      </c>
      <c r="B11" s="94" t="s">
        <v>259</v>
      </c>
      <c r="C11" s="94" t="s">
        <v>262</v>
      </c>
      <c r="D11" s="94" t="s">
        <v>262</v>
      </c>
      <c r="E11" s="94" t="s">
        <v>262</v>
      </c>
      <c r="F11" s="95" t="s">
        <v>116</v>
      </c>
    </row>
    <row r="12" spans="1:7" x14ac:dyDescent="0.3">
      <c r="A12" s="93" t="s">
        <v>117</v>
      </c>
      <c r="B12" s="94" t="s">
        <v>259</v>
      </c>
      <c r="C12" s="94" t="s">
        <v>263</v>
      </c>
      <c r="D12" s="94" t="s">
        <v>263</v>
      </c>
      <c r="E12" s="94" t="s">
        <v>263</v>
      </c>
      <c r="F12" s="95" t="s">
        <v>118</v>
      </c>
    </row>
    <row r="13" spans="1:7" x14ac:dyDescent="0.3">
      <c r="A13" s="93" t="s">
        <v>119</v>
      </c>
      <c r="B13" s="94" t="s">
        <v>259</v>
      </c>
      <c r="C13" s="94" t="s">
        <v>264</v>
      </c>
      <c r="D13" s="94" t="s">
        <v>264</v>
      </c>
      <c r="E13" s="94" t="s">
        <v>264</v>
      </c>
      <c r="F13" s="95" t="s">
        <v>120</v>
      </c>
    </row>
    <row r="14" spans="1:7" x14ac:dyDescent="0.3">
      <c r="A14" s="93" t="s">
        <v>121</v>
      </c>
      <c r="B14" s="94" t="s">
        <v>259</v>
      </c>
      <c r="C14" s="94" t="s">
        <v>265</v>
      </c>
      <c r="D14" s="94" t="s">
        <v>265</v>
      </c>
      <c r="E14" s="94" t="s">
        <v>265</v>
      </c>
      <c r="F14" s="95" t="s">
        <v>122</v>
      </c>
    </row>
    <row r="15" spans="1:7" x14ac:dyDescent="0.3">
      <c r="A15" s="93" t="s">
        <v>123</v>
      </c>
      <c r="B15" s="94" t="s">
        <v>259</v>
      </c>
      <c r="C15" s="94" t="s">
        <v>266</v>
      </c>
      <c r="D15" s="94" t="s">
        <v>266</v>
      </c>
      <c r="E15" s="94" t="s">
        <v>266</v>
      </c>
      <c r="F15" s="95" t="s">
        <v>124</v>
      </c>
    </row>
    <row r="16" spans="1:7" x14ac:dyDescent="0.3">
      <c r="A16" s="93" t="s">
        <v>125</v>
      </c>
      <c r="B16" s="94" t="s">
        <v>259</v>
      </c>
      <c r="C16" s="94" t="s">
        <v>267</v>
      </c>
      <c r="D16" s="94" t="s">
        <v>267</v>
      </c>
      <c r="E16" s="94" t="s">
        <v>267</v>
      </c>
      <c r="F16" s="95" t="s">
        <v>126</v>
      </c>
    </row>
    <row r="17" spans="1:6" x14ac:dyDescent="0.3">
      <c r="A17" s="93" t="s">
        <v>127</v>
      </c>
      <c r="B17" s="94" t="s">
        <v>259</v>
      </c>
      <c r="C17" s="94" t="s">
        <v>268</v>
      </c>
      <c r="D17" s="94" t="s">
        <v>268</v>
      </c>
      <c r="E17" s="94" t="s">
        <v>268</v>
      </c>
      <c r="F17" s="95" t="s">
        <v>128</v>
      </c>
    </row>
    <row r="18" spans="1:6" x14ac:dyDescent="0.3">
      <c r="A18" s="93" t="s">
        <v>129</v>
      </c>
      <c r="B18" s="94" t="s">
        <v>259</v>
      </c>
      <c r="C18" s="94" t="s">
        <v>269</v>
      </c>
      <c r="D18" s="94" t="s">
        <v>269</v>
      </c>
      <c r="E18" s="94" t="s">
        <v>269</v>
      </c>
      <c r="F18" s="95" t="s">
        <v>130</v>
      </c>
    </row>
    <row r="19" spans="1:6" x14ac:dyDescent="0.3">
      <c r="A19" s="93" t="s">
        <v>131</v>
      </c>
      <c r="B19" s="94" t="s">
        <v>259</v>
      </c>
      <c r="C19" s="94" t="s">
        <v>270</v>
      </c>
      <c r="D19" s="94" t="s">
        <v>270</v>
      </c>
      <c r="E19" s="94" t="s">
        <v>270</v>
      </c>
      <c r="F19" s="95" t="s">
        <v>132</v>
      </c>
    </row>
    <row r="20" spans="1:6" x14ac:dyDescent="0.3">
      <c r="A20" s="93" t="s">
        <v>133</v>
      </c>
      <c r="B20" s="94" t="s">
        <v>259</v>
      </c>
      <c r="C20" s="94" t="s">
        <v>271</v>
      </c>
      <c r="D20" s="94" t="s">
        <v>271</v>
      </c>
      <c r="E20" s="94" t="s">
        <v>271</v>
      </c>
      <c r="F20" s="95" t="s">
        <v>134</v>
      </c>
    </row>
    <row r="21" spans="1:6" x14ac:dyDescent="0.3">
      <c r="A21" s="93" t="s">
        <v>135</v>
      </c>
      <c r="B21" s="94" t="s">
        <v>259</v>
      </c>
      <c r="C21" s="94" t="s">
        <v>272</v>
      </c>
      <c r="D21" s="94" t="s">
        <v>272</v>
      </c>
      <c r="E21" s="94" t="s">
        <v>272</v>
      </c>
      <c r="F21" s="95" t="s">
        <v>136</v>
      </c>
    </row>
    <row r="22" spans="1:6" x14ac:dyDescent="0.3">
      <c r="A22" s="93" t="s">
        <v>137</v>
      </c>
      <c r="B22" s="94" t="s">
        <v>259</v>
      </c>
      <c r="C22" s="94" t="s">
        <v>273</v>
      </c>
      <c r="D22" s="94" t="s">
        <v>273</v>
      </c>
      <c r="E22" s="94" t="s">
        <v>273</v>
      </c>
      <c r="F22" s="95" t="s">
        <v>138</v>
      </c>
    </row>
    <row r="23" spans="1:6" x14ac:dyDescent="0.3">
      <c r="A23" s="93"/>
      <c r="B23" s="94" t="s">
        <v>259</v>
      </c>
      <c r="C23" s="94" t="s">
        <v>79</v>
      </c>
      <c r="D23" s="94" t="s">
        <v>79</v>
      </c>
      <c r="E23" s="94" t="s">
        <v>79</v>
      </c>
      <c r="F23" s="95" t="s">
        <v>255</v>
      </c>
    </row>
    <row r="24" spans="1:6" x14ac:dyDescent="0.3">
      <c r="A24" s="93"/>
      <c r="B24" s="94"/>
      <c r="C24" s="94"/>
      <c r="D24" s="94"/>
      <c r="E24" s="94"/>
    </row>
    <row r="25" spans="1:6" x14ac:dyDescent="0.3">
      <c r="A25" s="93" t="s">
        <v>108</v>
      </c>
      <c r="B25" s="94" t="s">
        <v>259</v>
      </c>
      <c r="C25" s="94" t="s">
        <v>1</v>
      </c>
      <c r="D25" s="94" t="s">
        <v>1</v>
      </c>
      <c r="E25" s="94" t="s">
        <v>1</v>
      </c>
      <c r="F25" s="95" t="s">
        <v>78</v>
      </c>
    </row>
    <row r="26" spans="1:6" x14ac:dyDescent="0.3">
      <c r="A26" s="93" t="s">
        <v>110</v>
      </c>
      <c r="B26" s="94" t="s">
        <v>259</v>
      </c>
      <c r="C26" s="94" t="s">
        <v>2</v>
      </c>
      <c r="D26" s="94" t="s">
        <v>2</v>
      </c>
      <c r="E26" s="94" t="s">
        <v>2</v>
      </c>
      <c r="F26" s="95" t="s">
        <v>77</v>
      </c>
    </row>
    <row r="27" spans="1:6" x14ac:dyDescent="0.3">
      <c r="A27" s="93" t="s">
        <v>141</v>
      </c>
      <c r="B27" s="94" t="s">
        <v>259</v>
      </c>
      <c r="C27" s="94" t="s">
        <v>3</v>
      </c>
      <c r="D27" s="94" t="s">
        <v>3</v>
      </c>
      <c r="E27" s="94" t="s">
        <v>3</v>
      </c>
      <c r="F27" s="95" t="s">
        <v>32</v>
      </c>
    </row>
    <row r="28" spans="1:6" x14ac:dyDescent="0.3">
      <c r="A28" s="93" t="s">
        <v>142</v>
      </c>
      <c r="B28" s="94" t="s">
        <v>259</v>
      </c>
      <c r="C28" s="94" t="s">
        <v>4</v>
      </c>
      <c r="D28" s="94" t="s">
        <v>4</v>
      </c>
      <c r="E28" s="94" t="s">
        <v>4</v>
      </c>
      <c r="F28" s="95" t="s">
        <v>33</v>
      </c>
    </row>
    <row r="29" spans="1:6" x14ac:dyDescent="0.3">
      <c r="A29" s="93" t="s">
        <v>144</v>
      </c>
      <c r="B29" s="94" t="s">
        <v>259</v>
      </c>
      <c r="C29" s="94" t="s">
        <v>64</v>
      </c>
      <c r="D29" s="94" t="s">
        <v>64</v>
      </c>
      <c r="E29" s="94" t="s">
        <v>64</v>
      </c>
      <c r="F29" s="95" t="s">
        <v>84</v>
      </c>
    </row>
    <row r="30" spans="1:6" x14ac:dyDescent="0.3">
      <c r="A30" s="93" t="s">
        <v>146</v>
      </c>
      <c r="B30" s="94" t="s">
        <v>259</v>
      </c>
      <c r="C30" s="94" t="s">
        <v>59</v>
      </c>
      <c r="D30" s="94" t="s">
        <v>59</v>
      </c>
      <c r="E30" s="94" t="s">
        <v>59</v>
      </c>
      <c r="F30" s="95" t="s">
        <v>85</v>
      </c>
    </row>
    <row r="31" spans="1:6" x14ac:dyDescent="0.3">
      <c r="A31" s="93" t="s">
        <v>148</v>
      </c>
      <c r="B31" s="94" t="s">
        <v>259</v>
      </c>
      <c r="C31" s="94" t="s">
        <v>60</v>
      </c>
      <c r="D31" s="94" t="s">
        <v>60</v>
      </c>
      <c r="E31" s="94" t="s">
        <v>60</v>
      </c>
      <c r="F31" s="95" t="s">
        <v>66</v>
      </c>
    </row>
    <row r="32" spans="1:6" x14ac:dyDescent="0.3">
      <c r="A32" s="93" t="s">
        <v>150</v>
      </c>
      <c r="B32" s="94" t="s">
        <v>259</v>
      </c>
      <c r="C32" s="94" t="s">
        <v>97</v>
      </c>
      <c r="D32" s="94" t="s">
        <v>97</v>
      </c>
      <c r="E32" s="94" t="s">
        <v>97</v>
      </c>
      <c r="F32" s="95" t="s">
        <v>67</v>
      </c>
    </row>
    <row r="33" spans="1:6" x14ac:dyDescent="0.3">
      <c r="A33" s="93" t="s">
        <v>152</v>
      </c>
      <c r="B33" s="94" t="s">
        <v>259</v>
      </c>
      <c r="C33" s="94" t="s">
        <v>318</v>
      </c>
      <c r="D33" s="94" t="s">
        <v>318</v>
      </c>
      <c r="E33" s="94" t="s">
        <v>318</v>
      </c>
      <c r="F33" s="95" t="s">
        <v>88</v>
      </c>
    </row>
    <row r="34" spans="1:6" x14ac:dyDescent="0.3">
      <c r="A34" s="93" t="s">
        <v>153</v>
      </c>
      <c r="B34" s="94" t="s">
        <v>259</v>
      </c>
      <c r="C34" s="94" t="s">
        <v>330</v>
      </c>
      <c r="D34" s="94" t="s">
        <v>330</v>
      </c>
      <c r="E34" s="94" t="s">
        <v>330</v>
      </c>
      <c r="F34" s="95" t="s">
        <v>89</v>
      </c>
    </row>
    <row r="35" spans="1:6" x14ac:dyDescent="0.3">
      <c r="A35" s="93" t="s">
        <v>154</v>
      </c>
      <c r="B35" s="94" t="s">
        <v>259</v>
      </c>
      <c r="C35" s="94" t="s">
        <v>274</v>
      </c>
      <c r="D35" s="94" t="s">
        <v>274</v>
      </c>
      <c r="E35" s="94" t="s">
        <v>274</v>
      </c>
      <c r="F35" s="95" t="s">
        <v>156</v>
      </c>
    </row>
    <row r="36" spans="1:6" x14ac:dyDescent="0.3">
      <c r="A36" s="93" t="s">
        <v>157</v>
      </c>
      <c r="B36" s="94" t="s">
        <v>259</v>
      </c>
      <c r="C36" s="94" t="s">
        <v>275</v>
      </c>
      <c r="D36" s="94" t="s">
        <v>275</v>
      </c>
      <c r="E36" s="94" t="s">
        <v>275</v>
      </c>
      <c r="F36" s="95" t="s">
        <v>159</v>
      </c>
    </row>
    <row r="37" spans="1:6" x14ac:dyDescent="0.3">
      <c r="A37" s="93" t="s">
        <v>160</v>
      </c>
      <c r="B37" s="94" t="s">
        <v>259</v>
      </c>
      <c r="C37" s="94" t="s">
        <v>276</v>
      </c>
      <c r="D37" s="94" t="s">
        <v>276</v>
      </c>
      <c r="E37" s="94" t="s">
        <v>276</v>
      </c>
      <c r="F37" s="95" t="s">
        <v>162</v>
      </c>
    </row>
    <row r="38" spans="1:6" x14ac:dyDescent="0.3">
      <c r="A38" s="93" t="s">
        <v>163</v>
      </c>
      <c r="B38" s="94" t="s">
        <v>259</v>
      </c>
      <c r="C38" s="94" t="s">
        <v>277</v>
      </c>
      <c r="D38" s="94" t="s">
        <v>277</v>
      </c>
      <c r="E38" s="94" t="s">
        <v>277</v>
      </c>
      <c r="F38" s="95" t="s">
        <v>165</v>
      </c>
    </row>
    <row r="39" spans="1:6" x14ac:dyDescent="0.3">
      <c r="A39" s="93" t="s">
        <v>166</v>
      </c>
      <c r="B39" s="94" t="s">
        <v>259</v>
      </c>
      <c r="C39" s="94" t="s">
        <v>278</v>
      </c>
      <c r="D39" s="94" t="s">
        <v>278</v>
      </c>
      <c r="E39" s="94" t="s">
        <v>278</v>
      </c>
      <c r="F39" s="95" t="s">
        <v>168</v>
      </c>
    </row>
    <row r="40" spans="1:6" x14ac:dyDescent="0.3">
      <c r="A40" s="93" t="s">
        <v>169</v>
      </c>
      <c r="B40" s="94" t="s">
        <v>259</v>
      </c>
      <c r="C40" s="94" t="s">
        <v>279</v>
      </c>
      <c r="D40" s="94" t="s">
        <v>279</v>
      </c>
      <c r="E40" s="94" t="s">
        <v>279</v>
      </c>
      <c r="F40" s="95" t="s">
        <v>171</v>
      </c>
    </row>
    <row r="41" spans="1:6" x14ac:dyDescent="0.3">
      <c r="A41" s="93" t="s">
        <v>172</v>
      </c>
      <c r="B41" s="94" t="s">
        <v>259</v>
      </c>
      <c r="C41" s="94" t="s">
        <v>280</v>
      </c>
      <c r="D41" s="94" t="s">
        <v>280</v>
      </c>
      <c r="E41" s="94" t="s">
        <v>280</v>
      </c>
      <c r="F41" s="95" t="s">
        <v>174</v>
      </c>
    </row>
    <row r="42" spans="1:6" x14ac:dyDescent="0.3">
      <c r="A42" s="93" t="s">
        <v>175</v>
      </c>
      <c r="B42" s="94" t="s">
        <v>259</v>
      </c>
      <c r="C42" s="94" t="s">
        <v>281</v>
      </c>
      <c r="D42" s="94" t="s">
        <v>281</v>
      </c>
      <c r="E42" s="94" t="s">
        <v>281</v>
      </c>
      <c r="F42" s="95" t="s">
        <v>177</v>
      </c>
    </row>
    <row r="43" spans="1:6" x14ac:dyDescent="0.3">
      <c r="A43" s="93" t="s">
        <v>178</v>
      </c>
      <c r="B43" s="94" t="s">
        <v>259</v>
      </c>
      <c r="C43" s="94" t="s">
        <v>282</v>
      </c>
      <c r="D43" s="94" t="s">
        <v>282</v>
      </c>
      <c r="E43" s="94" t="s">
        <v>282</v>
      </c>
      <c r="F43" s="95" t="s">
        <v>180</v>
      </c>
    </row>
    <row r="44" spans="1:6" x14ac:dyDescent="0.3">
      <c r="A44" s="93" t="s">
        <v>181</v>
      </c>
      <c r="B44" s="94" t="s">
        <v>259</v>
      </c>
      <c r="C44" s="94" t="s">
        <v>283</v>
      </c>
      <c r="D44" s="94" t="s">
        <v>283</v>
      </c>
      <c r="E44" s="94" t="s">
        <v>283</v>
      </c>
      <c r="F44" s="95" t="s">
        <v>183</v>
      </c>
    </row>
    <row r="45" spans="1:6" x14ac:dyDescent="0.3">
      <c r="A45" s="93" t="s">
        <v>184</v>
      </c>
      <c r="B45" s="94" t="s">
        <v>259</v>
      </c>
      <c r="C45" s="94" t="s">
        <v>284</v>
      </c>
      <c r="D45" s="94" t="s">
        <v>284</v>
      </c>
      <c r="E45" s="94" t="s">
        <v>284</v>
      </c>
      <c r="F45" s="95" t="s">
        <v>186</v>
      </c>
    </row>
    <row r="46" spans="1:6" x14ac:dyDescent="0.3">
      <c r="A46" s="93" t="s">
        <v>187</v>
      </c>
      <c r="B46" s="94" t="s">
        <v>259</v>
      </c>
      <c r="C46" s="94" t="s">
        <v>285</v>
      </c>
      <c r="D46" s="94" t="s">
        <v>285</v>
      </c>
      <c r="E46" s="94" t="s">
        <v>285</v>
      </c>
      <c r="F46" s="95" t="s">
        <v>189</v>
      </c>
    </row>
    <row r="47" spans="1:6" x14ac:dyDescent="0.3">
      <c r="A47" s="93" t="s">
        <v>190</v>
      </c>
      <c r="B47" s="94" t="s">
        <v>259</v>
      </c>
      <c r="C47" s="94" t="s">
        <v>286</v>
      </c>
      <c r="D47" s="94" t="s">
        <v>286</v>
      </c>
      <c r="E47" s="94" t="s">
        <v>286</v>
      </c>
      <c r="F47" s="95" t="s">
        <v>191</v>
      </c>
    </row>
    <row r="48" spans="1:6" x14ac:dyDescent="0.3">
      <c r="A48" s="93" t="s">
        <v>192</v>
      </c>
      <c r="B48" s="94" t="s">
        <v>259</v>
      </c>
      <c r="C48" s="94" t="s">
        <v>287</v>
      </c>
      <c r="D48" s="94" t="s">
        <v>287</v>
      </c>
      <c r="E48" s="94" t="s">
        <v>287</v>
      </c>
      <c r="F48" s="95" t="s">
        <v>193</v>
      </c>
    </row>
    <row r="49" spans="1:14" x14ac:dyDescent="0.3">
      <c r="A49" s="93" t="s">
        <v>194</v>
      </c>
      <c r="B49" s="94" t="s">
        <v>259</v>
      </c>
      <c r="C49" s="94" t="s">
        <v>288</v>
      </c>
      <c r="D49" s="94" t="s">
        <v>288</v>
      </c>
      <c r="E49" s="94" t="s">
        <v>288</v>
      </c>
      <c r="F49" s="95" t="s">
        <v>195</v>
      </c>
    </row>
    <row r="50" spans="1:14" x14ac:dyDescent="0.3">
      <c r="A50" s="93" t="s">
        <v>196</v>
      </c>
      <c r="B50" s="94" t="s">
        <v>259</v>
      </c>
      <c r="C50" s="94" t="s">
        <v>289</v>
      </c>
      <c r="D50" s="94" t="s">
        <v>289</v>
      </c>
      <c r="E50" s="94" t="s">
        <v>289</v>
      </c>
      <c r="F50" s="95" t="s">
        <v>197</v>
      </c>
    </row>
    <row r="51" spans="1:14" x14ac:dyDescent="0.3">
      <c r="A51" s="93" t="s">
        <v>198</v>
      </c>
      <c r="B51" s="94" t="s">
        <v>259</v>
      </c>
      <c r="C51" s="94" t="s">
        <v>290</v>
      </c>
      <c r="D51" s="94" t="s">
        <v>290</v>
      </c>
      <c r="E51" s="94" t="s">
        <v>290</v>
      </c>
      <c r="F51" s="95" t="s">
        <v>199</v>
      </c>
    </row>
    <row r="52" spans="1:14" x14ac:dyDescent="0.3">
      <c r="A52" s="93" t="s">
        <v>200</v>
      </c>
      <c r="B52" s="94" t="s">
        <v>259</v>
      </c>
      <c r="C52" s="94" t="s">
        <v>291</v>
      </c>
      <c r="D52" s="94" t="s">
        <v>291</v>
      </c>
      <c r="E52" s="94" t="s">
        <v>291</v>
      </c>
      <c r="F52" s="95" t="s">
        <v>201</v>
      </c>
    </row>
    <row r="53" spans="1:14" x14ac:dyDescent="0.3">
      <c r="A53" s="93" t="s">
        <v>202</v>
      </c>
      <c r="B53" s="94" t="s">
        <v>259</v>
      </c>
      <c r="C53" s="94" t="s">
        <v>292</v>
      </c>
      <c r="D53" s="94" t="s">
        <v>292</v>
      </c>
      <c r="E53" s="94" t="s">
        <v>292</v>
      </c>
      <c r="F53" s="95" t="s">
        <v>203</v>
      </c>
    </row>
    <row r="54" spans="1:14" x14ac:dyDescent="0.3">
      <c r="A54" s="93" t="s">
        <v>204</v>
      </c>
      <c r="B54" s="94" t="s">
        <v>259</v>
      </c>
      <c r="C54" s="94" t="s">
        <v>293</v>
      </c>
      <c r="D54" s="94" t="s">
        <v>293</v>
      </c>
      <c r="E54" s="94" t="s">
        <v>293</v>
      </c>
      <c r="F54" s="95" t="s">
        <v>205</v>
      </c>
    </row>
    <row r="55" spans="1:14" x14ac:dyDescent="0.3">
      <c r="A55" s="93" t="s">
        <v>206</v>
      </c>
      <c r="B55" s="94" t="s">
        <v>259</v>
      </c>
      <c r="C55" s="94" t="s">
        <v>294</v>
      </c>
      <c r="D55" s="94" t="s">
        <v>294</v>
      </c>
      <c r="E55" s="94" t="s">
        <v>294</v>
      </c>
      <c r="F55" s="95" t="s">
        <v>207</v>
      </c>
    </row>
    <row r="56" spans="1:14" x14ac:dyDescent="0.3">
      <c r="A56" s="93" t="s">
        <v>208</v>
      </c>
      <c r="B56" s="94" t="s">
        <v>259</v>
      </c>
      <c r="C56" s="94" t="s">
        <v>295</v>
      </c>
      <c r="D56" s="94" t="s">
        <v>295</v>
      </c>
      <c r="E56" s="94" t="s">
        <v>295</v>
      </c>
      <c r="F56" s="95" t="s">
        <v>209</v>
      </c>
    </row>
    <row r="57" spans="1:14" x14ac:dyDescent="0.3">
      <c r="A57" s="93" t="s">
        <v>210</v>
      </c>
      <c r="B57" s="94" t="s">
        <v>259</v>
      </c>
      <c r="C57" s="94" t="s">
        <v>296</v>
      </c>
      <c r="D57" s="94" t="s">
        <v>296</v>
      </c>
      <c r="E57" s="94" t="s">
        <v>296</v>
      </c>
      <c r="F57" s="95" t="s">
        <v>211</v>
      </c>
    </row>
    <row r="58" spans="1:14" x14ac:dyDescent="0.3">
      <c r="A58" s="93" t="s">
        <v>212</v>
      </c>
      <c r="B58" s="94" t="s">
        <v>259</v>
      </c>
      <c r="C58" s="94" t="s">
        <v>297</v>
      </c>
      <c r="D58" s="94" t="s">
        <v>297</v>
      </c>
      <c r="E58" s="94" t="s">
        <v>297</v>
      </c>
      <c r="F58" s="95" t="s">
        <v>213</v>
      </c>
    </row>
    <row r="59" spans="1:14" x14ac:dyDescent="0.3">
      <c r="A59" s="93" t="s">
        <v>214</v>
      </c>
      <c r="B59" s="94" t="s">
        <v>259</v>
      </c>
      <c r="C59" s="94" t="s">
        <v>298</v>
      </c>
      <c r="D59" s="94" t="s">
        <v>298</v>
      </c>
      <c r="E59" s="94" t="s">
        <v>298</v>
      </c>
      <c r="F59" s="95" t="s">
        <v>215</v>
      </c>
    </row>
    <row r="60" spans="1:14" x14ac:dyDescent="0.3">
      <c r="A60" s="93" t="s">
        <v>216</v>
      </c>
      <c r="B60" s="94" t="s">
        <v>259</v>
      </c>
      <c r="C60" s="94" t="s">
        <v>299</v>
      </c>
      <c r="D60" s="94" t="s">
        <v>299</v>
      </c>
      <c r="E60" s="94" t="s">
        <v>299</v>
      </c>
      <c r="F60" s="95" t="s">
        <v>217</v>
      </c>
    </row>
    <row r="61" spans="1:14" x14ac:dyDescent="0.3">
      <c r="A61" s="93"/>
      <c r="B61" s="94"/>
      <c r="C61" s="94"/>
      <c r="D61" s="94"/>
      <c r="E61" s="94"/>
    </row>
    <row r="62" spans="1:14" x14ac:dyDescent="0.3">
      <c r="A62" s="93" t="s">
        <v>139</v>
      </c>
      <c r="B62" s="94" t="s">
        <v>259</v>
      </c>
      <c r="C62" s="94" t="s">
        <v>317</v>
      </c>
      <c r="D62" s="94" t="s">
        <v>317</v>
      </c>
      <c r="E62" s="94" t="s">
        <v>317</v>
      </c>
      <c r="F62" s="95" t="s">
        <v>38</v>
      </c>
    </row>
    <row r="63" spans="1:14" s="100" customFormat="1" ht="14.5" hidden="1" x14ac:dyDescent="0.35">
      <c r="A63" s="99" t="s">
        <v>140</v>
      </c>
      <c r="B63" s="99" t="s">
        <v>259</v>
      </c>
      <c r="C63" s="99" t="s">
        <v>319</v>
      </c>
      <c r="D63" s="99" t="s">
        <v>319</v>
      </c>
      <c r="E63" s="99" t="s">
        <v>319</v>
      </c>
      <c r="F63" s="100" t="s">
        <v>86</v>
      </c>
      <c r="M63" s="100" t="s">
        <v>343</v>
      </c>
      <c r="N63" s="73" t="s">
        <v>344</v>
      </c>
    </row>
    <row r="64" spans="1:14" s="100" customFormat="1" ht="14.5" hidden="1" x14ac:dyDescent="0.35">
      <c r="A64" s="99" t="s">
        <v>353</v>
      </c>
      <c r="B64" s="99" t="s">
        <v>259</v>
      </c>
      <c r="C64" s="99" t="s">
        <v>320</v>
      </c>
      <c r="D64" s="99"/>
      <c r="E64" s="99"/>
      <c r="F64" s="100" t="s">
        <v>39</v>
      </c>
      <c r="M64" s="100" t="s">
        <v>343</v>
      </c>
      <c r="N64" s="73" t="s">
        <v>344</v>
      </c>
    </row>
    <row r="65" spans="1:14" s="100" customFormat="1" ht="14.5" hidden="1" x14ac:dyDescent="0.35">
      <c r="A65" s="99" t="s">
        <v>143</v>
      </c>
      <c r="B65" s="99" t="s">
        <v>259</v>
      </c>
      <c r="C65" s="99" t="s">
        <v>321</v>
      </c>
      <c r="D65" s="99" t="s">
        <v>320</v>
      </c>
      <c r="E65" s="99" t="s">
        <v>320</v>
      </c>
      <c r="F65" s="100" t="s">
        <v>219</v>
      </c>
      <c r="M65" s="100" t="s">
        <v>343</v>
      </c>
      <c r="N65" s="73" t="s">
        <v>344</v>
      </c>
    </row>
    <row r="66" spans="1:14" x14ac:dyDescent="0.3">
      <c r="A66" s="93" t="s">
        <v>145</v>
      </c>
      <c r="B66" s="94" t="s">
        <v>259</v>
      </c>
      <c r="C66" s="94" t="s">
        <v>322</v>
      </c>
      <c r="D66" s="94" t="s">
        <v>321</v>
      </c>
      <c r="E66" s="94" t="s">
        <v>319</v>
      </c>
      <c r="F66" s="95" t="s">
        <v>34</v>
      </c>
    </row>
    <row r="67" spans="1:14" s="96" customFormat="1" x14ac:dyDescent="0.3">
      <c r="A67" s="94" t="s">
        <v>147</v>
      </c>
      <c r="B67" s="94" t="s">
        <v>259</v>
      </c>
      <c r="C67" s="109" t="s">
        <v>323</v>
      </c>
      <c r="D67" s="94" t="s">
        <v>322</v>
      </c>
      <c r="E67" s="94" t="s">
        <v>320</v>
      </c>
      <c r="F67" s="96" t="s">
        <v>95</v>
      </c>
    </row>
    <row r="68" spans="1:14" s="96" customFormat="1" x14ac:dyDescent="0.3">
      <c r="A68" s="94" t="s">
        <v>149</v>
      </c>
      <c r="B68" s="94" t="s">
        <v>259</v>
      </c>
      <c r="C68" s="109" t="s">
        <v>324</v>
      </c>
      <c r="D68" s="94" t="s">
        <v>323</v>
      </c>
      <c r="E68" s="94" t="s">
        <v>321</v>
      </c>
      <c r="F68" s="96" t="s">
        <v>96</v>
      </c>
    </row>
    <row r="69" spans="1:14" x14ac:dyDescent="0.3">
      <c r="A69" s="93" t="s">
        <v>151</v>
      </c>
      <c r="B69" s="94" t="s">
        <v>259</v>
      </c>
      <c r="C69" s="94" t="s">
        <v>356</v>
      </c>
      <c r="D69" s="94" t="s">
        <v>324</v>
      </c>
      <c r="E69" s="94" t="s">
        <v>322</v>
      </c>
      <c r="F69" s="95" t="s">
        <v>75</v>
      </c>
    </row>
    <row r="70" spans="1:14" x14ac:dyDescent="0.3">
      <c r="A70" s="93" t="s">
        <v>221</v>
      </c>
      <c r="B70" s="94" t="s">
        <v>259</v>
      </c>
      <c r="C70" s="94" t="s">
        <v>300</v>
      </c>
      <c r="D70" s="94" t="s">
        <v>341</v>
      </c>
      <c r="E70" s="94" t="s">
        <v>367</v>
      </c>
      <c r="F70" s="95" t="s">
        <v>222</v>
      </c>
    </row>
    <row r="71" spans="1:14" x14ac:dyDescent="0.3">
      <c r="A71" s="93" t="s">
        <v>223</v>
      </c>
      <c r="B71" s="94" t="s">
        <v>259</v>
      </c>
      <c r="C71" s="94" t="s">
        <v>301</v>
      </c>
      <c r="D71" s="94" t="s">
        <v>342</v>
      </c>
      <c r="E71" s="94" t="s">
        <v>368</v>
      </c>
      <c r="F71" s="95" t="s">
        <v>224</v>
      </c>
    </row>
    <row r="72" spans="1:14" x14ac:dyDescent="0.3">
      <c r="A72" s="93" t="s">
        <v>225</v>
      </c>
      <c r="B72" s="94" t="s">
        <v>259</v>
      </c>
      <c r="C72" s="94" t="s">
        <v>302</v>
      </c>
      <c r="D72" s="94" t="s">
        <v>300</v>
      </c>
      <c r="E72" s="94" t="s">
        <v>369</v>
      </c>
      <c r="F72" s="95" t="s">
        <v>226</v>
      </c>
    </row>
    <row r="73" spans="1:14" x14ac:dyDescent="0.3">
      <c r="A73" s="93" t="s">
        <v>227</v>
      </c>
      <c r="B73" s="94" t="s">
        <v>259</v>
      </c>
      <c r="C73" s="94" t="s">
        <v>303</v>
      </c>
      <c r="D73" s="94" t="s">
        <v>301</v>
      </c>
      <c r="E73" s="94" t="s">
        <v>370</v>
      </c>
      <c r="F73" s="95" t="s">
        <v>228</v>
      </c>
    </row>
    <row r="74" spans="1:14" x14ac:dyDescent="0.3">
      <c r="A74" s="93" t="s">
        <v>155</v>
      </c>
      <c r="B74" s="94" t="s">
        <v>259</v>
      </c>
      <c r="C74" s="94" t="s">
        <v>304</v>
      </c>
      <c r="D74" s="94" t="s">
        <v>302</v>
      </c>
      <c r="E74" s="94" t="s">
        <v>341</v>
      </c>
      <c r="F74" s="95" t="s">
        <v>229</v>
      </c>
    </row>
    <row r="75" spans="1:14" x14ac:dyDescent="0.3">
      <c r="A75" s="93" t="s">
        <v>158</v>
      </c>
      <c r="B75" s="94" t="s">
        <v>259</v>
      </c>
      <c r="C75" s="94" t="s">
        <v>305</v>
      </c>
      <c r="D75" s="94" t="s">
        <v>303</v>
      </c>
      <c r="E75" s="94" t="s">
        <v>342</v>
      </c>
      <c r="F75" s="95" t="s">
        <v>230</v>
      </c>
    </row>
    <row r="76" spans="1:14" x14ac:dyDescent="0.3">
      <c r="A76" s="93" t="s">
        <v>161</v>
      </c>
      <c r="B76" s="94" t="s">
        <v>259</v>
      </c>
      <c r="C76" s="94" t="s">
        <v>306</v>
      </c>
      <c r="D76" s="94" t="s">
        <v>304</v>
      </c>
      <c r="E76" s="94" t="s">
        <v>300</v>
      </c>
      <c r="F76" s="95" t="s">
        <v>371</v>
      </c>
    </row>
    <row r="77" spans="1:14" x14ac:dyDescent="0.3">
      <c r="A77" s="93" t="s">
        <v>164</v>
      </c>
      <c r="B77" s="94" t="s">
        <v>259</v>
      </c>
      <c r="C77" s="94" t="s">
        <v>307</v>
      </c>
      <c r="D77" s="94" t="s">
        <v>305</v>
      </c>
      <c r="E77" s="94" t="s">
        <v>301</v>
      </c>
      <c r="F77" s="95" t="s">
        <v>372</v>
      </c>
    </row>
    <row r="78" spans="1:14" x14ac:dyDescent="0.3">
      <c r="A78" s="93" t="s">
        <v>167</v>
      </c>
      <c r="B78" s="94" t="s">
        <v>259</v>
      </c>
      <c r="C78" s="94" t="s">
        <v>308</v>
      </c>
      <c r="D78" s="94" t="s">
        <v>306</v>
      </c>
      <c r="E78" s="94" t="s">
        <v>302</v>
      </c>
      <c r="F78" s="95" t="s">
        <v>231</v>
      </c>
    </row>
    <row r="79" spans="1:14" x14ac:dyDescent="0.3">
      <c r="A79" s="93" t="s">
        <v>170</v>
      </c>
      <c r="B79" s="94" t="s">
        <v>259</v>
      </c>
      <c r="C79" s="94" t="s">
        <v>309</v>
      </c>
      <c r="D79" s="94" t="s">
        <v>307</v>
      </c>
      <c r="E79" s="94" t="s">
        <v>303</v>
      </c>
      <c r="F79" s="95" t="s">
        <v>232</v>
      </c>
    </row>
    <row r="80" spans="1:14" x14ac:dyDescent="0.3">
      <c r="A80" s="93" t="s">
        <v>179</v>
      </c>
      <c r="B80" s="94" t="s">
        <v>259</v>
      </c>
      <c r="C80" s="94" t="s">
        <v>310</v>
      </c>
      <c r="D80" s="94" t="s">
        <v>308</v>
      </c>
      <c r="E80" s="94" t="s">
        <v>304</v>
      </c>
      <c r="F80" s="95" t="s">
        <v>256</v>
      </c>
    </row>
    <row r="81" spans="1:6" x14ac:dyDescent="0.3">
      <c r="A81" s="93" t="s">
        <v>182</v>
      </c>
      <c r="B81" s="94" t="s">
        <v>259</v>
      </c>
      <c r="C81" s="94" t="s">
        <v>311</v>
      </c>
      <c r="D81" s="94" t="s">
        <v>309</v>
      </c>
      <c r="E81" s="94" t="s">
        <v>305</v>
      </c>
      <c r="F81" s="95" t="s">
        <v>257</v>
      </c>
    </row>
    <row r="82" spans="1:6" x14ac:dyDescent="0.3">
      <c r="A82" s="93" t="s">
        <v>173</v>
      </c>
      <c r="B82" s="94" t="s">
        <v>259</v>
      </c>
      <c r="C82" s="94" t="s">
        <v>312</v>
      </c>
      <c r="D82" s="94" t="s">
        <v>310</v>
      </c>
      <c r="E82" s="94" t="s">
        <v>306</v>
      </c>
      <c r="F82" s="95" t="s">
        <v>233</v>
      </c>
    </row>
    <row r="83" spans="1:6" x14ac:dyDescent="0.3">
      <c r="A83" s="93" t="s">
        <v>176</v>
      </c>
      <c r="B83" s="94" t="s">
        <v>259</v>
      </c>
      <c r="C83" s="94" t="s">
        <v>313</v>
      </c>
      <c r="D83" s="94" t="s">
        <v>311</v>
      </c>
      <c r="E83" s="94" t="s">
        <v>307</v>
      </c>
      <c r="F83" s="95" t="s">
        <v>234</v>
      </c>
    </row>
    <row r="84" spans="1:6" x14ac:dyDescent="0.3">
      <c r="A84" s="93" t="s">
        <v>185</v>
      </c>
      <c r="B84" s="94" t="s">
        <v>259</v>
      </c>
      <c r="C84" s="94" t="s">
        <v>357</v>
      </c>
      <c r="D84" s="94" t="s">
        <v>312</v>
      </c>
      <c r="E84" s="94" t="s">
        <v>308</v>
      </c>
      <c r="F84" s="95" t="s">
        <v>235</v>
      </c>
    </row>
    <row r="85" spans="1:6" x14ac:dyDescent="0.3">
      <c r="A85" s="93" t="s">
        <v>188</v>
      </c>
      <c r="B85" s="94" t="s">
        <v>259</v>
      </c>
      <c r="C85" s="94" t="s">
        <v>358</v>
      </c>
      <c r="D85" s="94" t="s">
        <v>313</v>
      </c>
      <c r="E85" s="94" t="s">
        <v>309</v>
      </c>
      <c r="F85" s="95" t="s">
        <v>236</v>
      </c>
    </row>
    <row r="86" spans="1:6" x14ac:dyDescent="0.3">
      <c r="A86" s="93"/>
      <c r="B86" s="94"/>
      <c r="C86" s="94"/>
      <c r="D86" s="94"/>
      <c r="E86" s="94"/>
    </row>
    <row r="87" spans="1:6" x14ac:dyDescent="0.3">
      <c r="A87" s="93" t="s">
        <v>218</v>
      </c>
      <c r="B87" s="94" t="s">
        <v>259</v>
      </c>
      <c r="C87" s="94" t="s">
        <v>325</v>
      </c>
      <c r="D87" s="94" t="s">
        <v>325</v>
      </c>
      <c r="E87" s="94" t="s">
        <v>325</v>
      </c>
      <c r="F87" s="95" t="s">
        <v>237</v>
      </c>
    </row>
    <row r="88" spans="1:6" x14ac:dyDescent="0.3">
      <c r="A88" s="93"/>
      <c r="B88" s="94" t="s">
        <v>259</v>
      </c>
      <c r="C88" s="94" t="s">
        <v>326</v>
      </c>
      <c r="D88" s="94" t="s">
        <v>326</v>
      </c>
      <c r="E88" s="94" t="s">
        <v>326</v>
      </c>
      <c r="F88" s="95" t="s">
        <v>252</v>
      </c>
    </row>
    <row r="89" spans="1:6" x14ac:dyDescent="0.3">
      <c r="A89" s="93" t="s">
        <v>238</v>
      </c>
      <c r="B89" s="94" t="s">
        <v>259</v>
      </c>
      <c r="C89" s="94" t="s">
        <v>314</v>
      </c>
      <c r="D89" s="94" t="s">
        <v>314</v>
      </c>
      <c r="E89" s="94" t="s">
        <v>314</v>
      </c>
      <c r="F89" s="95" t="s">
        <v>239</v>
      </c>
    </row>
    <row r="90" spans="1:6" x14ac:dyDescent="0.3">
      <c r="A90" s="93" t="s">
        <v>240</v>
      </c>
      <c r="B90" s="94" t="s">
        <v>259</v>
      </c>
      <c r="C90" s="94" t="s">
        <v>315</v>
      </c>
      <c r="D90" s="94" t="s">
        <v>315</v>
      </c>
      <c r="E90" s="94" t="s">
        <v>315</v>
      </c>
      <c r="F90" s="95" t="s">
        <v>241</v>
      </c>
    </row>
    <row r="91" spans="1:6" x14ac:dyDescent="0.3">
      <c r="A91" s="93" t="s">
        <v>220</v>
      </c>
      <c r="B91" s="94" t="s">
        <v>259</v>
      </c>
      <c r="C91" s="94" t="s">
        <v>327</v>
      </c>
      <c r="D91" s="94" t="s">
        <v>327</v>
      </c>
      <c r="E91" s="94" t="s">
        <v>327</v>
      </c>
      <c r="F91" s="95" t="s">
        <v>242</v>
      </c>
    </row>
    <row r="94" spans="1:6" s="101" customFormat="1" x14ac:dyDescent="0.3">
      <c r="A94" s="101" t="s">
        <v>243</v>
      </c>
      <c r="B94" s="102"/>
      <c r="C94" s="102"/>
      <c r="D94" s="102"/>
      <c r="E94" s="102"/>
    </row>
    <row r="95" spans="1:6" x14ac:dyDescent="0.3">
      <c r="A95" s="95" t="s">
        <v>244</v>
      </c>
      <c r="B95" s="96" t="s">
        <v>259</v>
      </c>
      <c r="C95" s="96" t="s">
        <v>328</v>
      </c>
      <c r="D95" s="96" t="s">
        <v>328</v>
      </c>
      <c r="E95" s="96" t="s">
        <v>328</v>
      </c>
      <c r="F95" s="95" t="s">
        <v>245</v>
      </c>
    </row>
    <row r="96" spans="1:6" x14ac:dyDescent="0.3">
      <c r="A96" s="95" t="s">
        <v>246</v>
      </c>
      <c r="B96" s="96" t="s">
        <v>259</v>
      </c>
      <c r="C96" s="96" t="s">
        <v>329</v>
      </c>
      <c r="D96" s="96" t="s">
        <v>329</v>
      </c>
      <c r="E96" s="96" t="s">
        <v>329</v>
      </c>
      <c r="F96" s="95" t="s">
        <v>247</v>
      </c>
    </row>
    <row r="97" spans="1:6" x14ac:dyDescent="0.3">
      <c r="A97" s="95" t="s">
        <v>248</v>
      </c>
      <c r="B97" s="96" t="s">
        <v>259</v>
      </c>
      <c r="C97" s="96" t="s">
        <v>335</v>
      </c>
      <c r="D97" s="96" t="s">
        <v>359</v>
      </c>
      <c r="E97" s="96" t="s">
        <v>359</v>
      </c>
      <c r="F97" s="95" t="s">
        <v>345</v>
      </c>
    </row>
    <row r="98" spans="1:6" x14ac:dyDescent="0.3">
      <c r="B98" s="96" t="s">
        <v>259</v>
      </c>
      <c r="C98" s="96" t="s">
        <v>336</v>
      </c>
      <c r="D98" s="96" t="s">
        <v>360</v>
      </c>
      <c r="E98" s="96" t="s">
        <v>360</v>
      </c>
      <c r="F98" s="95" t="s">
        <v>349</v>
      </c>
    </row>
    <row r="99" spans="1:6" x14ac:dyDescent="0.3">
      <c r="A99" s="95" t="s">
        <v>249</v>
      </c>
      <c r="B99" s="96" t="s">
        <v>259</v>
      </c>
      <c r="C99" s="96" t="s">
        <v>333</v>
      </c>
      <c r="D99" s="96" t="s">
        <v>361</v>
      </c>
      <c r="E99" s="96" t="s">
        <v>361</v>
      </c>
      <c r="F99" s="95" t="s">
        <v>346</v>
      </c>
    </row>
    <row r="100" spans="1:6" x14ac:dyDescent="0.3">
      <c r="B100" s="96" t="s">
        <v>259</v>
      </c>
      <c r="C100" s="96" t="s">
        <v>334</v>
      </c>
      <c r="D100" s="96" t="s">
        <v>362</v>
      </c>
      <c r="E100" s="96" t="s">
        <v>362</v>
      </c>
      <c r="F100" s="95" t="s">
        <v>350</v>
      </c>
    </row>
    <row r="101" spans="1:6" x14ac:dyDescent="0.3">
      <c r="A101" s="95" t="s">
        <v>250</v>
      </c>
      <c r="B101" s="96" t="s">
        <v>259</v>
      </c>
      <c r="C101" s="96" t="s">
        <v>337</v>
      </c>
      <c r="D101" s="96" t="s">
        <v>363</v>
      </c>
      <c r="E101" s="96" t="s">
        <v>363</v>
      </c>
      <c r="F101" s="95" t="s">
        <v>347</v>
      </c>
    </row>
    <row r="102" spans="1:6" x14ac:dyDescent="0.3">
      <c r="B102" s="96" t="s">
        <v>259</v>
      </c>
      <c r="C102" s="96" t="s">
        <v>338</v>
      </c>
      <c r="D102" s="96" t="s">
        <v>364</v>
      </c>
      <c r="E102" s="96" t="s">
        <v>364</v>
      </c>
      <c r="F102" s="95" t="s">
        <v>351</v>
      </c>
    </row>
    <row r="103" spans="1:6" ht="15.75" customHeight="1" x14ac:dyDescent="0.3">
      <c r="A103" s="95" t="s">
        <v>251</v>
      </c>
      <c r="B103" s="96" t="s">
        <v>259</v>
      </c>
      <c r="C103" s="96" t="s">
        <v>339</v>
      </c>
      <c r="D103" s="96" t="s">
        <v>365</v>
      </c>
      <c r="E103" s="96" t="s">
        <v>365</v>
      </c>
      <c r="F103" s="95" t="s">
        <v>348</v>
      </c>
    </row>
    <row r="104" spans="1:6" x14ac:dyDescent="0.3">
      <c r="B104" s="96" t="s">
        <v>259</v>
      </c>
      <c r="C104" s="96" t="s">
        <v>340</v>
      </c>
      <c r="D104" s="96" t="s">
        <v>366</v>
      </c>
      <c r="E104" s="96" t="s">
        <v>366</v>
      </c>
      <c r="F104" s="95" t="s">
        <v>352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>6</Rank>
    <Description0 xmlns="9dbcbb5a-2d39-43bd-b6c7-d27f844c7fb7">Complex Burden Table Template - for Studies</Description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http://schemas.microsoft.com/office/2006/metadata/properties"/>
    <ds:schemaRef ds:uri="http://purl.org/dc/terms/"/>
    <ds:schemaRef ds:uri="9dbcbb5a-2d39-43bd-b6c7-d27f844c7fb7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E27527-1B61-4C6E-9B61-FAD668AE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NSWP-III Burden Table OMB </vt:lpstr>
      <vt:lpstr>Appendices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Allison Magness</cp:lastModifiedBy>
  <cp:lastPrinted>2018-01-18T20:15:21Z</cp:lastPrinted>
  <dcterms:created xsi:type="dcterms:W3CDTF">2013-01-08T21:49:18Z</dcterms:created>
  <dcterms:modified xsi:type="dcterms:W3CDTF">2018-08-01T18:42:42Z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300</vt:r8>
  </property>
</Properties>
</file>