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830"/>
  <workbookPr defaultThemeVersion="166925"/>
  <mc:AlternateContent xmlns:mc="http://schemas.openxmlformats.org/markup-compatibility/2006">
    <mc:Choice Requires="x15">
      <x15ac:absPath xmlns:x15ac="http://schemas.microsoft.com/office/spreadsheetml/2010/11/ac" url="Q:\OECA\ICR Renewals\FY2018 (WA 2-04)\Expires 2017-12\1564.10\"/>
    </mc:Choice>
  </mc:AlternateContent>
  <bookViews>
    <workbookView xWindow="0" yWindow="0" windowWidth="20490" windowHeight="7230"/>
  </bookViews>
  <sheets>
    <sheet name="Table 1" sheetId="1" r:id="rId1"/>
    <sheet name="Table 2" sheetId="2" r:id="rId2"/>
    <sheet name="Capital and O&amp;M" sheetId="4" r:id="rId3"/>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2" l="1"/>
  <c r="I20" i="1"/>
  <c r="I8" i="1"/>
  <c r="F22" i="1"/>
  <c r="I34" i="1" l="1"/>
  <c r="I33" i="1"/>
  <c r="F6" i="2"/>
  <c r="G6" i="2" s="1"/>
  <c r="F7" i="2"/>
  <c r="G7" i="2" s="1"/>
  <c r="F8" i="2"/>
  <c r="G8" i="2" s="1"/>
  <c r="F9" i="2"/>
  <c r="G9" i="2" s="1"/>
  <c r="F10" i="2"/>
  <c r="G10" i="2" s="1"/>
  <c r="I5" i="2"/>
  <c r="H5" i="2"/>
  <c r="G5" i="2"/>
  <c r="F5" i="2"/>
  <c r="D6" i="2"/>
  <c r="D7" i="2"/>
  <c r="D8" i="2"/>
  <c r="D9" i="2"/>
  <c r="D10" i="2"/>
  <c r="D5" i="2"/>
  <c r="D9" i="4"/>
  <c r="G8" i="4"/>
  <c r="G9" i="4" s="1"/>
  <c r="G6" i="4"/>
  <c r="G5" i="4"/>
  <c r="D8" i="4"/>
  <c r="D6" i="4"/>
  <c r="D5" i="4"/>
  <c r="F28" i="1"/>
  <c r="F10" i="1"/>
  <c r="G10" i="1" s="1"/>
  <c r="F11" i="1"/>
  <c r="G11" i="1" s="1"/>
  <c r="F15" i="1"/>
  <c r="G15" i="1" s="1"/>
  <c r="F16" i="1"/>
  <c r="G16" i="1" s="1"/>
  <c r="F17" i="1"/>
  <c r="G17" i="1" s="1"/>
  <c r="F18" i="1"/>
  <c r="G18" i="1" s="1"/>
  <c r="F19" i="1"/>
  <c r="G19" i="1" s="1"/>
  <c r="F20" i="1"/>
  <c r="G20" i="1" s="1"/>
  <c r="H8" i="1"/>
  <c r="G8" i="1"/>
  <c r="F8" i="1"/>
  <c r="D8" i="1"/>
  <c r="I7" i="2" l="1"/>
  <c r="H10" i="2"/>
  <c r="F11" i="2" s="1"/>
  <c r="H9" i="2"/>
  <c r="I9" i="2" s="1"/>
  <c r="H8" i="2"/>
  <c r="I8" i="2" s="1"/>
  <c r="H7" i="2"/>
  <c r="H6" i="2"/>
  <c r="I6" i="2" s="1"/>
  <c r="G28" i="1"/>
  <c r="H28" i="1"/>
  <c r="I18" i="1"/>
  <c r="H20" i="1"/>
  <c r="I22" i="1" s="1"/>
  <c r="H19" i="1"/>
  <c r="I19" i="1" s="1"/>
  <c r="H18" i="1"/>
  <c r="H17" i="1"/>
  <c r="H16" i="1"/>
  <c r="I16" i="1" s="1"/>
  <c r="H15" i="1"/>
  <c r="I15" i="1" s="1"/>
  <c r="H11" i="1"/>
  <c r="I11" i="1" s="1"/>
  <c r="H10" i="1"/>
  <c r="I10" i="1" s="1"/>
  <c r="I17" i="1"/>
  <c r="I10" i="2" l="1"/>
  <c r="I11" i="2" s="1"/>
  <c r="I28" i="1"/>
  <c r="I31" i="1" s="1"/>
  <c r="I32" i="1" s="1"/>
  <c r="F31" i="1"/>
  <c r="F32" i="1" s="1"/>
  <c r="L33" i="1" s="1"/>
</calcChain>
</file>

<file path=xl/sharedStrings.xml><?xml version="1.0" encoding="utf-8"?>
<sst xmlns="http://schemas.openxmlformats.org/spreadsheetml/2006/main" count="125" uniqueCount="100">
  <si>
    <t>Table 1: Annual Respondent Burden and Cost – NSPS for Small Industrial-Commercial-Institutional Steam Generating Units (40 CFR Part 60, Subpart Dc) (Renewal)</t>
  </si>
  <si>
    <t>(A)</t>
  </si>
  <si>
    <t>(B)</t>
  </si>
  <si>
    <t>(C)</t>
  </si>
  <si>
    <t>(D)</t>
  </si>
  <si>
    <t>(E)</t>
  </si>
  <si>
    <t>(F)</t>
  </si>
  <si>
    <t>(G)</t>
  </si>
  <si>
    <t xml:space="preserve"> (H) </t>
  </si>
  <si>
    <t>Burden item</t>
  </si>
  <si>
    <t>Person hours per occurrence</t>
  </si>
  <si>
    <t>No. of occurrences per respondent per year</t>
  </si>
  <si>
    <r>
      <t xml:space="preserve">Respondents per year </t>
    </r>
    <r>
      <rPr>
        <b/>
        <vertAlign val="superscript"/>
        <sz val="10"/>
        <color theme="1"/>
        <rFont val="Times New Roman"/>
        <family val="1"/>
      </rPr>
      <t>a</t>
    </r>
  </si>
  <si>
    <r>
      <t>Cost ($)</t>
    </r>
    <r>
      <rPr>
        <b/>
        <vertAlign val="superscript"/>
        <sz val="10"/>
        <color theme="1"/>
        <rFont val="Times New Roman"/>
        <family val="1"/>
      </rPr>
      <t>b</t>
    </r>
  </si>
  <si>
    <t>1.  Applications</t>
  </si>
  <si>
    <t>N/A</t>
  </si>
  <si>
    <t>2.  Survey and Studies</t>
  </si>
  <si>
    <t>3.  Reporting requirements</t>
  </si>
  <si>
    <t>B.  Required activities</t>
  </si>
  <si>
    <t>C.  Create information</t>
  </si>
  <si>
    <t>See 3B</t>
  </si>
  <si>
    <t>D.  Gather existing information</t>
  </si>
  <si>
    <t>See 3E</t>
  </si>
  <si>
    <t>E.  Write report</t>
  </si>
  <si>
    <r>
      <t xml:space="preserve">Notification of modification </t>
    </r>
    <r>
      <rPr>
        <vertAlign val="superscript"/>
        <sz val="10"/>
        <color theme="1"/>
        <rFont val="Times New Roman"/>
        <family val="1"/>
      </rPr>
      <t>e, g</t>
    </r>
  </si>
  <si>
    <r>
      <t xml:space="preserve">Notification of actual startup </t>
    </r>
    <r>
      <rPr>
        <vertAlign val="superscript"/>
        <sz val="10"/>
        <color theme="1"/>
        <rFont val="Times New Roman"/>
        <family val="1"/>
      </rPr>
      <t>f, g</t>
    </r>
  </si>
  <si>
    <r>
      <t xml:space="preserve">Notification of demo of CEMS </t>
    </r>
    <r>
      <rPr>
        <vertAlign val="superscript"/>
        <sz val="10"/>
        <color theme="1"/>
        <rFont val="Times New Roman"/>
        <family val="1"/>
      </rPr>
      <t>g</t>
    </r>
  </si>
  <si>
    <t>Semiannual reports</t>
  </si>
  <si>
    <t>Results of performance test</t>
  </si>
  <si>
    <t>Subtotal for Reporting Requirements</t>
  </si>
  <si>
    <t>4.  Recordkeeping requirements</t>
  </si>
  <si>
    <t>See 3A</t>
  </si>
  <si>
    <t>B.  Plan activities</t>
  </si>
  <si>
    <t>C.  Implement activities</t>
  </si>
  <si>
    <t>D.  Develop record system</t>
  </si>
  <si>
    <t>E.  Check computer system, calibrate continuous monitors</t>
  </si>
  <si>
    <t>F.  Train personnel</t>
  </si>
  <si>
    <t>G.  Audits</t>
  </si>
  <si>
    <t>Subtotal for Recordkeeping Requirements</t>
  </si>
  <si>
    <t>Clerical person-hours per year
(G=Ex0.1)</t>
  </si>
  <si>
    <t>Person hours per respondent per year
(C=AxB)</t>
  </si>
  <si>
    <t>Technical person- hours per year 
(E=CxD)</t>
  </si>
  <si>
    <t>Management person-hours per year 
(F=Ex0.05)</t>
  </si>
  <si>
    <r>
      <t xml:space="preserve">Performance test (2.9 - 8.7 MW) </t>
    </r>
    <r>
      <rPr>
        <vertAlign val="superscript"/>
        <sz val="10"/>
        <color theme="1"/>
        <rFont val="Times New Roman"/>
        <family val="1"/>
      </rPr>
      <t>h</t>
    </r>
  </si>
  <si>
    <r>
      <t xml:space="preserve">Performance test (8.7 – 29 MW) </t>
    </r>
    <r>
      <rPr>
        <vertAlign val="superscript"/>
        <sz val="10"/>
        <color theme="1"/>
        <rFont val="Times New Roman"/>
        <family val="1"/>
      </rPr>
      <t>h</t>
    </r>
  </si>
  <si>
    <r>
      <t xml:space="preserve">Notification of initial performance test </t>
    </r>
    <r>
      <rPr>
        <vertAlign val="superscript"/>
        <sz val="10"/>
        <color theme="1"/>
        <rFont val="Times New Roman"/>
        <family val="1"/>
      </rPr>
      <t>g</t>
    </r>
  </si>
  <si>
    <r>
      <t xml:space="preserve">Notification of  construction/reconstruction </t>
    </r>
    <r>
      <rPr>
        <vertAlign val="superscript"/>
        <sz val="10"/>
        <color theme="1"/>
        <rFont val="Times New Roman"/>
        <family val="1"/>
      </rPr>
      <t>d, g</t>
    </r>
  </si>
  <si>
    <t>Assumptions:</t>
  </si>
  <si>
    <r>
      <t>d</t>
    </r>
    <r>
      <rPr>
        <sz val="10"/>
        <color theme="1"/>
        <rFont val="Times New Roman"/>
        <family val="1"/>
      </rPr>
      <t xml:space="preserve">  We have assumed that four new respondents will each take two hours to write notification of construction/reconstruction report.</t>
    </r>
  </si>
  <si>
    <r>
      <t>e</t>
    </r>
    <r>
      <rPr>
        <sz val="10"/>
        <color theme="1"/>
        <rFont val="Times New Roman"/>
        <family val="1"/>
      </rPr>
      <t xml:space="preserve">  We have assumed that seven new respondents will each take two hours to write notification of modification report.</t>
    </r>
  </si>
  <si>
    <r>
      <t>g</t>
    </r>
    <r>
      <rPr>
        <sz val="10"/>
        <color theme="1"/>
        <rFont val="Times New Roman"/>
        <family val="1"/>
      </rPr>
      <t xml:space="preserve">  We have assumed that occurrences/respondents for new facilities are based on an average of 1.7 affected facilities per respondent, with an estimated 10 percent retest.</t>
    </r>
  </si>
  <si>
    <r>
      <t>h</t>
    </r>
    <r>
      <rPr>
        <sz val="10"/>
        <color theme="1"/>
        <rFont val="Times New Roman"/>
        <family val="1"/>
      </rPr>
      <t xml:space="preserve">  This estimate includes performance test (opacity) for coal, wood, and oil-fired steam generating units and test of continuous emissions monitor.</t>
    </r>
  </si>
  <si>
    <r>
      <t>a</t>
    </r>
    <r>
      <rPr>
        <sz val="10"/>
        <color theme="1"/>
        <rFont val="Times New Roman"/>
        <family val="1"/>
      </rPr>
      <t xml:space="preserve">  We have assumed that the average number of respondents that will be subject to the rule will be 301.  There will be 11 additional new sources per year that will become subject to the rule over the three-year period of this ICR.</t>
    </r>
  </si>
  <si>
    <r>
      <t>b</t>
    </r>
    <r>
      <rPr>
        <sz val="10"/>
        <color theme="1"/>
        <rFont val="Times New Roman"/>
        <family val="1"/>
      </rPr>
      <t xml:space="preserve">  This ICR uses the following labor rates: $144.33 per hour for Executive, Administrative, and Managerial labor; $108.28 per hour for Technical labor, and $53.34 per hour for Clerical labor.  These rates are from the United States Department of Labor, Bureau of Labor Statistics, September 2016, “Table 2. Civilian Workers, by Occupational and Industry group.”  The rates are from column 1, “Total Compensation.”  The rates have been increased by 110 percent to account for the benefit packages available to those employed by private industry.</t>
    </r>
  </si>
  <si>
    <r>
      <t>c</t>
    </r>
    <r>
      <rPr>
        <sz val="10"/>
        <color theme="1"/>
        <rFont val="Times New Roman"/>
        <family val="1"/>
      </rPr>
      <t xml:space="preserve">  We have assumed that existing respondents will have to familiarize with the regulatory requirements each year.</t>
    </r>
  </si>
  <si>
    <r>
      <t xml:space="preserve">A.  Familiarize with the regulatory requirements </t>
    </r>
    <r>
      <rPr>
        <vertAlign val="superscript"/>
        <sz val="10"/>
        <color theme="1"/>
        <rFont val="Times New Roman"/>
        <family val="1"/>
      </rPr>
      <t>c</t>
    </r>
  </si>
  <si>
    <t>A.  Familiarize with the regulatory requirements</t>
  </si>
  <si>
    <r>
      <t>f</t>
    </r>
    <r>
      <rPr>
        <sz val="10"/>
        <color theme="1"/>
        <rFont val="Times New Roman"/>
        <family val="1"/>
      </rPr>
      <t xml:space="preserve">  We have assumed that all new respondents will each take 16 hours to write the semiannual report two times per year.</t>
    </r>
  </si>
  <si>
    <t>Capital/Startup vs. Operation and Maintenance (O&amp;M) Costs</t>
  </si>
  <si>
    <t>Continuous Monitoring Device</t>
  </si>
  <si>
    <t>Number of New Respondents</t>
  </si>
  <si>
    <t>Annual O&amp;M Costs for One Respondent</t>
  </si>
  <si>
    <t>Number of Respondents with O&amp;M</t>
  </si>
  <si>
    <t>Total O&amp;M,</t>
  </si>
  <si>
    <t>CEMS, control device inlet and outlet</t>
  </si>
  <si>
    <r>
      <t>CEMS, control device outlet only</t>
    </r>
    <r>
      <rPr>
        <vertAlign val="superscript"/>
        <sz val="10"/>
        <color theme="1"/>
        <rFont val="Times New Roman"/>
        <family val="1"/>
      </rPr>
      <t xml:space="preserve"> a</t>
    </r>
  </si>
  <si>
    <t>PM Monitoring</t>
  </si>
  <si>
    <t>TOTAL (rounded)</t>
  </si>
  <si>
    <t>Capital/Startup Cost for One Respondent</t>
  </si>
  <si>
    <t>Total Capital/ Startup Cost
(BxC)</t>
  </si>
  <si>
    <r>
      <t>SO</t>
    </r>
    <r>
      <rPr>
        <b/>
        <vertAlign val="subscript"/>
        <sz val="12"/>
        <color theme="1"/>
        <rFont val="Times New Roman"/>
        <family val="1"/>
      </rPr>
      <t>2</t>
    </r>
    <r>
      <rPr>
        <b/>
        <sz val="10"/>
        <color theme="1"/>
        <rFont val="Times New Roman"/>
        <family val="1"/>
      </rPr>
      <t xml:space="preserve"> Monitoring </t>
    </r>
  </si>
  <si>
    <r>
      <t xml:space="preserve">COMS for sources burning coal, residual oil, or wood </t>
    </r>
    <r>
      <rPr>
        <vertAlign val="superscript"/>
        <sz val="10"/>
        <color theme="1"/>
        <rFont val="Times New Roman"/>
        <family val="1"/>
      </rPr>
      <t>b</t>
    </r>
  </si>
  <si>
    <r>
      <t>a</t>
    </r>
    <r>
      <rPr>
        <sz val="9"/>
        <color theme="1"/>
        <rFont val="Times New Roman"/>
        <family val="1"/>
      </rPr>
      <t xml:space="preserve">  Number of respondents with O&amp;M (486 units) represents an annual average of 301 existing facilities, multiplied by an average of 1.7 affected units per facility, less an annual average of 26 units requiring inlet and outlet monitoring [301 x 1.7 = 511.7 - 26 = 485.7, rounded to 486 units]. Number of respondents with capital costs (19 units) represents an average of 11 new facilities per year, multiplied by an average of 1.7 affected units per facility [11 x 1.7 = 18.7, rounded to 19 units]. </t>
    </r>
  </si>
  <si>
    <t>Table 2: Average Annual EPA Burden and Cost – NSPS for Small Industrial-Commercial-Institutional Steam Generating Units (40 CFR Part 60, Subpart Dc) (Renewal)</t>
  </si>
  <si>
    <t>(H)</t>
  </si>
  <si>
    <t>Activity</t>
  </si>
  <si>
    <t>EPA person- hours per occurrence</t>
  </si>
  <si>
    <t>No. of occurrences per plant per year</t>
  </si>
  <si>
    <r>
      <t>Plants per year </t>
    </r>
    <r>
      <rPr>
        <b/>
        <vertAlign val="superscript"/>
        <sz val="10"/>
        <color theme="1"/>
        <rFont val="Times New Roman"/>
        <family val="1"/>
      </rPr>
      <t>a</t>
    </r>
  </si>
  <si>
    <r>
      <t xml:space="preserve">Cost </t>
    </r>
    <r>
      <rPr>
        <b/>
        <vertAlign val="superscript"/>
        <sz val="10"/>
        <color theme="1"/>
        <rFont val="Times New Roman"/>
        <family val="1"/>
      </rPr>
      <t>b</t>
    </r>
  </si>
  <si>
    <r>
      <t xml:space="preserve">Review of notification of construction/‌reconstruction </t>
    </r>
    <r>
      <rPr>
        <vertAlign val="superscript"/>
        <sz val="10"/>
        <color theme="1"/>
        <rFont val="Times New Roman"/>
        <family val="1"/>
      </rPr>
      <t>c</t>
    </r>
  </si>
  <si>
    <r>
      <t xml:space="preserve">Review of notification of modification </t>
    </r>
    <r>
      <rPr>
        <vertAlign val="superscript"/>
        <sz val="10"/>
        <color theme="1"/>
        <rFont val="Times New Roman"/>
        <family val="1"/>
      </rPr>
      <t>c</t>
    </r>
  </si>
  <si>
    <r>
      <t xml:space="preserve">Review of notification of actual startup </t>
    </r>
    <r>
      <rPr>
        <vertAlign val="superscript"/>
        <sz val="10"/>
        <color theme="1"/>
        <rFont val="Times New Roman"/>
        <family val="1"/>
      </rPr>
      <t>c</t>
    </r>
  </si>
  <si>
    <r>
      <t xml:space="preserve">Review of initial CEMS demonstration </t>
    </r>
    <r>
      <rPr>
        <vertAlign val="superscript"/>
        <sz val="10"/>
        <color theme="1"/>
        <rFont val="Times New Roman"/>
        <family val="1"/>
      </rPr>
      <t>c</t>
    </r>
  </si>
  <si>
    <r>
      <t xml:space="preserve">Review of demonstration of monitoring system </t>
    </r>
    <r>
      <rPr>
        <vertAlign val="superscript"/>
        <sz val="10"/>
        <color theme="1"/>
        <rFont val="Times New Roman"/>
        <family val="1"/>
      </rPr>
      <t>c</t>
    </r>
  </si>
  <si>
    <r>
      <t xml:space="preserve">Review of semiannual reports </t>
    </r>
    <r>
      <rPr>
        <vertAlign val="superscript"/>
        <sz val="10"/>
        <color theme="1"/>
        <rFont val="Times New Roman"/>
        <family val="1"/>
      </rPr>
      <t>d</t>
    </r>
  </si>
  <si>
    <t>EPA person- hours per plant per year 
(C=AxB)</t>
  </si>
  <si>
    <t>Clerical person-hours per year 
(G=Ex0.1)</t>
  </si>
  <si>
    <r>
      <t xml:space="preserve">TOTAL LABOR BURDEN AND COST (rounded) </t>
    </r>
    <r>
      <rPr>
        <b/>
        <vertAlign val="superscript"/>
        <sz val="10"/>
        <color theme="1"/>
        <rFont val="Times New Roman"/>
        <family val="1"/>
      </rPr>
      <t>i</t>
    </r>
  </si>
  <si>
    <r>
      <t xml:space="preserve">TOTAL CAPITAL AND O&amp;M COST (rounded) </t>
    </r>
    <r>
      <rPr>
        <b/>
        <vertAlign val="superscript"/>
        <sz val="10"/>
        <color theme="1"/>
        <rFont val="Times New Roman"/>
        <family val="1"/>
      </rPr>
      <t>i</t>
    </r>
  </si>
  <si>
    <r>
      <t xml:space="preserve">GRAND TOTAL (rounded) </t>
    </r>
    <r>
      <rPr>
        <b/>
        <vertAlign val="superscript"/>
        <sz val="10"/>
        <color theme="1"/>
        <rFont val="Times New Roman"/>
        <family val="1"/>
      </rPr>
      <t>i</t>
    </r>
  </si>
  <si>
    <r>
      <t xml:space="preserve">i  </t>
    </r>
    <r>
      <rPr>
        <sz val="10"/>
        <color theme="1"/>
        <rFont val="Times New Roman"/>
        <family val="1"/>
      </rPr>
      <t>Totals have been rounded to 3 significant figures. Figures may not add exactly due to rounding.</t>
    </r>
  </si>
  <si>
    <r>
      <t xml:space="preserve">e  </t>
    </r>
    <r>
      <rPr>
        <sz val="10"/>
        <color theme="1"/>
        <rFont val="Times New Roman"/>
        <family val="1"/>
      </rPr>
      <t>Totals have been rounded to 3 significant figures. Figures may not add exactly due to rounding.</t>
    </r>
  </si>
  <si>
    <r>
      <t>d</t>
    </r>
    <r>
      <rPr>
        <sz val="10"/>
        <color theme="1"/>
        <rFont val="Times New Roman"/>
        <family val="1"/>
      </rPr>
      <t xml:space="preserve">  We have assumed that it will take 8 hours two times per year to review each semiannual report.</t>
    </r>
  </si>
  <si>
    <r>
      <t>c</t>
    </r>
    <r>
      <rPr>
        <sz val="10"/>
        <color theme="1"/>
        <rFont val="Times New Roman"/>
        <family val="1"/>
      </rPr>
      <t xml:space="preserve">  We have assumed that occurrences/respondent for new facilities are based on an average of 1.7 affected facilities per respondent.</t>
    </r>
  </si>
  <si>
    <r>
      <t xml:space="preserve">TOTAL ANNUAL BURDEN AND COST (rounded) </t>
    </r>
    <r>
      <rPr>
        <b/>
        <vertAlign val="superscript"/>
        <sz val="9"/>
        <color theme="1"/>
        <rFont val="Times New Roman"/>
        <family val="1"/>
      </rPr>
      <t>e</t>
    </r>
  </si>
  <si>
    <r>
      <t xml:space="preserve">b </t>
    </r>
    <r>
      <rPr>
        <sz val="10"/>
        <color theme="1"/>
        <rFont val="Times New Roman"/>
        <family val="1"/>
      </rPr>
      <t xml:space="preserve"> The cost is based on the following labor rate which incorporates a 1.6 benefits multiplication factor to account for government overhead expenses.  Managerial rates of $64.80 (GS-13, Step 5, $40.50 × 1.6), Technical rate of $48.08 (GS-12, Step 1, $30.05 × 1.6), and Clerical rate of $26.02 (GS-6, Step 3, $16.26 × 1.6).  These rates are from the Office of Personnel Management (OPM) “2017 General Schedule” which excludes locality rates of pay.</t>
    </r>
  </si>
  <si>
    <r>
      <t>b</t>
    </r>
    <r>
      <rPr>
        <sz val="9"/>
        <color theme="1"/>
        <rFont val="Times New Roman"/>
        <family val="1"/>
      </rPr>
      <t xml:space="preserve">  Number of respondents with O&amp;M (125 units) represents an annual average of 120.4 existing affected facilities that require COMS, plus an average of 4.4 new affected facilities per year that require COMS [120.4/301 × 11 = 4.4 new affected facilities per year that require COMS; 120.4 + 4.4 = 124.8, rounded to 125 facilities that require COMS] Number of respondents with capital costs (7 units) represents an average of 4.4 new affected facilities per year that require COMS, multiplied by an average of 1.7 affected units per facility [4.4 x 1.7 = 7.48, rounded to 7 units].</t>
    </r>
  </si>
  <si>
    <t>responses</t>
  </si>
  <si>
    <t>hr/response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</si>
</sst>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8" formatCode="&quot;$&quot;#,##0.00_);[Red]\(&quot;$&quot;#,##0.00\)"/>
    <numFmt numFmtId="164" formatCode="#,##0.0"/>
    <numFmt numFmtId="165" formatCode="0.0000"/>
  </numFmts>
  <fonts count="12" x14ac:knownFonts="1">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sz val="9"/>
      <color theme="1"/>
      <name val="Times New Roman"/>
      <family val="1"/>
    </font>
    <font>
      <b/>
      <vertAlign val="subscript"/>
      <sz val="12"/>
      <color theme="1"/>
      <name val="Times New Roman"/>
      <family val="1"/>
    </font>
    <font>
      <vertAlign val="superscript"/>
      <sz val="9"/>
      <color theme="1"/>
      <name val="Times New Roman"/>
      <family val="1"/>
    </font>
    <font>
      <b/>
      <sz val="9"/>
      <color theme="1"/>
      <name val="Times New Roman"/>
      <family val="1"/>
    </font>
    <font>
      <b/>
      <vertAlign val="superscript"/>
      <sz val="9"/>
      <color theme="1"/>
      <name val="Times New Roman"/>
      <family val="1"/>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s>
  <cellStyleXfs count="1">
    <xf numFmtId="0" fontId="0" fillId="0" borderId="0"/>
  </cellStyleXfs>
  <cellXfs count="29">
    <xf numFmtId="0" fontId="0" fillId="0" borderId="0" xfId="0"/>
    <xf numFmtId="0" fontId="1" fillId="0" borderId="0" xfId="0" applyFont="1"/>
    <xf numFmtId="0" fontId="4"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right" vertical="center" wrapText="1"/>
    </xf>
    <xf numFmtId="0" fontId="2" fillId="0" borderId="1" xfId="0" applyFont="1" applyBorder="1" applyAlignment="1">
      <alignment horizontal="left" vertical="center" wrapText="1" indent="1"/>
    </xf>
    <xf numFmtId="8" fontId="2" fillId="0" borderId="1" xfId="0" applyNumberFormat="1" applyFont="1" applyBorder="1" applyAlignment="1">
      <alignment horizontal="right" vertical="center" wrapText="1"/>
    </xf>
    <xf numFmtId="3" fontId="2" fillId="0" borderId="1" xfId="0" applyNumberFormat="1" applyFont="1" applyBorder="1" applyAlignment="1">
      <alignment horizontal="center" vertical="center" wrapText="1"/>
    </xf>
    <xf numFmtId="0" fontId="4" fillId="0" borderId="1" xfId="0" applyFont="1" applyBorder="1" applyAlignment="1">
      <alignment vertical="center" wrapText="1"/>
    </xf>
    <xf numFmtId="6" fontId="4" fillId="0" borderId="1" xfId="0" applyNumberFormat="1" applyFont="1" applyBorder="1" applyAlignment="1">
      <alignment horizontal="right" vertical="center" wrapText="1"/>
    </xf>
    <xf numFmtId="0" fontId="2" fillId="0" borderId="1" xfId="0" applyFont="1" applyBorder="1" applyAlignment="1">
      <alignment horizontal="left" vertical="center" wrapText="1" indent="2"/>
    </xf>
    <xf numFmtId="0" fontId="0" fillId="0" borderId="1" xfId="0" applyBorder="1"/>
    <xf numFmtId="164" fontId="2" fillId="0" borderId="1" xfId="0" applyNumberFormat="1" applyFont="1" applyBorder="1" applyAlignment="1">
      <alignment horizontal="center" vertical="center" wrapText="1"/>
    </xf>
    <xf numFmtId="0" fontId="4" fillId="0" borderId="0" xfId="0" applyFont="1" applyAlignment="1">
      <alignment vertical="center"/>
    </xf>
    <xf numFmtId="0" fontId="6" fillId="0" borderId="0" xfId="0" applyFont="1" applyAlignment="1">
      <alignment vertical="center"/>
    </xf>
    <xf numFmtId="6" fontId="2" fillId="0" borderId="1" xfId="0" applyNumberFormat="1" applyFont="1" applyBorder="1" applyAlignment="1">
      <alignment horizontal="center" vertical="center" wrapText="1"/>
    </xf>
    <xf numFmtId="165" fontId="0" fillId="0" borderId="0" xfId="0" applyNumberFormat="1"/>
    <xf numFmtId="0" fontId="9" fillId="0" borderId="0" xfId="0" applyFont="1" applyAlignment="1">
      <alignment vertical="center"/>
    </xf>
    <xf numFmtId="0" fontId="10" fillId="0" borderId="1" xfId="0" applyFont="1" applyBorder="1" applyAlignment="1">
      <alignment vertical="center" wrapText="1"/>
    </xf>
    <xf numFmtId="0" fontId="4" fillId="0" borderId="1" xfId="0" applyFont="1" applyBorder="1" applyAlignment="1">
      <alignment horizontal="right" vertical="center" wrapText="1"/>
    </xf>
    <xf numFmtId="1" fontId="0" fillId="0" borderId="0" xfId="0" applyNumberFormat="1"/>
    <xf numFmtId="3"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tabSelected="1" workbookViewId="0"/>
  </sheetViews>
  <sheetFormatPr defaultRowHeight="15" x14ac:dyDescent="0.25"/>
  <cols>
    <col min="1" max="1" width="50.5703125" customWidth="1"/>
    <col min="2" max="2" width="9.7109375" customWidth="1"/>
    <col min="3" max="3" width="10.7109375" customWidth="1"/>
    <col min="4" max="4" width="9.28515625" customWidth="1"/>
    <col min="5" max="5" width="10.85546875" customWidth="1"/>
    <col min="7" max="7" width="9.7109375" customWidth="1"/>
    <col min="9" max="9" width="12.42578125" customWidth="1"/>
  </cols>
  <sheetData>
    <row r="1" spans="1:9" x14ac:dyDescent="0.25">
      <c r="A1" s="1" t="s">
        <v>0</v>
      </c>
    </row>
    <row r="2" spans="1:9" x14ac:dyDescent="0.25">
      <c r="F2">
        <v>108.28</v>
      </c>
      <c r="G2">
        <v>144.33000000000001</v>
      </c>
      <c r="H2">
        <v>53.34</v>
      </c>
    </row>
    <row r="3" spans="1:9" x14ac:dyDescent="0.25">
      <c r="A3" s="23" t="s">
        <v>9</v>
      </c>
      <c r="B3" s="2" t="s">
        <v>1</v>
      </c>
      <c r="C3" s="2" t="s">
        <v>2</v>
      </c>
      <c r="D3" s="2" t="s">
        <v>3</v>
      </c>
      <c r="E3" s="2" t="s">
        <v>4</v>
      </c>
      <c r="F3" s="2" t="s">
        <v>5</v>
      </c>
      <c r="G3" s="2" t="s">
        <v>6</v>
      </c>
      <c r="H3" s="2" t="s">
        <v>7</v>
      </c>
      <c r="I3" s="2" t="s">
        <v>8</v>
      </c>
    </row>
    <row r="4" spans="1:9" ht="70.5" customHeight="1" x14ac:dyDescent="0.25">
      <c r="A4" s="24"/>
      <c r="B4" s="2" t="s">
        <v>10</v>
      </c>
      <c r="C4" s="2" t="s">
        <v>11</v>
      </c>
      <c r="D4" s="2" t="s">
        <v>40</v>
      </c>
      <c r="E4" s="2" t="s">
        <v>12</v>
      </c>
      <c r="F4" s="2" t="s">
        <v>41</v>
      </c>
      <c r="G4" s="2" t="s">
        <v>42</v>
      </c>
      <c r="H4" s="2" t="s">
        <v>39</v>
      </c>
      <c r="I4" s="2" t="s">
        <v>13</v>
      </c>
    </row>
    <row r="5" spans="1:9" x14ac:dyDescent="0.25">
      <c r="A5" s="3" t="s">
        <v>14</v>
      </c>
      <c r="B5" s="4" t="s">
        <v>15</v>
      </c>
      <c r="C5" s="4"/>
      <c r="D5" s="4"/>
      <c r="E5" s="4"/>
      <c r="F5" s="4"/>
      <c r="G5" s="4"/>
      <c r="H5" s="4"/>
      <c r="I5" s="5"/>
    </row>
    <row r="6" spans="1:9" x14ac:dyDescent="0.25">
      <c r="A6" s="3" t="s">
        <v>16</v>
      </c>
      <c r="B6" s="4" t="s">
        <v>15</v>
      </c>
      <c r="C6" s="4"/>
      <c r="D6" s="4"/>
      <c r="E6" s="4"/>
      <c r="F6" s="4"/>
      <c r="G6" s="4"/>
      <c r="H6" s="4"/>
      <c r="I6" s="5"/>
    </row>
    <row r="7" spans="1:9" x14ac:dyDescent="0.25">
      <c r="A7" s="3" t="s">
        <v>17</v>
      </c>
      <c r="B7" s="4"/>
      <c r="C7" s="4"/>
      <c r="D7" s="4"/>
      <c r="E7" s="4"/>
      <c r="F7" s="4"/>
      <c r="G7" s="4"/>
      <c r="H7" s="4"/>
      <c r="I7" s="5"/>
    </row>
    <row r="8" spans="1:9" ht="15.75" x14ac:dyDescent="0.25">
      <c r="A8" s="6" t="s">
        <v>55</v>
      </c>
      <c r="B8" s="4">
        <v>2</v>
      </c>
      <c r="C8" s="4">
        <v>1</v>
      </c>
      <c r="D8" s="4">
        <f>B8*C8</f>
        <v>2</v>
      </c>
      <c r="E8" s="4">
        <v>301</v>
      </c>
      <c r="F8" s="4">
        <f>D8*E8</f>
        <v>602</v>
      </c>
      <c r="G8" s="4">
        <f>F8*0.05</f>
        <v>30.1</v>
      </c>
      <c r="H8" s="4">
        <f>F8*0.1</f>
        <v>60.2</v>
      </c>
      <c r="I8" s="7">
        <f>$F$2*F8+$G$2*G8+$H$2*H8</f>
        <v>72739.960999999996</v>
      </c>
    </row>
    <row r="9" spans="1:9" x14ac:dyDescent="0.25">
      <c r="A9" s="6" t="s">
        <v>18</v>
      </c>
      <c r="B9" s="4"/>
      <c r="C9" s="4"/>
      <c r="D9" s="4"/>
      <c r="E9" s="4"/>
      <c r="F9" s="4"/>
      <c r="G9" s="4"/>
      <c r="H9" s="4"/>
      <c r="I9" s="5"/>
    </row>
    <row r="10" spans="1:9" ht="15.75" x14ac:dyDescent="0.25">
      <c r="A10" s="11" t="s">
        <v>43</v>
      </c>
      <c r="B10" s="4">
        <v>8</v>
      </c>
      <c r="C10" s="4">
        <v>2</v>
      </c>
      <c r="D10" s="4">
        <v>16</v>
      </c>
      <c r="E10" s="4">
        <v>7</v>
      </c>
      <c r="F10" s="4">
        <f t="shared" ref="F10:F20" si="0">D10*E10</f>
        <v>112</v>
      </c>
      <c r="G10" s="4">
        <f t="shared" ref="G10:G20" si="1">F10*0.05</f>
        <v>5.6000000000000005</v>
      </c>
      <c r="H10" s="4">
        <f t="shared" ref="H10:H20" si="2">F10*0.1</f>
        <v>11.200000000000001</v>
      </c>
      <c r="I10" s="7">
        <f t="shared" ref="I10:I20" si="3">$F$2*F10+$G$2*G10+$H$2*H10</f>
        <v>13533.016</v>
      </c>
    </row>
    <row r="11" spans="1:9" ht="15.75" x14ac:dyDescent="0.25">
      <c r="A11" s="11" t="s">
        <v>44</v>
      </c>
      <c r="B11" s="4">
        <v>330</v>
      </c>
      <c r="C11" s="4">
        <v>2</v>
      </c>
      <c r="D11" s="4">
        <v>660</v>
      </c>
      <c r="E11" s="4">
        <v>4</v>
      </c>
      <c r="F11" s="8">
        <f t="shared" si="0"/>
        <v>2640</v>
      </c>
      <c r="G11" s="4">
        <f t="shared" si="1"/>
        <v>132</v>
      </c>
      <c r="H11" s="4">
        <f t="shared" si="2"/>
        <v>264</v>
      </c>
      <c r="I11" s="7">
        <f t="shared" si="3"/>
        <v>318992.52</v>
      </c>
    </row>
    <row r="12" spans="1:9" x14ac:dyDescent="0.25">
      <c r="A12" s="6" t="s">
        <v>19</v>
      </c>
      <c r="B12" s="4" t="s">
        <v>20</v>
      </c>
      <c r="C12" s="4"/>
      <c r="D12" s="4"/>
      <c r="E12" s="4"/>
      <c r="F12" s="4"/>
      <c r="G12" s="4"/>
      <c r="H12" s="4"/>
      <c r="I12" s="5"/>
    </row>
    <row r="13" spans="1:9" x14ac:dyDescent="0.25">
      <c r="A13" s="6" t="s">
        <v>21</v>
      </c>
      <c r="B13" s="4" t="s">
        <v>22</v>
      </c>
      <c r="C13" s="4"/>
      <c r="D13" s="4"/>
      <c r="E13" s="4"/>
      <c r="F13" s="4"/>
      <c r="G13" s="4"/>
      <c r="H13" s="4"/>
      <c r="I13" s="5"/>
    </row>
    <row r="14" spans="1:9" x14ac:dyDescent="0.25">
      <c r="A14" s="6" t="s">
        <v>23</v>
      </c>
      <c r="B14" s="4"/>
      <c r="C14" s="4"/>
      <c r="D14" s="4"/>
      <c r="E14" s="4"/>
      <c r="F14" s="4"/>
      <c r="G14" s="4"/>
      <c r="H14" s="4"/>
      <c r="I14" s="5"/>
    </row>
    <row r="15" spans="1:9" ht="15.75" x14ac:dyDescent="0.25">
      <c r="A15" s="11" t="s">
        <v>46</v>
      </c>
      <c r="B15" s="4">
        <v>2</v>
      </c>
      <c r="C15" s="4">
        <v>1.7</v>
      </c>
      <c r="D15" s="4">
        <v>3.4</v>
      </c>
      <c r="E15" s="4">
        <v>4</v>
      </c>
      <c r="F15" s="4">
        <f t="shared" si="0"/>
        <v>13.6</v>
      </c>
      <c r="G15" s="4">
        <f t="shared" si="1"/>
        <v>0.68</v>
      </c>
      <c r="H15" s="4">
        <f t="shared" si="2"/>
        <v>1.36</v>
      </c>
      <c r="I15" s="7">
        <f t="shared" si="3"/>
        <v>1643.2947999999999</v>
      </c>
    </row>
    <row r="16" spans="1:9" ht="15.75" x14ac:dyDescent="0.25">
      <c r="A16" s="11" t="s">
        <v>24</v>
      </c>
      <c r="B16" s="4">
        <v>2</v>
      </c>
      <c r="C16" s="4">
        <v>1.7</v>
      </c>
      <c r="D16" s="4">
        <v>3.4</v>
      </c>
      <c r="E16" s="4">
        <v>7</v>
      </c>
      <c r="F16" s="4">
        <f t="shared" si="0"/>
        <v>23.8</v>
      </c>
      <c r="G16" s="4">
        <f t="shared" si="1"/>
        <v>1.1900000000000002</v>
      </c>
      <c r="H16" s="4">
        <f t="shared" si="2"/>
        <v>2.3800000000000003</v>
      </c>
      <c r="I16" s="7">
        <f t="shared" si="3"/>
        <v>2875.7659000000003</v>
      </c>
    </row>
    <row r="17" spans="1:12" ht="15.75" x14ac:dyDescent="0.25">
      <c r="A17" s="11" t="s">
        <v>25</v>
      </c>
      <c r="B17" s="4">
        <v>2</v>
      </c>
      <c r="C17" s="4">
        <v>1.7</v>
      </c>
      <c r="D17" s="4">
        <v>3.4</v>
      </c>
      <c r="E17" s="4">
        <v>11</v>
      </c>
      <c r="F17" s="4">
        <f t="shared" si="0"/>
        <v>37.4</v>
      </c>
      <c r="G17" s="4">
        <f t="shared" si="1"/>
        <v>1.87</v>
      </c>
      <c r="H17" s="4">
        <f t="shared" si="2"/>
        <v>3.74</v>
      </c>
      <c r="I17" s="7">
        <f t="shared" si="3"/>
        <v>4519.0607</v>
      </c>
    </row>
    <row r="18" spans="1:12" ht="15.75" x14ac:dyDescent="0.25">
      <c r="A18" s="11" t="s">
        <v>45</v>
      </c>
      <c r="B18" s="4">
        <v>2</v>
      </c>
      <c r="C18" s="4">
        <v>1.7</v>
      </c>
      <c r="D18" s="4">
        <v>3.4</v>
      </c>
      <c r="E18" s="4">
        <v>11</v>
      </c>
      <c r="F18" s="4">
        <f t="shared" si="0"/>
        <v>37.4</v>
      </c>
      <c r="G18" s="4">
        <f t="shared" si="1"/>
        <v>1.87</v>
      </c>
      <c r="H18" s="4">
        <f t="shared" si="2"/>
        <v>3.74</v>
      </c>
      <c r="I18" s="7">
        <f t="shared" si="3"/>
        <v>4519.0607</v>
      </c>
    </row>
    <row r="19" spans="1:12" ht="15.75" x14ac:dyDescent="0.25">
      <c r="A19" s="11" t="s">
        <v>26</v>
      </c>
      <c r="B19" s="4">
        <v>2</v>
      </c>
      <c r="C19" s="4">
        <v>1.7</v>
      </c>
      <c r="D19" s="4">
        <v>3.4</v>
      </c>
      <c r="E19" s="4">
        <v>11</v>
      </c>
      <c r="F19" s="4">
        <f t="shared" si="0"/>
        <v>37.4</v>
      </c>
      <c r="G19" s="4">
        <f t="shared" si="1"/>
        <v>1.87</v>
      </c>
      <c r="H19" s="4">
        <f t="shared" si="2"/>
        <v>3.74</v>
      </c>
      <c r="I19" s="7">
        <f t="shared" si="3"/>
        <v>4519.0607</v>
      </c>
    </row>
    <row r="20" spans="1:12" x14ac:dyDescent="0.25">
      <c r="A20" s="11" t="s">
        <v>27</v>
      </c>
      <c r="B20" s="4">
        <v>16</v>
      </c>
      <c r="C20" s="4">
        <v>2</v>
      </c>
      <c r="D20" s="4">
        <v>32</v>
      </c>
      <c r="E20" s="4">
        <v>301</v>
      </c>
      <c r="F20" s="8">
        <f t="shared" si="0"/>
        <v>9632</v>
      </c>
      <c r="G20" s="4">
        <f t="shared" si="1"/>
        <v>481.6</v>
      </c>
      <c r="H20" s="4">
        <f t="shared" si="2"/>
        <v>963.2</v>
      </c>
      <c r="I20" s="7">
        <f>$F$2*F20+$G$2*G20+$H$2*H20</f>
        <v>1163839.3759999999</v>
      </c>
    </row>
    <row r="21" spans="1:12" x14ac:dyDescent="0.25">
      <c r="A21" s="11" t="s">
        <v>28</v>
      </c>
      <c r="B21" s="4" t="s">
        <v>20</v>
      </c>
      <c r="C21" s="4"/>
      <c r="D21" s="4"/>
      <c r="E21" s="4"/>
      <c r="F21" s="4"/>
      <c r="G21" s="4"/>
      <c r="H21" s="4"/>
      <c r="I21" s="5"/>
    </row>
    <row r="22" spans="1:12" x14ac:dyDescent="0.25">
      <c r="A22" s="9" t="s">
        <v>29</v>
      </c>
      <c r="B22" s="2"/>
      <c r="C22" s="2"/>
      <c r="D22" s="2"/>
      <c r="E22" s="2"/>
      <c r="F22" s="22">
        <f>SUM(F5:H21)</f>
        <v>15105.94</v>
      </c>
      <c r="G22" s="22"/>
      <c r="H22" s="22"/>
      <c r="I22" s="10">
        <f>SUM(I5:I21)</f>
        <v>1587181.1157999998</v>
      </c>
    </row>
    <row r="23" spans="1:12" x14ac:dyDescent="0.25">
      <c r="A23" s="3" t="s">
        <v>30</v>
      </c>
      <c r="B23" s="4"/>
      <c r="C23" s="4"/>
      <c r="D23" s="4"/>
      <c r="E23" s="4"/>
      <c r="F23" s="4"/>
      <c r="G23" s="4"/>
      <c r="H23" s="4"/>
      <c r="I23" s="5"/>
    </row>
    <row r="24" spans="1:12" x14ac:dyDescent="0.25">
      <c r="A24" s="6" t="s">
        <v>56</v>
      </c>
      <c r="B24" s="4" t="s">
        <v>31</v>
      </c>
      <c r="C24" s="4"/>
      <c r="D24" s="4"/>
      <c r="E24" s="4"/>
      <c r="F24" s="4"/>
      <c r="G24" s="4"/>
      <c r="H24" s="4"/>
      <c r="I24" s="5"/>
    </row>
    <row r="25" spans="1:12" x14ac:dyDescent="0.25">
      <c r="A25" s="6" t="s">
        <v>32</v>
      </c>
      <c r="B25" s="4" t="s">
        <v>15</v>
      </c>
      <c r="C25" s="4"/>
      <c r="D25" s="4"/>
      <c r="E25" s="4"/>
      <c r="F25" s="4"/>
      <c r="G25" s="4"/>
      <c r="H25" s="4"/>
      <c r="I25" s="5"/>
    </row>
    <row r="26" spans="1:12" x14ac:dyDescent="0.25">
      <c r="A26" s="6" t="s">
        <v>33</v>
      </c>
      <c r="B26" s="4" t="s">
        <v>15</v>
      </c>
      <c r="C26" s="4"/>
      <c r="D26" s="4"/>
      <c r="E26" s="4"/>
      <c r="F26" s="4"/>
      <c r="G26" s="4"/>
      <c r="H26" s="4"/>
      <c r="I26" s="5"/>
    </row>
    <row r="27" spans="1:12" x14ac:dyDescent="0.25">
      <c r="A27" s="6" t="s">
        <v>34</v>
      </c>
      <c r="B27" s="4" t="s">
        <v>15</v>
      </c>
      <c r="C27" s="4"/>
      <c r="D27" s="4"/>
      <c r="E27" s="4"/>
      <c r="F27" s="4"/>
      <c r="G27" s="4"/>
      <c r="H27" s="4"/>
      <c r="I27" s="5"/>
    </row>
    <row r="28" spans="1:12" x14ac:dyDescent="0.25">
      <c r="A28" s="6" t="s">
        <v>35</v>
      </c>
      <c r="B28" s="4">
        <v>1.5</v>
      </c>
      <c r="C28" s="4">
        <v>365</v>
      </c>
      <c r="D28" s="4">
        <v>547.5</v>
      </c>
      <c r="E28" s="4">
        <v>301</v>
      </c>
      <c r="F28" s="8">
        <f t="shared" ref="F28" si="4">D28*E28</f>
        <v>164797.5</v>
      </c>
      <c r="G28" s="13">
        <f t="shared" ref="G28" si="5">F28*0.05</f>
        <v>8239.875</v>
      </c>
      <c r="H28" s="8">
        <f t="shared" ref="H28" si="6">F28*0.1</f>
        <v>16479.75</v>
      </c>
      <c r="I28" s="7">
        <f t="shared" ref="I28" si="7">$F$2*F28+$G$2*G28+$H$2*H28</f>
        <v>19912564.32375</v>
      </c>
    </row>
    <row r="29" spans="1:12" x14ac:dyDescent="0.25">
      <c r="A29" s="6" t="s">
        <v>36</v>
      </c>
      <c r="B29" s="4" t="s">
        <v>15</v>
      </c>
      <c r="C29" s="4"/>
      <c r="D29" s="4"/>
      <c r="E29" s="4"/>
      <c r="F29" s="4"/>
      <c r="G29" s="4"/>
      <c r="H29" s="4"/>
      <c r="I29" s="5"/>
    </row>
    <row r="30" spans="1:12" x14ac:dyDescent="0.25">
      <c r="A30" s="6" t="s">
        <v>37</v>
      </c>
      <c r="B30" s="4" t="s">
        <v>15</v>
      </c>
      <c r="C30" s="4"/>
      <c r="D30" s="4"/>
      <c r="E30" s="4"/>
      <c r="F30" s="4"/>
      <c r="G30" s="4"/>
      <c r="H30" s="4"/>
      <c r="I30" s="5"/>
    </row>
    <row r="31" spans="1:12" x14ac:dyDescent="0.25">
      <c r="A31" s="9" t="s">
        <v>38</v>
      </c>
      <c r="B31" s="2"/>
      <c r="C31" s="2"/>
      <c r="D31" s="2"/>
      <c r="E31" s="2"/>
      <c r="F31" s="22">
        <f>SUM(F23:H30)</f>
        <v>189517.125</v>
      </c>
      <c r="G31" s="22"/>
      <c r="H31" s="22"/>
      <c r="I31" s="10">
        <f>SUM(I23:I30)</f>
        <v>19912564.32375</v>
      </c>
    </row>
    <row r="32" spans="1:12" ht="15.75" x14ac:dyDescent="0.25">
      <c r="A32" s="9" t="s">
        <v>88</v>
      </c>
      <c r="B32" s="4"/>
      <c r="C32" s="4"/>
      <c r="D32" s="4"/>
      <c r="E32" s="4"/>
      <c r="F32" s="22">
        <f>ROUND(F22+F31,-3)</f>
        <v>205000</v>
      </c>
      <c r="G32" s="22"/>
      <c r="H32" s="22"/>
      <c r="I32" s="10">
        <f>ROUND(I22+I31,-5)</f>
        <v>21500000</v>
      </c>
      <c r="K32" t="s">
        <v>98</v>
      </c>
      <c r="L32" t="s">
        <v>99</v>
      </c>
    </row>
    <row r="33" spans="1:12" ht="15.75" x14ac:dyDescent="0.25">
      <c r="A33" s="9" t="s">
        <v>89</v>
      </c>
      <c r="B33" s="12"/>
      <c r="C33" s="12"/>
      <c r="D33" s="12"/>
      <c r="E33" s="12"/>
      <c r="F33" s="12"/>
      <c r="G33" s="12"/>
      <c r="H33" s="12"/>
      <c r="I33" s="10">
        <f>ROUND('Capital and O&amp;M'!D9+'Capital and O&amp;M'!G9,-5)</f>
        <v>11800000</v>
      </c>
      <c r="K33">
        <v>677</v>
      </c>
      <c r="L33" s="21">
        <f>+F32/K33</f>
        <v>302.80649926144758</v>
      </c>
    </row>
    <row r="34" spans="1:12" ht="15.75" x14ac:dyDescent="0.25">
      <c r="A34" s="9" t="s">
        <v>90</v>
      </c>
      <c r="B34" s="12"/>
      <c r="C34" s="12"/>
      <c r="D34" s="12"/>
      <c r="E34" s="12"/>
      <c r="F34" s="12"/>
      <c r="G34" s="12"/>
      <c r="H34" s="12"/>
      <c r="I34" s="10">
        <f>I32+I33</f>
        <v>33300000</v>
      </c>
    </row>
    <row r="36" spans="1:12" x14ac:dyDescent="0.25">
      <c r="A36" s="14" t="s">
        <v>47</v>
      </c>
    </row>
    <row r="37" spans="1:12" ht="15.75" x14ac:dyDescent="0.25">
      <c r="A37" s="15" t="s">
        <v>52</v>
      </c>
    </row>
    <row r="38" spans="1:12" ht="15.75" x14ac:dyDescent="0.25">
      <c r="A38" s="15" t="s">
        <v>53</v>
      </c>
    </row>
    <row r="39" spans="1:12" ht="15.75" x14ac:dyDescent="0.25">
      <c r="A39" s="15" t="s">
        <v>54</v>
      </c>
    </row>
    <row r="40" spans="1:12" ht="15.75" x14ac:dyDescent="0.25">
      <c r="A40" s="15" t="s">
        <v>48</v>
      </c>
    </row>
    <row r="41" spans="1:12" ht="15.75" x14ac:dyDescent="0.25">
      <c r="A41" s="15" t="s">
        <v>49</v>
      </c>
    </row>
    <row r="42" spans="1:12" ht="15.75" x14ac:dyDescent="0.25">
      <c r="A42" s="15" t="s">
        <v>57</v>
      </c>
    </row>
    <row r="43" spans="1:12" ht="15.75" x14ac:dyDescent="0.25">
      <c r="A43" s="15" t="s">
        <v>50</v>
      </c>
    </row>
    <row r="44" spans="1:12" ht="15.75" x14ac:dyDescent="0.25">
      <c r="A44" s="15" t="s">
        <v>51</v>
      </c>
    </row>
    <row r="45" spans="1:12" ht="15.75" x14ac:dyDescent="0.25">
      <c r="A45" s="15" t="s">
        <v>91</v>
      </c>
    </row>
  </sheetData>
  <mergeCells count="4">
    <mergeCell ref="F22:H22"/>
    <mergeCell ref="F31:H31"/>
    <mergeCell ref="F32:H32"/>
    <mergeCell ref="A3:A4"/>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E10" sqref="E10:I10"/>
    </sheetView>
  </sheetViews>
  <sheetFormatPr defaultRowHeight="15" x14ac:dyDescent="0.25"/>
  <cols>
    <col min="1" max="1" width="47" customWidth="1"/>
    <col min="2" max="2" width="9.85546875" customWidth="1"/>
    <col min="3" max="3" width="10.42578125" customWidth="1"/>
    <col min="9" max="9" width="9.85546875" customWidth="1"/>
  </cols>
  <sheetData>
    <row r="1" spans="1:9" x14ac:dyDescent="0.25">
      <c r="A1" s="1" t="s">
        <v>73</v>
      </c>
    </row>
    <row r="2" spans="1:9" x14ac:dyDescent="0.25">
      <c r="F2">
        <v>48.08</v>
      </c>
      <c r="G2">
        <v>64.8</v>
      </c>
      <c r="H2">
        <v>26.02</v>
      </c>
    </row>
    <row r="3" spans="1:9" x14ac:dyDescent="0.25">
      <c r="A3" s="23" t="s">
        <v>75</v>
      </c>
      <c r="B3" s="2" t="s">
        <v>1</v>
      </c>
      <c r="C3" s="2" t="s">
        <v>2</v>
      </c>
      <c r="D3" s="2" t="s">
        <v>3</v>
      </c>
      <c r="E3" s="2" t="s">
        <v>4</v>
      </c>
      <c r="F3" s="2" t="s">
        <v>5</v>
      </c>
      <c r="G3" s="2" t="s">
        <v>6</v>
      </c>
      <c r="H3" s="2" t="s">
        <v>7</v>
      </c>
      <c r="I3" s="2" t="s">
        <v>74</v>
      </c>
    </row>
    <row r="4" spans="1:9" ht="79.5" customHeight="1" x14ac:dyDescent="0.25">
      <c r="A4" s="24"/>
      <c r="B4" s="2" t="s">
        <v>76</v>
      </c>
      <c r="C4" s="2" t="s">
        <v>77</v>
      </c>
      <c r="D4" s="2" t="s">
        <v>86</v>
      </c>
      <c r="E4" s="2" t="s">
        <v>78</v>
      </c>
      <c r="F4" s="2" t="s">
        <v>41</v>
      </c>
      <c r="G4" s="2" t="s">
        <v>42</v>
      </c>
      <c r="H4" s="2" t="s">
        <v>87</v>
      </c>
      <c r="I4" s="2" t="s">
        <v>79</v>
      </c>
    </row>
    <row r="5" spans="1:9" ht="15.75" x14ac:dyDescent="0.25">
      <c r="A5" s="3" t="s">
        <v>80</v>
      </c>
      <c r="B5" s="4">
        <v>2</v>
      </c>
      <c r="C5" s="4">
        <v>1.7</v>
      </c>
      <c r="D5" s="4">
        <f>B5*C5</f>
        <v>3.4</v>
      </c>
      <c r="E5" s="4">
        <v>4</v>
      </c>
      <c r="F5" s="4">
        <f>D5*E5</f>
        <v>13.6</v>
      </c>
      <c r="G5" s="4">
        <f>F5*0.05</f>
        <v>0.68</v>
      </c>
      <c r="H5" s="4">
        <f>F5*0.1</f>
        <v>1.36</v>
      </c>
      <c r="I5" s="7">
        <f>$F$2*F5+$G$2*G5+$H$2*H5</f>
        <v>733.33919999999989</v>
      </c>
    </row>
    <row r="6" spans="1:9" ht="15.75" x14ac:dyDescent="0.25">
      <c r="A6" s="3" t="s">
        <v>81</v>
      </c>
      <c r="B6" s="4">
        <v>2</v>
      </c>
      <c r="C6" s="4">
        <v>1.7</v>
      </c>
      <c r="D6" s="4">
        <f t="shared" ref="D6:D10" si="0">B6*C6</f>
        <v>3.4</v>
      </c>
      <c r="E6" s="4">
        <v>7</v>
      </c>
      <c r="F6" s="4">
        <f t="shared" ref="F6:F10" si="1">D6*E6</f>
        <v>23.8</v>
      </c>
      <c r="G6" s="4">
        <f t="shared" ref="G6:G10" si="2">F6*0.05</f>
        <v>1.1900000000000002</v>
      </c>
      <c r="H6" s="4">
        <f t="shared" ref="H6:H10" si="3">F6*0.1</f>
        <v>2.3800000000000003</v>
      </c>
      <c r="I6" s="7">
        <f t="shared" ref="I6:I10" si="4">$F$2*F6+$G$2*G6+$H$2*H6</f>
        <v>1283.3436000000002</v>
      </c>
    </row>
    <row r="7" spans="1:9" ht="15.75" x14ac:dyDescent="0.25">
      <c r="A7" s="3" t="s">
        <v>82</v>
      </c>
      <c r="B7" s="4">
        <v>2</v>
      </c>
      <c r="C7" s="4">
        <v>1.7</v>
      </c>
      <c r="D7" s="4">
        <f t="shared" si="0"/>
        <v>3.4</v>
      </c>
      <c r="E7" s="4">
        <v>11</v>
      </c>
      <c r="F7" s="4">
        <f t="shared" si="1"/>
        <v>37.4</v>
      </c>
      <c r="G7" s="4">
        <f t="shared" si="2"/>
        <v>1.87</v>
      </c>
      <c r="H7" s="4">
        <f t="shared" si="3"/>
        <v>3.74</v>
      </c>
      <c r="I7" s="7">
        <f t="shared" si="4"/>
        <v>2016.6827999999998</v>
      </c>
    </row>
    <row r="8" spans="1:9" ht="15.75" x14ac:dyDescent="0.25">
      <c r="A8" s="3" t="s">
        <v>83</v>
      </c>
      <c r="B8" s="4">
        <v>2</v>
      </c>
      <c r="C8" s="4">
        <v>1.7</v>
      </c>
      <c r="D8" s="4">
        <f t="shared" si="0"/>
        <v>3.4</v>
      </c>
      <c r="E8" s="4">
        <v>11</v>
      </c>
      <c r="F8" s="4">
        <f t="shared" si="1"/>
        <v>37.4</v>
      </c>
      <c r="G8" s="4">
        <f t="shared" si="2"/>
        <v>1.87</v>
      </c>
      <c r="H8" s="4">
        <f t="shared" si="3"/>
        <v>3.74</v>
      </c>
      <c r="I8" s="7">
        <f t="shared" si="4"/>
        <v>2016.6827999999998</v>
      </c>
    </row>
    <row r="9" spans="1:9" ht="15.75" x14ac:dyDescent="0.25">
      <c r="A9" s="3" t="s">
        <v>84</v>
      </c>
      <c r="B9" s="4">
        <v>2</v>
      </c>
      <c r="C9" s="4">
        <v>1.7</v>
      </c>
      <c r="D9" s="4">
        <f t="shared" si="0"/>
        <v>3.4</v>
      </c>
      <c r="E9" s="4">
        <v>11</v>
      </c>
      <c r="F9" s="4">
        <f t="shared" si="1"/>
        <v>37.4</v>
      </c>
      <c r="G9" s="4">
        <f t="shared" si="2"/>
        <v>1.87</v>
      </c>
      <c r="H9" s="4">
        <f t="shared" si="3"/>
        <v>3.74</v>
      </c>
      <c r="I9" s="7">
        <f t="shared" si="4"/>
        <v>2016.6827999999998</v>
      </c>
    </row>
    <row r="10" spans="1:9" ht="15.75" x14ac:dyDescent="0.25">
      <c r="A10" s="3" t="s">
        <v>85</v>
      </c>
      <c r="B10" s="4">
        <v>8</v>
      </c>
      <c r="C10" s="4">
        <v>2</v>
      </c>
      <c r="D10" s="4">
        <f t="shared" si="0"/>
        <v>16</v>
      </c>
      <c r="E10" s="4">
        <f>'Table 1'!E28</f>
        <v>301</v>
      </c>
      <c r="F10" s="8">
        <f t="shared" si="1"/>
        <v>4816</v>
      </c>
      <c r="G10" s="4">
        <f t="shared" si="2"/>
        <v>240.8</v>
      </c>
      <c r="H10" s="4">
        <f t="shared" si="3"/>
        <v>481.6</v>
      </c>
      <c r="I10" s="7">
        <f t="shared" si="4"/>
        <v>259688.35199999998</v>
      </c>
    </row>
    <row r="11" spans="1:9" x14ac:dyDescent="0.25">
      <c r="A11" s="19" t="s">
        <v>95</v>
      </c>
      <c r="B11" s="20"/>
      <c r="C11" s="20"/>
      <c r="D11" s="20"/>
      <c r="E11" s="20"/>
      <c r="F11" s="22">
        <f>ROUND(SUM(F5:H10),-1)</f>
        <v>5710</v>
      </c>
      <c r="G11" s="22"/>
      <c r="H11" s="22"/>
      <c r="I11" s="10">
        <f>ROUND(SUM(I5:I10),-3)</f>
        <v>268000</v>
      </c>
    </row>
    <row r="13" spans="1:9" x14ac:dyDescent="0.25">
      <c r="A13" s="14" t="s">
        <v>47</v>
      </c>
    </row>
    <row r="14" spans="1:9" ht="15.75" x14ac:dyDescent="0.25">
      <c r="A14" s="15" t="s">
        <v>52</v>
      </c>
    </row>
    <row r="15" spans="1:9" ht="15.75" x14ac:dyDescent="0.25">
      <c r="A15" s="15" t="s">
        <v>96</v>
      </c>
    </row>
    <row r="16" spans="1:9" ht="15.75" x14ac:dyDescent="0.25">
      <c r="A16" s="15" t="s">
        <v>94</v>
      </c>
    </row>
    <row r="17" spans="1:1" ht="15.75" x14ac:dyDescent="0.25">
      <c r="A17" s="15" t="s">
        <v>93</v>
      </c>
    </row>
    <row r="18" spans="1:1" ht="15.75" x14ac:dyDescent="0.25">
      <c r="A18" s="15" t="s">
        <v>92</v>
      </c>
    </row>
  </sheetData>
  <mergeCells count="2">
    <mergeCell ref="F11:H11"/>
    <mergeCell ref="A3:A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D9" sqref="D9"/>
    </sheetView>
  </sheetViews>
  <sheetFormatPr defaultRowHeight="15" x14ac:dyDescent="0.25"/>
  <cols>
    <col min="1" max="1" width="37.140625" customWidth="1"/>
    <col min="2" max="2" width="10.42578125" customWidth="1"/>
    <col min="3" max="3" width="11.5703125" customWidth="1"/>
    <col min="7" max="7" width="10" bestFit="1" customWidth="1"/>
  </cols>
  <sheetData>
    <row r="1" spans="1:7" ht="15.75" x14ac:dyDescent="0.25">
      <c r="A1" s="25" t="s">
        <v>58</v>
      </c>
      <c r="B1" s="26"/>
      <c r="C1" s="26"/>
      <c r="D1" s="26"/>
      <c r="E1" s="26"/>
      <c r="F1" s="26"/>
      <c r="G1" s="27"/>
    </row>
    <row r="2" spans="1:7" x14ac:dyDescent="0.25">
      <c r="A2" s="4" t="s">
        <v>1</v>
      </c>
      <c r="B2" s="4" t="s">
        <v>2</v>
      </c>
      <c r="C2" s="4" t="s">
        <v>3</v>
      </c>
      <c r="D2" s="4" t="s">
        <v>4</v>
      </c>
      <c r="E2" s="4" t="s">
        <v>5</v>
      </c>
      <c r="F2" s="4" t="s">
        <v>6</v>
      </c>
      <c r="G2" s="4" t="s">
        <v>7</v>
      </c>
    </row>
    <row r="3" spans="1:7" ht="76.5" x14ac:dyDescent="0.25">
      <c r="A3" s="4" t="s">
        <v>59</v>
      </c>
      <c r="B3" s="4" t="s">
        <v>68</v>
      </c>
      <c r="C3" s="4" t="s">
        <v>60</v>
      </c>
      <c r="D3" s="4" t="s">
        <v>69</v>
      </c>
      <c r="E3" s="4" t="s">
        <v>61</v>
      </c>
      <c r="F3" s="4" t="s">
        <v>62</v>
      </c>
      <c r="G3" s="4" t="s">
        <v>63</v>
      </c>
    </row>
    <row r="4" spans="1:7" ht="18.75" customHeight="1" x14ac:dyDescent="0.25">
      <c r="A4" s="28" t="s">
        <v>70</v>
      </c>
      <c r="B4" s="28"/>
      <c r="C4" s="28"/>
      <c r="D4" s="28"/>
      <c r="E4" s="28"/>
      <c r="F4" s="28"/>
      <c r="G4" s="28"/>
    </row>
    <row r="5" spans="1:7" x14ac:dyDescent="0.25">
      <c r="A5" s="3" t="s">
        <v>64</v>
      </c>
      <c r="B5" s="16">
        <v>113592</v>
      </c>
      <c r="C5" s="4">
        <v>0</v>
      </c>
      <c r="D5" s="16">
        <f>B5*C5</f>
        <v>0</v>
      </c>
      <c r="E5" s="16">
        <v>25900</v>
      </c>
      <c r="F5" s="4">
        <v>26</v>
      </c>
      <c r="G5" s="16">
        <f>E5*F5</f>
        <v>673400</v>
      </c>
    </row>
    <row r="6" spans="1:7" ht="15.75" x14ac:dyDescent="0.25">
      <c r="A6" s="3" t="s">
        <v>65</v>
      </c>
      <c r="B6" s="16">
        <v>73028</v>
      </c>
      <c r="C6" s="4">
        <v>19</v>
      </c>
      <c r="D6" s="16">
        <f>B6*C6</f>
        <v>1387532</v>
      </c>
      <c r="E6" s="16">
        <v>17100</v>
      </c>
      <c r="F6" s="4">
        <v>486</v>
      </c>
      <c r="G6" s="16">
        <f>E6*F6</f>
        <v>8310600</v>
      </c>
    </row>
    <row r="7" spans="1:7" x14ac:dyDescent="0.25">
      <c r="A7" s="28" t="s">
        <v>66</v>
      </c>
      <c r="B7" s="28"/>
      <c r="C7" s="28"/>
      <c r="D7" s="28"/>
      <c r="E7" s="28"/>
      <c r="F7" s="28"/>
      <c r="G7" s="28"/>
    </row>
    <row r="8" spans="1:7" ht="28.5" x14ac:dyDescent="0.25">
      <c r="A8" s="3" t="s">
        <v>71</v>
      </c>
      <c r="B8" s="16">
        <v>47033</v>
      </c>
      <c r="C8" s="4">
        <v>7</v>
      </c>
      <c r="D8" s="16">
        <f>B8*C8</f>
        <v>329231</v>
      </c>
      <c r="E8" s="16">
        <v>9100</v>
      </c>
      <c r="F8" s="4">
        <v>125</v>
      </c>
      <c r="G8" s="16">
        <f>E8*F8</f>
        <v>1137500</v>
      </c>
    </row>
    <row r="9" spans="1:7" x14ac:dyDescent="0.25">
      <c r="A9" s="3" t="s">
        <v>67</v>
      </c>
      <c r="B9" s="4"/>
      <c r="C9" s="4"/>
      <c r="D9" s="16">
        <f>ROUND(D5+D6+D8,-4)</f>
        <v>1720000</v>
      </c>
      <c r="E9" s="4"/>
      <c r="F9" s="4"/>
      <c r="G9" s="16">
        <f>ROUND(G5+G6+G8,-5)</f>
        <v>10100000</v>
      </c>
    </row>
    <row r="11" spans="1:7" x14ac:dyDescent="0.25">
      <c r="A11" s="18" t="s">
        <v>72</v>
      </c>
    </row>
    <row r="12" spans="1:7" x14ac:dyDescent="0.25">
      <c r="A12" s="18" t="s">
        <v>97</v>
      </c>
    </row>
    <row r="17" spans="4:4" x14ac:dyDescent="0.25">
      <c r="D17" s="17"/>
    </row>
  </sheetData>
  <mergeCells count="3">
    <mergeCell ref="A1:G1"/>
    <mergeCell ref="A4:G4"/>
    <mergeCell ref="A7:G7"/>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Capital and 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Ariel Hou</cp:lastModifiedBy>
  <dcterms:created xsi:type="dcterms:W3CDTF">2017-04-10T12:33:57Z</dcterms:created>
  <dcterms:modified xsi:type="dcterms:W3CDTF">2017-04-24T17:56:58Z</dcterms:modified>
</cp:coreProperties>
</file>