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0" windowWidth="14040" windowHeight="11760" tabRatio="599"/>
  </bookViews>
  <sheets>
    <sheet name="2016" sheetId="2" r:id="rId1"/>
  </sheets>
  <calcPr calcId="145621"/>
</workbook>
</file>

<file path=xl/calcChain.xml><?xml version="1.0" encoding="utf-8"?>
<calcChain xmlns="http://schemas.openxmlformats.org/spreadsheetml/2006/main">
  <c r="C39" i="2" l="1"/>
  <c r="D19" i="2" l="1"/>
  <c r="J8" i="2"/>
  <c r="J6" i="2" l="1"/>
  <c r="J62" i="2"/>
  <c r="J61" i="2"/>
  <c r="J60" i="2"/>
  <c r="J59" i="2"/>
  <c r="J56" i="2"/>
  <c r="J55" i="2"/>
  <c r="J53" i="2"/>
  <c r="J52" i="2"/>
  <c r="J45" i="2"/>
  <c r="J44" i="2"/>
  <c r="J43" i="2"/>
  <c r="J42" i="2"/>
  <c r="J38" i="2"/>
  <c r="J37" i="2"/>
  <c r="J36" i="2"/>
  <c r="J35" i="2"/>
  <c r="J32" i="2"/>
  <c r="J31" i="2"/>
  <c r="J28" i="2"/>
  <c r="I27" i="2"/>
  <c r="J24" i="2"/>
  <c r="J23" i="2"/>
  <c r="J20" i="2"/>
  <c r="J18" i="2"/>
  <c r="J17" i="2"/>
  <c r="I16" i="2"/>
  <c r="J14" i="2"/>
  <c r="J12" i="2"/>
  <c r="J11" i="2"/>
  <c r="J10" i="2"/>
  <c r="J7" i="2"/>
  <c r="J15" i="2" l="1"/>
  <c r="J51" i="2"/>
  <c r="J54" i="2"/>
  <c r="J57" i="2"/>
  <c r="J58" i="2"/>
  <c r="J50" i="2"/>
  <c r="J29" i="2"/>
  <c r="J30" i="2"/>
  <c r="J21" i="2"/>
  <c r="J22" i="2"/>
  <c r="J25" i="2"/>
  <c r="J26" i="2"/>
  <c r="J9" i="2"/>
  <c r="J13" i="2"/>
  <c r="J5" i="2"/>
  <c r="D61" i="2" l="1"/>
  <c r="D60" i="2"/>
  <c r="C38" i="2"/>
  <c r="D17" i="2"/>
  <c r="D14" i="2"/>
  <c r="D12" i="2"/>
  <c r="D11" i="2"/>
  <c r="D10" i="2"/>
  <c r="C63" i="2" l="1"/>
  <c r="C40" i="2"/>
  <c r="C33" i="2"/>
  <c r="E16" i="2" l="1"/>
  <c r="G16" i="2" s="1"/>
  <c r="C62" i="2" l="1"/>
  <c r="C59" i="2"/>
  <c r="C53" i="2"/>
  <c r="C45" i="2"/>
  <c r="D56" i="2" l="1"/>
  <c r="D55" i="2"/>
  <c r="C52" i="2"/>
  <c r="C44" i="2"/>
  <c r="C43" i="2"/>
  <c r="D24" i="2"/>
  <c r="D23" i="2"/>
  <c r="D20" i="2"/>
  <c r="D28" i="2" l="1"/>
  <c r="D31" i="2" l="1"/>
  <c r="E5" i="2" l="1"/>
  <c r="G5" i="2" s="1"/>
  <c r="H5" i="2" s="1"/>
  <c r="E6" i="2"/>
  <c r="G6" i="2" s="1"/>
  <c r="E7" i="2"/>
  <c r="G7" i="2" s="1"/>
  <c r="E8" i="2"/>
  <c r="G8" i="2" s="1"/>
  <c r="E10" i="2"/>
  <c r="G10" i="2" s="1"/>
  <c r="E11" i="2"/>
  <c r="G11" i="2" s="1"/>
  <c r="E12" i="2"/>
  <c r="G12" i="2" s="1"/>
  <c r="E13" i="2"/>
  <c r="G13" i="2" s="1"/>
  <c r="H13" i="2" s="1"/>
  <c r="E14" i="2"/>
  <c r="G14" i="2" s="1"/>
  <c r="E15" i="2"/>
  <c r="E17" i="2"/>
  <c r="G17" i="2" s="1"/>
  <c r="E18" i="2"/>
  <c r="G18" i="2" s="1"/>
  <c r="E19" i="2"/>
  <c r="G19" i="2" s="1"/>
  <c r="J19" i="2" s="1"/>
  <c r="J33" i="2" s="1"/>
  <c r="E20" i="2"/>
  <c r="G20" i="2" s="1"/>
  <c r="E21" i="2"/>
  <c r="G21" i="2" s="1"/>
  <c r="H21" i="2" s="1"/>
  <c r="E22" i="2"/>
  <c r="G22" i="2" s="1"/>
  <c r="H22" i="2" s="1"/>
  <c r="E23" i="2"/>
  <c r="G23" i="2" s="1"/>
  <c r="E24" i="2"/>
  <c r="G24" i="2" s="1"/>
  <c r="D25" i="2"/>
  <c r="E25" i="2" s="1"/>
  <c r="G25" i="2" s="1"/>
  <c r="H25" i="2" s="1"/>
  <c r="E26" i="2"/>
  <c r="G26" i="2" s="1"/>
  <c r="H26" i="2" s="1"/>
  <c r="E27" i="2"/>
  <c r="G27" i="2" s="1"/>
  <c r="E28" i="2"/>
  <c r="G28" i="2" s="1"/>
  <c r="D29" i="2"/>
  <c r="C30" i="2"/>
  <c r="E30" i="2" s="1"/>
  <c r="G30" i="2" s="1"/>
  <c r="H30" i="2" s="1"/>
  <c r="E31" i="2"/>
  <c r="G31" i="2" s="1"/>
  <c r="E32" i="2"/>
  <c r="G32" i="2" s="1"/>
  <c r="E35" i="2"/>
  <c r="G35" i="2" s="1"/>
  <c r="E36" i="2"/>
  <c r="G36" i="2" s="1"/>
  <c r="E37" i="2"/>
  <c r="G37" i="2" s="1"/>
  <c r="E38" i="2"/>
  <c r="G38" i="2" s="1"/>
  <c r="E39" i="2"/>
  <c r="G39" i="2" s="1"/>
  <c r="E42" i="2"/>
  <c r="G42" i="2" s="1"/>
  <c r="E43" i="2"/>
  <c r="G43" i="2" s="1"/>
  <c r="E44" i="2"/>
  <c r="G44" i="2" s="1"/>
  <c r="E45" i="2"/>
  <c r="G45" i="2" s="1"/>
  <c r="E50" i="2"/>
  <c r="E51" i="2"/>
  <c r="G51" i="2" s="1"/>
  <c r="H51" i="2" s="1"/>
  <c r="E52" i="2"/>
  <c r="G52" i="2" s="1"/>
  <c r="E53" i="2"/>
  <c r="G53" i="2" s="1"/>
  <c r="E54" i="2"/>
  <c r="G54" i="2" s="1"/>
  <c r="H54" i="2" s="1"/>
  <c r="E55" i="2"/>
  <c r="G55" i="2" s="1"/>
  <c r="E56" i="2"/>
  <c r="G56" i="2" s="1"/>
  <c r="D57" i="2"/>
  <c r="E57" i="2" s="1"/>
  <c r="G57" i="2" s="1"/>
  <c r="H57" i="2" s="1"/>
  <c r="E58" i="2"/>
  <c r="G58" i="2" s="1"/>
  <c r="H58" i="2" s="1"/>
  <c r="E59" i="2"/>
  <c r="G59" i="2" s="1"/>
  <c r="E60" i="2"/>
  <c r="G60" i="2" s="1"/>
  <c r="E61" i="2"/>
  <c r="G61" i="2" s="1"/>
  <c r="E62" i="2"/>
  <c r="G62" i="2" s="1"/>
  <c r="C47" i="2"/>
  <c r="C76" i="2"/>
  <c r="G15" i="2"/>
  <c r="H15" i="2"/>
  <c r="I46" i="2"/>
  <c r="J46" i="2"/>
  <c r="J63" i="2"/>
  <c r="I63" i="2"/>
  <c r="I33" i="2"/>
  <c r="I40" i="2" l="1"/>
  <c r="J39" i="2"/>
  <c r="J40" i="2" s="1"/>
  <c r="J47" i="2" s="1"/>
  <c r="E29" i="2"/>
  <c r="G29" i="2" s="1"/>
  <c r="I47" i="2"/>
  <c r="I64" i="2" s="1"/>
  <c r="E40" i="2"/>
  <c r="D40" i="2" s="1"/>
  <c r="G46" i="2"/>
  <c r="E46" i="2"/>
  <c r="D46" i="2" s="1"/>
  <c r="G9" i="2"/>
  <c r="H9" i="2" s="1"/>
  <c r="H46" i="2"/>
  <c r="C67" i="2"/>
  <c r="C64" i="2"/>
  <c r="E63" i="2"/>
  <c r="H40" i="2"/>
  <c r="G40" i="2"/>
  <c r="E33" i="2"/>
  <c r="G50" i="2"/>
  <c r="J64" i="2" l="1"/>
  <c r="H29" i="2"/>
  <c r="H33" i="2" s="1"/>
  <c r="H47" i="2" s="1"/>
  <c r="C72" i="2" s="1"/>
  <c r="G33" i="2"/>
  <c r="F46" i="2"/>
  <c r="F40" i="2"/>
  <c r="H50" i="2"/>
  <c r="H63" i="2" s="1"/>
  <c r="C81" i="2" s="1"/>
  <c r="G63" i="2"/>
  <c r="E47" i="2"/>
  <c r="D33" i="2"/>
  <c r="C78" i="2"/>
  <c r="C77" i="2" s="1"/>
  <c r="D63" i="2"/>
  <c r="F33" i="2" l="1"/>
  <c r="H64" i="2"/>
  <c r="G64" i="2"/>
  <c r="F47" i="2"/>
  <c r="C71" i="2"/>
  <c r="C69" i="2"/>
  <c r="D47" i="2"/>
  <c r="E64" i="2"/>
  <c r="D64" i="2" s="1"/>
  <c r="F63" i="2"/>
  <c r="C80" i="2"/>
  <c r="F64" i="2" l="1"/>
  <c r="C68" i="2"/>
  <c r="C85" i="2"/>
  <c r="D86" i="2"/>
  <c r="C88" i="2" s="1"/>
  <c r="C70" i="2"/>
  <c r="C79" i="2"/>
  <c r="C82" i="2"/>
</calcChain>
</file>

<file path=xl/sharedStrings.xml><?xml version="1.0" encoding="utf-8"?>
<sst xmlns="http://schemas.openxmlformats.org/spreadsheetml/2006/main" count="197" uniqueCount="143">
  <si>
    <t>State Plan</t>
  </si>
  <si>
    <t>246.5(b)</t>
  </si>
  <si>
    <t>Local Agency (LA) applications</t>
  </si>
  <si>
    <t>LA Agreements</t>
  </si>
  <si>
    <t>LA requests for notice extension</t>
  </si>
  <si>
    <t>246.7(i)</t>
  </si>
  <si>
    <t xml:space="preserve">Certification data for infants </t>
  </si>
  <si>
    <t>SA notification re funding shortfall</t>
  </si>
  <si>
    <t>246.7(k)</t>
  </si>
  <si>
    <t>246.11(d)(2)</t>
  </si>
  <si>
    <t>LA nutrition education plan</t>
  </si>
  <si>
    <t>246.12(h)</t>
  </si>
  <si>
    <t>246.12(i)(1)</t>
  </si>
  <si>
    <t>Vendor training development</t>
  </si>
  <si>
    <t>Vendor training</t>
  </si>
  <si>
    <t>246.12(j)(4)</t>
  </si>
  <si>
    <t>246.12(o)</t>
  </si>
  <si>
    <t>Complaints</t>
  </si>
  <si>
    <t>ADP proposals</t>
  </si>
  <si>
    <t>246.16(d)</t>
  </si>
  <si>
    <t>Distribution of funds to LAs</t>
  </si>
  <si>
    <t>246.17(c)(1)</t>
  </si>
  <si>
    <t>Termination of SAs &amp; LAs</t>
  </si>
  <si>
    <t>SA corrective action plans to FNS</t>
  </si>
  <si>
    <t>246.20(a)(2)</t>
  </si>
  <si>
    <t>SA response to OIG audits</t>
  </si>
  <si>
    <t>246.12(i)(4)</t>
  </si>
  <si>
    <t>246.25(a)</t>
  </si>
  <si>
    <t>Financial ops. &amp; food delivery sys.</t>
  </si>
  <si>
    <t>Nutrition education for infants</t>
  </si>
  <si>
    <t>Fair hearings</t>
  </si>
  <si>
    <t>246.12(q)</t>
  </si>
  <si>
    <t>246.19(b)(5)</t>
  </si>
  <si>
    <t>Targeted LA reviews</t>
  </si>
  <si>
    <t>Disposition of food instruments</t>
  </si>
  <si>
    <t>Vendor compliance investigations</t>
  </si>
  <si>
    <t>246.12(j)(6)</t>
  </si>
  <si>
    <t>246.23(c)(1)</t>
  </si>
  <si>
    <t>Routine vendor monitoring</t>
  </si>
  <si>
    <t>Disposition of participant claims</t>
  </si>
  <si>
    <t>Vendor training content</t>
  </si>
  <si>
    <t>Nutrition ed. for women &amp; children</t>
  </si>
  <si>
    <t>Verification of Certification cards</t>
  </si>
  <si>
    <t>246.7(j)(9)</t>
  </si>
  <si>
    <t>Vendor food sales data</t>
  </si>
  <si>
    <t>Vendor shelf prices</t>
  </si>
  <si>
    <t>246.10(b)(1)</t>
  </si>
  <si>
    <t>TOTAL NO. RESPONDENTS</t>
  </si>
  <si>
    <t>AVERAGE NO. RESPONSES PER RESPONDENT</t>
  </si>
  <si>
    <t>TOTAL ANNUAL RESPONSES</t>
  </si>
  <si>
    <t>AVERAGE HOURS PER RESPONSE</t>
  </si>
  <si>
    <t>TOTAL ANNUAL BURDEN HOURS REQUESTED</t>
  </si>
  <si>
    <t>CURRENT OMB INVENTORY</t>
  </si>
  <si>
    <t>DIFFERENCE</t>
  </si>
  <si>
    <t>246.12(g)(4)(i)</t>
  </si>
  <si>
    <t>246.12(g)(4)(ii)(B)</t>
  </si>
  <si>
    <t>Affected Public:  State and Local Agencies (including Indian Tribal Organizations and U.S. Territories)</t>
  </si>
  <si>
    <t xml:space="preserve">Vendor applications &amp; agreements </t>
  </si>
  <si>
    <t>Vendor incentive items</t>
  </si>
  <si>
    <t>246.12(l)(3)</t>
  </si>
  <si>
    <t>Vendor notice of violations</t>
  </si>
  <si>
    <t>Vendor infant formula suppliers</t>
  </si>
  <si>
    <t>REPORTING BURDEN ESTIMATES</t>
  </si>
  <si>
    <t>246.7(f)(2)(iii)(A)</t>
  </si>
  <si>
    <t>RECORDKEEPING BURDEN ESTIMATES</t>
  </si>
  <si>
    <t>246.12(h)(1)(i)</t>
  </si>
  <si>
    <t xml:space="preserve">Vendor shelf prices exemption </t>
  </si>
  <si>
    <t>Estimated Number of Respondents</t>
  </si>
  <si>
    <t>Annual Responses per Respondent</t>
  </si>
  <si>
    <t>Total Annual Responses</t>
  </si>
  <si>
    <t>Number of Burden Hours per Request</t>
  </si>
  <si>
    <t>Estimated Total Burden Hours</t>
  </si>
  <si>
    <t>Previous Sumbission: Total Hours per Person</t>
  </si>
  <si>
    <t>Difference Due to Program Changes</t>
  </si>
  <si>
    <t>Difference Due to Adjustments</t>
  </si>
  <si>
    <t>Regulatory Section</t>
  </si>
  <si>
    <t>Information Collected</t>
  </si>
  <si>
    <r>
      <t xml:space="preserve">Subtotal </t>
    </r>
    <r>
      <rPr>
        <b/>
        <i/>
        <sz val="11"/>
        <rFont val="Arial"/>
        <family val="2"/>
      </rPr>
      <t>Reporting: State and Local Agencies</t>
    </r>
  </si>
  <si>
    <t>Subtotal Reporting: Applicants</t>
  </si>
  <si>
    <t>SUBTOTAL:  RECORDKEEPING</t>
  </si>
  <si>
    <t xml:space="preserve">GRAND TOTAL: REPORTING AND RECORDKEEPING   </t>
  </si>
  <si>
    <t>246.10(d)(1)</t>
  </si>
  <si>
    <t>Medical documentation</t>
  </si>
  <si>
    <t>Vendor food sales data for A50s</t>
  </si>
  <si>
    <t>246.19(a)(2)</t>
  </si>
  <si>
    <t xml:space="preserve">Cert. data for women </t>
  </si>
  <si>
    <t xml:space="preserve">Cert. data for children </t>
  </si>
  <si>
    <t>Cert. data for children</t>
  </si>
  <si>
    <t>Cert. data for women and children</t>
  </si>
  <si>
    <t>Identification of acceptable foods</t>
  </si>
  <si>
    <t>246.14(d)</t>
  </si>
  <si>
    <t>246.12(h)(8)(i)</t>
  </si>
  <si>
    <t>246.12(j)(6)(ii)</t>
  </si>
  <si>
    <t>N/A</t>
  </si>
  <si>
    <t>SUMMARY OF REPORTING BURDEN (OMB #0584-0043)</t>
  </si>
  <si>
    <t>SUMMARY OF RECORDKEEPING BURDEN (OMB #0584-0043)</t>
  </si>
  <si>
    <t>TOTAL NO. RECORDKEEPERS</t>
  </si>
  <si>
    <t>ANNUAL REPORTING &amp; RECORDKEEPING BURDEN (OMB #0584-0043)</t>
  </si>
  <si>
    <t>GRAND TOTAL - ANNUAL BURDEN HOURS</t>
  </si>
  <si>
    <t>Medical documentation, 1% of infants</t>
  </si>
  <si>
    <t>Affected Public:  Individuals and Households:  Applicants for Program Benefits</t>
  </si>
  <si>
    <t>Affected Public:  Business:  Retail Vendors (WIC-Authorized Food Stores)</t>
  </si>
  <si>
    <t>Explanation of Differences</t>
  </si>
  <si>
    <t>GRAND TOTAL - RESPONSES</t>
  </si>
  <si>
    <t xml:space="preserve">Vendor applications &amp; Agreements </t>
  </si>
  <si>
    <t>246.12(g)(10)</t>
  </si>
  <si>
    <t>Vendor compliance Investigations</t>
  </si>
  <si>
    <t>246.10(b(2)</t>
  </si>
  <si>
    <t>Submit APL as food list</t>
  </si>
  <si>
    <t>Change in number of local agencies.</t>
  </si>
  <si>
    <t>Decrease in number of total certifications.</t>
  </si>
  <si>
    <t>Submittal of APL per EBT final rule for updates to NUPC database.</t>
  </si>
  <si>
    <t xml:space="preserve">Decrease in number of infant certifications. (1% of infants) </t>
  </si>
  <si>
    <t>Change in number of local agencies</t>
  </si>
  <si>
    <t xml:space="preserve">Respondent group = the number of vendors that derive more of their revenue from SNAP than from WIC.  The number of respondents decreased.  </t>
  </si>
  <si>
    <t>Decrease in number of vendors results in proportionate decrease in reporting for vendor shelf prices.</t>
  </si>
  <si>
    <t>Decrease in number of vendors results in proportionate decrease in training.</t>
  </si>
  <si>
    <t>Decrease in number of vendors results in proportionate decrease in estimated compliance investigations.</t>
  </si>
  <si>
    <t>Decrease in number of infant certifications. (1% of infants)</t>
  </si>
  <si>
    <t>Decrease in number of retail vendors.</t>
  </si>
  <si>
    <t>Decrease in number of retail vendors (% of total).</t>
  </si>
  <si>
    <t xml:space="preserve">Increase in the number of above 50 percent vendors as well as an increase in the number of SAs that allow incentive items. </t>
  </si>
  <si>
    <t>Decrease in number of retail vendors results in proportionate decrease in applications and agreements</t>
  </si>
  <si>
    <t>Decrease in number of retail vendors results in proportionate decrease in vendor monitoring</t>
  </si>
  <si>
    <t>Decrease in number of retail vendors results in proportionate decrease in vendor compliance investigations</t>
  </si>
  <si>
    <t>Increase in the number of State agencies that have transitioned to EBT due to the legislative mandate of state-wide EBT by October 1, 2020.</t>
  </si>
  <si>
    <t>Decrease in the number of OIG audits performed each year.</t>
  </si>
  <si>
    <t xml:space="preserve">*Total retail vendor data provided from The Integrity Profile (TIP) database on WIC vendor population. </t>
  </si>
  <si>
    <t>Subtotal Reporting: Retail Vendors *</t>
  </si>
  <si>
    <t xml:space="preserve">Decrease in number of infant certifciations.  </t>
  </si>
  <si>
    <t xml:space="preserve">Decrease in number of women certifications.  </t>
  </si>
  <si>
    <t xml:space="preserve">Decrease in number of infant certifications.  </t>
  </si>
  <si>
    <t>Increase in number of women and infant certifications.</t>
  </si>
  <si>
    <t xml:space="preserve">Decrease in certifications.  </t>
  </si>
  <si>
    <t>Increase in number of child certifications.  Although the burden has increased due to an increase in the total responses, FNS discovered errors in participation data submitted under the last burden revision and notes an actual decrease in the number of burden hours for the certification of children due to a decrease in the number of child participants.</t>
  </si>
  <si>
    <t>Increase in number of children certifications.  Although the burden has increased due to an increase in the total responses, FNS discovered errors in participation data submitted under the last burden revision and notes an actual decrease in the number of burden hours for the certification of children due to a decrease in the number of child participants.</t>
  </si>
  <si>
    <t xml:space="preserve">Increase in certifications. Although the burden has increased due to an increase in the total responses, FNS discovered errors in participation data submitted under the last burden revision and notes an actual decrease in the number of burden hours for the certification of children due to a decrease in the number of child participants.  </t>
  </si>
  <si>
    <t xml:space="preserve">GRAND SUBTOTAL: REPORTING** </t>
  </si>
  <si>
    <t>the total hours were adjusted to match.</t>
  </si>
  <si>
    <t xml:space="preserve">**In the Grand Subtotal: Reporting, the grand total for the burden hours was adjusted to 3,165,043 to match the ROCIS calculations.  </t>
  </si>
  <si>
    <t xml:space="preserve">In the Excel calculations, this total is actually 3,165,043.8, which Excel rounds to 3,165,044.  ROCIS, however, did not round this total so </t>
  </si>
  <si>
    <t xml:space="preserve">Decrease in number of women certifications. </t>
  </si>
  <si>
    <t xml:space="preserve">                  ATTACHMENT B:  WIC PROGRAM REPORTING AND RECORDKEEPING REQUIREMENTS  (OMB #0584-0043)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</si>
</sst>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000000"/>
  </numFmts>
  <fonts count="13" x14ac:knownFonts="1">
    <font>
      <sz val="10"/>
      <name val="Arial"/>
    </font>
    <font>
      <sz val="10"/>
      <name val="Arial"/>
      <family val="2"/>
    </font>
    <font>
      <sz val="11"/>
      <name val="Arial"/>
      <family val="2"/>
    </font>
    <font>
      <b/>
      <sz val="11"/>
      <name val="Arial"/>
      <family val="2"/>
    </font>
    <font>
      <i/>
      <sz val="11"/>
      <name val="Arial"/>
      <family val="2"/>
    </font>
    <font>
      <b/>
      <sz val="10"/>
      <name val="Arial"/>
      <family val="2"/>
    </font>
    <font>
      <b/>
      <i/>
      <sz val="11"/>
      <name val="Arial"/>
      <family val="2"/>
    </font>
    <font>
      <b/>
      <sz val="11"/>
      <color indexed="8"/>
      <name val="Arial Narrow"/>
      <family val="2"/>
    </font>
    <font>
      <sz val="11"/>
      <name val="Arial Narrow"/>
      <family val="2"/>
    </font>
    <font>
      <sz val="10"/>
      <color rgb="FFFF0000"/>
      <name val="Arial"/>
      <family val="2"/>
    </font>
    <font>
      <b/>
      <sz val="10"/>
      <color rgb="FFFF0000"/>
      <name val="Arial"/>
      <family val="2"/>
    </font>
    <font>
      <sz val="10"/>
      <name val="Arial"/>
      <family val="2"/>
    </font>
    <font>
      <sz val="11"/>
      <color rgb="FF000000"/>
      <name val="Arial"/>
      <family val="2"/>
    </font>
  </fonts>
  <fills count="10">
    <fill>
      <patternFill patternType="none"/>
    </fill>
    <fill>
      <patternFill patternType="gray125"/>
    </fill>
    <fill>
      <patternFill patternType="solid">
        <fgColor them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s>
  <cellStyleXfs count="3">
    <xf numFmtId="0" fontId="0" fillId="0" borderId="0"/>
    <xf numFmtId="43" fontId="1" fillId="0" borderId="0" applyFont="0" applyFill="0" applyBorder="0" applyAlignment="0" applyProtection="0"/>
    <xf numFmtId="0" fontId="1" fillId="0" borderId="0"/>
  </cellStyleXfs>
  <cellXfs count="150">
    <xf numFmtId="0" fontId="0" fillId="0" borderId="0" xfId="0"/>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3" fontId="3" fillId="0" borderId="0" xfId="1" applyFont="1" applyBorder="1" applyAlignment="1">
      <alignment horizontal="center" vertical="center" wrapText="1"/>
    </xf>
    <xf numFmtId="43" fontId="3" fillId="0" borderId="1" xfId="1" applyFont="1" applyBorder="1" applyAlignment="1">
      <alignment horizontal="center" vertical="center" wrapText="1"/>
    </xf>
    <xf numFmtId="43" fontId="3" fillId="0" borderId="2" xfId="1" applyFont="1" applyBorder="1" applyAlignment="1">
      <alignment horizontal="center" vertical="center" wrapText="1"/>
    </xf>
    <xf numFmtId="0" fontId="4"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2" fillId="0" borderId="0" xfId="0" applyFont="1" applyAlignment="1">
      <alignment wrapText="1"/>
    </xf>
    <xf numFmtId="3" fontId="3" fillId="7" borderId="13" xfId="1" applyNumberFormat="1" applyFont="1" applyFill="1" applyBorder="1" applyAlignment="1">
      <alignment horizontal="right" vertical="center" wrapText="1"/>
    </xf>
    <xf numFmtId="4" fontId="4" fillId="0" borderId="4" xfId="1" applyNumberFormat="1" applyFont="1" applyBorder="1" applyAlignment="1">
      <alignment horizontal="right" vertical="center" wrapText="1"/>
    </xf>
    <xf numFmtId="3" fontId="3" fillId="7" borderId="8" xfId="1" applyNumberFormat="1" applyFont="1" applyFill="1" applyBorder="1" applyAlignment="1">
      <alignment horizontal="right" vertical="center" wrapText="1"/>
    </xf>
    <xf numFmtId="3" fontId="6" fillId="7" borderId="8" xfId="1" applyNumberFormat="1" applyFont="1" applyFill="1" applyBorder="1" applyAlignment="1">
      <alignment horizontal="right" vertical="center" wrapText="1"/>
    </xf>
    <xf numFmtId="3" fontId="3" fillId="7" borderId="14" xfId="1" applyNumberFormat="1" applyFont="1" applyFill="1" applyBorder="1" applyAlignment="1">
      <alignment horizontal="right" vertical="center" wrapText="1"/>
    </xf>
    <xf numFmtId="3" fontId="3" fillId="6" borderId="8" xfId="1" applyNumberFormat="1" applyFont="1" applyFill="1" applyBorder="1" applyAlignment="1">
      <alignment horizontal="right" vertical="center" wrapText="1"/>
    </xf>
    <xf numFmtId="3" fontId="6" fillId="6" borderId="8" xfId="1" applyNumberFormat="1" applyFont="1" applyFill="1" applyBorder="1" applyAlignment="1">
      <alignment horizontal="right" vertical="center" wrapText="1"/>
    </xf>
    <xf numFmtId="0" fontId="9" fillId="0" borderId="0" xfId="0" applyFont="1" applyAlignment="1">
      <alignment horizontal="center" vertical="center" wrapText="1"/>
    </xf>
    <xf numFmtId="4" fontId="2" fillId="0" borderId="6" xfId="1" applyNumberFormat="1" applyFont="1" applyBorder="1" applyAlignment="1">
      <alignment horizontal="right" vertical="center" wrapText="1"/>
    </xf>
    <xf numFmtId="4" fontId="2" fillId="0" borderId="6" xfId="1" applyNumberFormat="1" applyFont="1" applyFill="1" applyBorder="1" applyAlignment="1">
      <alignment horizontal="right" vertical="center" wrapText="1"/>
    </xf>
    <xf numFmtId="43" fontId="3" fillId="8" borderId="0" xfId="1" applyFont="1" applyFill="1" applyBorder="1" applyAlignment="1">
      <alignment horizontal="center" vertical="center" wrapText="1"/>
    </xf>
    <xf numFmtId="43" fontId="3" fillId="8" borderId="1" xfId="1" applyFont="1" applyFill="1" applyBorder="1" applyAlignment="1">
      <alignment horizontal="center" vertical="center" wrapText="1"/>
    </xf>
    <xf numFmtId="4" fontId="2" fillId="0" borderId="4" xfId="1" applyNumberFormat="1" applyFont="1" applyBorder="1" applyAlignment="1">
      <alignment horizontal="right" vertical="center" wrapText="1"/>
    </xf>
    <xf numFmtId="4" fontId="2" fillId="0" borderId="4" xfId="1" applyNumberFormat="1" applyFont="1" applyFill="1" applyBorder="1" applyAlignment="1">
      <alignment horizontal="right" vertical="center" wrapText="1"/>
    </xf>
    <xf numFmtId="4" fontId="2" fillId="0" borderId="4" xfId="0" applyNumberFormat="1" applyFont="1" applyBorder="1" applyAlignment="1">
      <alignment horizontal="right" vertical="center" wrapText="1"/>
    </xf>
    <xf numFmtId="4" fontId="4" fillId="0" borderId="4" xfId="1" applyNumberFormat="1" applyFont="1" applyFill="1" applyBorder="1" applyAlignment="1">
      <alignment horizontal="right" vertical="center" wrapText="1"/>
    </xf>
    <xf numFmtId="0" fontId="10" fillId="0" borderId="0" xfId="0" applyFont="1" applyAlignment="1">
      <alignment horizontal="center" vertical="center" wrapText="1"/>
    </xf>
    <xf numFmtId="4" fontId="2" fillId="0" borderId="0" xfId="1" applyNumberFormat="1" applyFont="1" applyFill="1" applyBorder="1" applyAlignment="1">
      <alignment horizontal="right" vertical="center" wrapText="1"/>
    </xf>
    <xf numFmtId="4" fontId="3" fillId="6" borderId="8" xfId="1" applyNumberFormat="1" applyFont="1" applyFill="1" applyBorder="1" applyAlignment="1">
      <alignment horizontal="right" vertical="center" wrapText="1"/>
    </xf>
    <xf numFmtId="0" fontId="11" fillId="0" borderId="0" xfId="0" applyFont="1" applyAlignment="1">
      <alignment wrapText="1"/>
    </xf>
    <xf numFmtId="0" fontId="1" fillId="0" borderId="0" xfId="0" applyFont="1" applyAlignment="1">
      <alignment wrapText="1"/>
    </xf>
    <xf numFmtId="3" fontId="3" fillId="0" borderId="7" xfId="0" applyNumberFormat="1" applyFont="1" applyBorder="1" applyAlignment="1">
      <alignment horizontal="right" vertical="center" wrapText="1"/>
    </xf>
    <xf numFmtId="4" fontId="2" fillId="0" borderId="4" xfId="0" applyNumberFormat="1" applyFont="1" applyFill="1" applyBorder="1" applyAlignment="1">
      <alignment horizontal="right" vertical="center" wrapText="1"/>
    </xf>
    <xf numFmtId="4" fontId="2" fillId="0" borderId="5"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0" fontId="0" fillId="0" borderId="0" xfId="0" applyFill="1" applyBorder="1" applyAlignment="1">
      <alignment horizontal="center" vertical="center" wrapText="1"/>
    </xf>
    <xf numFmtId="43" fontId="3" fillId="0" borderId="0" xfId="1" applyFont="1" applyFill="1" applyBorder="1" applyAlignment="1">
      <alignment horizontal="center" vertical="center" wrapText="1"/>
    </xf>
    <xf numFmtId="0" fontId="2" fillId="0" borderId="0" xfId="0" applyFont="1" applyFill="1" applyAlignment="1">
      <alignment wrapText="1"/>
    </xf>
    <xf numFmtId="3" fontId="3" fillId="0" borderId="0" xfId="0" applyNumberFormat="1" applyFont="1" applyAlignment="1">
      <alignment wrapText="1"/>
    </xf>
    <xf numFmtId="4" fontId="2" fillId="0" borderId="12" xfId="0" applyNumberFormat="1" applyFont="1" applyBorder="1" applyAlignment="1">
      <alignment horizontal="center" vertical="center" wrapText="1"/>
    </xf>
    <xf numFmtId="4" fontId="3" fillId="7" borderId="13" xfId="1" applyNumberFormat="1" applyFont="1" applyFill="1" applyBorder="1" applyAlignment="1">
      <alignment horizontal="right" vertical="center" wrapText="1"/>
    </xf>
    <xf numFmtId="4" fontId="3" fillId="7" borderId="8" xfId="1" applyNumberFormat="1" applyFont="1" applyFill="1" applyBorder="1" applyAlignment="1">
      <alignment horizontal="right" vertical="center" wrapText="1"/>
    </xf>
    <xf numFmtId="4" fontId="2" fillId="0" borderId="0" xfId="0" applyNumberFormat="1" applyFont="1" applyAlignment="1">
      <alignment wrapText="1"/>
    </xf>
    <xf numFmtId="4" fontId="0" fillId="0" borderId="0" xfId="0" applyNumberFormat="1" applyAlignment="1">
      <alignment wrapText="1"/>
    </xf>
    <xf numFmtId="165" fontId="3" fillId="7" borderId="13" xfId="1" applyNumberFormat="1" applyFont="1" applyFill="1" applyBorder="1" applyAlignment="1">
      <alignment horizontal="right" vertical="center" wrapText="1"/>
    </xf>
    <xf numFmtId="4" fontId="2" fillId="9" borderId="0" xfId="1" applyNumberFormat="1" applyFont="1" applyFill="1" applyBorder="1" applyAlignment="1">
      <alignment horizontal="right" vertical="center" wrapText="1"/>
    </xf>
    <xf numFmtId="4" fontId="2" fillId="9" borderId="4" xfId="1" applyNumberFormat="1" applyFont="1" applyFill="1" applyBorder="1" applyAlignment="1">
      <alignment horizontal="right" vertical="center" wrapText="1"/>
    </xf>
    <xf numFmtId="4" fontId="2" fillId="9" borderId="0" xfId="0" applyNumberFormat="1" applyFont="1" applyFill="1" applyBorder="1" applyAlignment="1">
      <alignment horizontal="right" vertical="center" wrapText="1"/>
    </xf>
    <xf numFmtId="4" fontId="2" fillId="9" borderId="4" xfId="0" applyNumberFormat="1" applyFont="1" applyFill="1" applyBorder="1" applyAlignment="1">
      <alignment horizontal="right" vertical="center" wrapText="1"/>
    </xf>
    <xf numFmtId="4" fontId="2" fillId="8" borderId="4" xfId="1" applyNumberFormat="1" applyFont="1" applyFill="1" applyBorder="1" applyAlignment="1">
      <alignment horizontal="right" vertical="center" wrapText="1"/>
    </xf>
    <xf numFmtId="4" fontId="2" fillId="8" borderId="5" xfId="1" applyNumberFormat="1" applyFont="1" applyFill="1" applyBorder="1" applyAlignment="1">
      <alignment horizontal="right" vertical="center" wrapText="1"/>
    </xf>
    <xf numFmtId="3" fontId="3" fillId="0" borderId="14" xfId="0" applyNumberFormat="1" applyFont="1" applyBorder="1" applyAlignment="1">
      <alignment horizontal="right" vertical="center" wrapText="1"/>
    </xf>
    <xf numFmtId="4" fontId="2" fillId="9" borderId="6" xfId="1" applyNumberFormat="1" applyFont="1" applyFill="1" applyBorder="1" applyAlignment="1">
      <alignment horizontal="right" vertical="center" wrapText="1"/>
    </xf>
    <xf numFmtId="4" fontId="4" fillId="9" borderId="4" xfId="1" applyNumberFormat="1" applyFont="1" applyFill="1" applyBorder="1" applyAlignment="1">
      <alignment horizontal="right" vertical="center" wrapText="1"/>
    </xf>
    <xf numFmtId="0" fontId="10" fillId="0" borderId="0" xfId="0" applyFont="1" applyAlignment="1">
      <alignment horizontal="left" vertical="center" wrapText="1"/>
    </xf>
    <xf numFmtId="3" fontId="9" fillId="0" borderId="0" xfId="0" applyNumberFormat="1" applyFont="1" applyAlignment="1">
      <alignment horizontal="right" vertical="center" wrapText="1"/>
    </xf>
    <xf numFmtId="3" fontId="9" fillId="0" borderId="0" xfId="0" applyNumberFormat="1" applyFont="1" applyAlignment="1">
      <alignment horizontal="center" vertical="center" wrapText="1"/>
    </xf>
    <xf numFmtId="3" fontId="9" fillId="0" borderId="0" xfId="0" applyNumberFormat="1" applyFont="1" applyAlignment="1">
      <alignment wrapText="1"/>
    </xf>
    <xf numFmtId="0" fontId="5" fillId="0" borderId="0" xfId="0" applyFont="1" applyAlignment="1">
      <alignment horizontal="center" vertical="center" wrapText="1"/>
    </xf>
    <xf numFmtId="0" fontId="9" fillId="0" borderId="0" xfId="0" applyFont="1" applyAlignment="1">
      <alignment wrapText="1"/>
    </xf>
    <xf numFmtId="0" fontId="0" fillId="0" borderId="0" xfId="0" applyBorder="1" applyAlignment="1">
      <alignment wrapText="1"/>
    </xf>
    <xf numFmtId="43" fontId="0" fillId="0" borderId="0" xfId="1" applyFont="1" applyAlignment="1">
      <alignment wrapText="1"/>
    </xf>
    <xf numFmtId="164" fontId="0" fillId="0" borderId="0" xfId="0" applyNumberFormat="1" applyAlignment="1">
      <alignment wrapText="1"/>
    </xf>
    <xf numFmtId="0" fontId="0" fillId="0" borderId="0" xfId="0" applyFill="1" applyAlignment="1">
      <alignment wrapText="1"/>
    </xf>
    <xf numFmtId="4" fontId="2" fillId="0" borderId="23" xfId="0" applyNumberFormat="1" applyFont="1" applyFill="1" applyBorder="1" applyAlignment="1">
      <alignment horizontal="right" vertical="center" wrapText="1"/>
    </xf>
    <xf numFmtId="4" fontId="2" fillId="0" borderId="24" xfId="0" applyNumberFormat="1" applyFont="1" applyFill="1" applyBorder="1" applyAlignment="1">
      <alignment horizontal="right" vertical="center" wrapText="1"/>
    </xf>
    <xf numFmtId="4" fontId="2" fillId="0" borderId="25" xfId="0" applyNumberFormat="1" applyFont="1" applyFill="1" applyBorder="1" applyAlignment="1">
      <alignment horizontal="right" vertical="center" wrapText="1"/>
    </xf>
    <xf numFmtId="4" fontId="2" fillId="9" borderId="24" xfId="0" applyNumberFormat="1" applyFont="1" applyFill="1" applyBorder="1" applyAlignment="1">
      <alignment horizontal="right" vertical="center" wrapText="1"/>
    </xf>
    <xf numFmtId="4" fontId="2" fillId="0" borderId="6" xfId="0" applyNumberFormat="1" applyFont="1" applyFill="1" applyBorder="1" applyAlignment="1">
      <alignment horizontal="right" vertical="center" wrapText="1"/>
    </xf>
    <xf numFmtId="0" fontId="2" fillId="0" borderId="4" xfId="0" applyFont="1" applyFill="1" applyBorder="1" applyAlignment="1">
      <alignment horizontal="left" vertical="center" wrapText="1"/>
    </xf>
    <xf numFmtId="0" fontId="3" fillId="9" borderId="4" xfId="0" applyFont="1" applyFill="1" applyBorder="1" applyAlignment="1">
      <alignment horizontal="left" vertical="center" wrapText="1"/>
    </xf>
    <xf numFmtId="4" fontId="1" fillId="9" borderId="4" xfId="2" applyNumberFormat="1" applyFont="1" applyFill="1" applyBorder="1" applyAlignment="1">
      <alignment vertical="center" wrapText="1"/>
    </xf>
    <xf numFmtId="0" fontId="2" fillId="9" borderId="4" xfId="0" applyFont="1" applyFill="1" applyBorder="1" applyAlignment="1">
      <alignment horizontal="left" vertical="center" wrapText="1"/>
    </xf>
    <xf numFmtId="4" fontId="1" fillId="0" borderId="0" xfId="0" applyNumberFormat="1" applyFont="1" applyAlignment="1">
      <alignment wrapText="1"/>
    </xf>
    <xf numFmtId="0" fontId="2" fillId="0" borderId="0" xfId="0" applyFont="1" applyAlignment="1"/>
    <xf numFmtId="0" fontId="2" fillId="0" borderId="6" xfId="1" applyNumberFormat="1" applyFont="1" applyBorder="1" applyAlignment="1">
      <alignment horizontal="right" vertical="center" wrapText="1"/>
    </xf>
    <xf numFmtId="4" fontId="4" fillId="8" borderId="4" xfId="1" applyNumberFormat="1" applyFont="1" applyFill="1" applyBorder="1" applyAlignment="1">
      <alignment horizontal="right" vertical="center" wrapText="1"/>
    </xf>
    <xf numFmtId="4" fontId="4" fillId="9" borderId="5" xfId="1" applyNumberFormat="1" applyFont="1" applyFill="1" applyBorder="1" applyAlignment="1">
      <alignment horizontal="right" vertical="center" wrapText="1"/>
    </xf>
    <xf numFmtId="0" fontId="2" fillId="0" borderId="4" xfId="0" applyFont="1" applyBorder="1" applyAlignment="1">
      <alignment horizontal="left" vertical="center" wrapText="1"/>
    </xf>
    <xf numFmtId="4" fontId="0" fillId="0" borderId="4" xfId="0" applyNumberFormat="1" applyBorder="1" applyAlignment="1">
      <alignment vertical="center" wrapText="1"/>
    </xf>
    <xf numFmtId="4" fontId="1" fillId="0" borderId="4" xfId="0" applyNumberFormat="1" applyFont="1" applyBorder="1" applyAlignment="1">
      <alignment vertical="center" wrapText="1"/>
    </xf>
    <xf numFmtId="0" fontId="1" fillId="0" borderId="4" xfId="0" applyFont="1" applyBorder="1" applyAlignment="1">
      <alignment vertical="center" wrapText="1"/>
    </xf>
    <xf numFmtId="0" fontId="1" fillId="9" borderId="4" xfId="0" applyFont="1" applyFill="1" applyBorder="1" applyAlignment="1">
      <alignment vertical="center" wrapText="1"/>
    </xf>
    <xf numFmtId="4" fontId="0" fillId="9" borderId="24" xfId="0" applyNumberFormat="1" applyFill="1" applyBorder="1" applyAlignment="1">
      <alignment vertical="center" wrapText="1"/>
    </xf>
    <xf numFmtId="0" fontId="1" fillId="0" borderId="23" xfId="0" applyFont="1" applyBorder="1" applyAlignment="1">
      <alignment vertical="center" wrapText="1"/>
    </xf>
    <xf numFmtId="4" fontId="1" fillId="0" borderId="23" xfId="0" applyNumberFormat="1" applyFont="1" applyBorder="1" applyAlignment="1">
      <alignment vertical="center" wrapText="1"/>
    </xf>
    <xf numFmtId="4" fontId="1" fillId="9" borderId="4" xfId="0" applyNumberFormat="1" applyFont="1" applyFill="1" applyBorder="1" applyAlignment="1">
      <alignment vertical="center" wrapText="1"/>
    </xf>
    <xf numFmtId="0" fontId="3" fillId="0" borderId="4" xfId="0" applyFont="1" applyFill="1" applyBorder="1" applyAlignment="1">
      <alignment horizontal="left" vertical="center" wrapText="1"/>
    </xf>
    <xf numFmtId="49" fontId="3" fillId="9" borderId="4" xfId="0" applyNumberFormat="1" applyFont="1" applyFill="1" applyBorder="1" applyAlignment="1">
      <alignment horizontal="left" vertical="center" wrapText="1"/>
    </xf>
    <xf numFmtId="4" fontId="0" fillId="7" borderId="7" xfId="0" applyNumberFormat="1" applyFill="1" applyBorder="1" applyAlignment="1">
      <alignment vertical="center" wrapText="1"/>
    </xf>
    <xf numFmtId="0" fontId="1" fillId="0" borderId="12" xfId="0" applyFont="1" applyBorder="1" applyAlignment="1">
      <alignment vertical="center" wrapText="1"/>
    </xf>
    <xf numFmtId="0" fontId="3" fillId="0" borderId="5" xfId="0" applyFont="1" applyFill="1" applyBorder="1" applyAlignment="1">
      <alignment horizontal="left" vertical="center" wrapText="1"/>
    </xf>
    <xf numFmtId="0" fontId="1" fillId="0" borderId="11" xfId="0" applyFont="1" applyBorder="1" applyAlignment="1">
      <alignment vertical="center" wrapText="1"/>
    </xf>
    <xf numFmtId="4" fontId="0" fillId="7" borderId="19" xfId="0" applyNumberFormat="1" applyFill="1" applyBorder="1" applyAlignment="1">
      <alignment vertical="center" wrapText="1"/>
    </xf>
    <xf numFmtId="4" fontId="0" fillId="7" borderId="20" xfId="0" applyNumberFormat="1" applyFill="1" applyBorder="1" applyAlignment="1">
      <alignment vertical="center" wrapText="1"/>
    </xf>
    <xf numFmtId="0" fontId="3" fillId="9" borderId="5" xfId="0" applyFont="1" applyFill="1" applyBorder="1" applyAlignment="1">
      <alignment horizontal="left" vertical="center" wrapText="1"/>
    </xf>
    <xf numFmtId="49" fontId="1" fillId="9" borderId="4" xfId="0" applyNumberFormat="1" applyFont="1" applyFill="1" applyBorder="1" applyAlignment="1">
      <alignment vertical="center" wrapText="1"/>
    </xf>
    <xf numFmtId="0" fontId="1" fillId="0" borderId="4" xfId="2" applyFont="1" applyBorder="1" applyAlignment="1">
      <alignment vertical="center" wrapText="1"/>
    </xf>
    <xf numFmtId="4" fontId="1" fillId="0" borderId="4" xfId="2" applyNumberFormat="1" applyFont="1" applyBorder="1" applyAlignment="1">
      <alignment vertical="center" wrapText="1"/>
    </xf>
    <xf numFmtId="4" fontId="0" fillId="0" borderId="4" xfId="0" applyNumberFormat="1" applyBorder="1" applyAlignment="1">
      <alignment vertical="center"/>
    </xf>
    <xf numFmtId="4" fontId="2" fillId="0" borderId="0" xfId="0" applyNumberFormat="1" applyFont="1" applyFill="1" applyAlignment="1">
      <alignment vertical="center" wrapText="1"/>
    </xf>
    <xf numFmtId="4" fontId="0" fillId="7" borderId="8" xfId="0" applyNumberFormat="1" applyFill="1" applyBorder="1" applyAlignment="1">
      <alignment vertical="center" wrapText="1"/>
    </xf>
    <xf numFmtId="4" fontId="0" fillId="6" borderId="22" xfId="0" applyNumberFormat="1" applyFill="1" applyBorder="1" applyAlignment="1">
      <alignment vertical="center" wrapText="1"/>
    </xf>
    <xf numFmtId="3" fontId="12" fillId="0" borderId="0" xfId="0" applyNumberFormat="1" applyFont="1" applyAlignment="1"/>
    <xf numFmtId="3" fontId="2" fillId="0" borderId="0" xfId="0" applyNumberFormat="1" applyFont="1" applyAlignment="1"/>
    <xf numFmtId="0" fontId="1" fillId="0" borderId="11" xfId="0" applyFont="1" applyFill="1" applyBorder="1" applyAlignment="1">
      <alignment horizontal="left" vertical="center" wrapText="1"/>
    </xf>
    <xf numFmtId="37" fontId="7" fillId="0" borderId="14" xfId="0" applyNumberFormat="1" applyFont="1" applyBorder="1" applyAlignment="1" applyProtection="1">
      <alignment horizontal="left" vertical="center" wrapText="1"/>
    </xf>
    <xf numFmtId="0" fontId="2" fillId="0" borderId="9" xfId="0" applyFont="1" applyBorder="1" applyAlignment="1">
      <alignment horizontal="left" vertical="center" wrapText="1"/>
    </xf>
    <xf numFmtId="3" fontId="3" fillId="0" borderId="16" xfId="0" applyNumberFormat="1" applyFont="1" applyBorder="1" applyAlignment="1">
      <alignment horizontal="right" vertical="center" wrapText="1"/>
    </xf>
    <xf numFmtId="3" fontId="2" fillId="0" borderId="20" xfId="0" applyNumberFormat="1" applyFont="1" applyBorder="1" applyAlignment="1">
      <alignment horizontal="right" vertical="center" wrapText="1"/>
    </xf>
    <xf numFmtId="37" fontId="7" fillId="0" borderId="14" xfId="0" applyNumberFormat="1" applyFont="1" applyBorder="1" applyAlignment="1" applyProtection="1">
      <alignment horizontal="left" wrapText="1"/>
    </xf>
    <xf numFmtId="0" fontId="2" fillId="0" borderId="9" xfId="0" applyFont="1" applyBorder="1" applyAlignment="1">
      <alignment horizontal="left" wrapText="1"/>
    </xf>
    <xf numFmtId="3" fontId="3" fillId="0" borderId="14" xfId="0" applyNumberFormat="1" applyFont="1" applyFill="1" applyBorder="1" applyAlignment="1">
      <alignment horizontal="right" vertical="center" wrapText="1"/>
    </xf>
    <xf numFmtId="3" fontId="2" fillId="0" borderId="7" xfId="0" applyNumberFormat="1" applyFont="1" applyFill="1" applyBorder="1" applyAlignment="1">
      <alignment horizontal="right" vertical="center" wrapText="1"/>
    </xf>
    <xf numFmtId="37" fontId="7" fillId="0" borderId="9" xfId="0" applyNumberFormat="1" applyFont="1" applyBorder="1" applyAlignment="1" applyProtection="1">
      <alignment horizontal="left" wrapText="1"/>
    </xf>
    <xf numFmtId="3" fontId="3" fillId="0" borderId="14" xfId="0" applyNumberFormat="1" applyFont="1" applyBorder="1" applyAlignment="1">
      <alignment horizontal="right" vertical="center" wrapText="1"/>
    </xf>
    <xf numFmtId="3" fontId="2" fillId="0" borderId="7" xfId="0" applyNumberFormat="1" applyFont="1" applyBorder="1" applyAlignment="1">
      <alignment horizontal="right" vertical="center" wrapText="1"/>
    </xf>
    <xf numFmtId="4" fontId="3" fillId="0" borderId="2"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0" fontId="3" fillId="5" borderId="14" xfId="0" applyFont="1" applyFill="1" applyBorder="1" applyAlignment="1">
      <alignment horizontal="center" wrapText="1"/>
    </xf>
    <xf numFmtId="0" fontId="3" fillId="5" borderId="9" xfId="0" applyFont="1" applyFill="1" applyBorder="1" applyAlignment="1">
      <alignment horizontal="center" wrapText="1"/>
    </xf>
    <xf numFmtId="0" fontId="2" fillId="5" borderId="7" xfId="0" applyFont="1" applyFill="1" applyBorder="1" applyAlignment="1">
      <alignment wrapText="1"/>
    </xf>
    <xf numFmtId="0" fontId="8" fillId="0" borderId="9" xfId="0" applyFont="1" applyBorder="1" applyAlignment="1">
      <alignment horizontal="left" wrapText="1"/>
    </xf>
    <xf numFmtId="37" fontId="7" fillId="0" borderId="14" xfId="0" applyNumberFormat="1" applyFont="1" applyBorder="1" applyAlignment="1" applyProtection="1">
      <alignment wrapText="1"/>
    </xf>
    <xf numFmtId="0" fontId="2" fillId="0" borderId="9" xfId="0" applyFont="1" applyBorder="1" applyAlignment="1">
      <alignment wrapText="1"/>
    </xf>
    <xf numFmtId="4" fontId="3" fillId="0" borderId="18" xfId="0" applyNumberFormat="1" applyFont="1" applyBorder="1" applyAlignment="1">
      <alignment horizontal="right" vertical="center" wrapText="1"/>
    </xf>
    <xf numFmtId="4" fontId="2" fillId="0" borderId="19" xfId="0" applyNumberFormat="1" applyFont="1" applyBorder="1" applyAlignment="1">
      <alignment horizontal="right" vertical="center" wrapText="1"/>
    </xf>
    <xf numFmtId="0" fontId="3" fillId="7" borderId="14"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2" fillId="6" borderId="7" xfId="0" applyFont="1" applyFill="1" applyBorder="1" applyAlignment="1">
      <alignment horizontal="center" vertical="center" wrapText="1"/>
    </xf>
  </cellXfs>
  <cellStyles count="3">
    <cellStyle name="Comma" xfId="1" builtinId="3"/>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8"/>
  <sheetViews>
    <sheetView tabSelected="1" zoomScale="80" zoomScaleNormal="80" workbookViewId="0">
      <selection activeCell="K64" sqref="K64"/>
    </sheetView>
  </sheetViews>
  <sheetFormatPr defaultRowHeight="12.75" x14ac:dyDescent="0.2"/>
  <cols>
    <col min="1" max="1" width="18.7109375" style="9" bestFit="1" customWidth="1"/>
    <col min="2" max="2" width="33.5703125" style="9" bestFit="1" customWidth="1"/>
    <col min="3" max="3" width="15.140625" style="9" bestFit="1" customWidth="1"/>
    <col min="4" max="4" width="14.140625" style="9" customWidth="1"/>
    <col min="5" max="5" width="17.7109375" style="9" customWidth="1"/>
    <col min="6" max="6" width="13.140625" style="9" bestFit="1" customWidth="1"/>
    <col min="7" max="7" width="16.28515625" style="9" customWidth="1"/>
    <col min="8" max="8" width="15.5703125" style="9" bestFit="1" customWidth="1"/>
    <col min="9" max="9" width="15.7109375" style="44" customWidth="1"/>
    <col min="10" max="10" width="14" style="9" bestFit="1" customWidth="1"/>
    <col min="11" max="11" width="57.42578125" style="9" customWidth="1"/>
    <col min="12" max="12" width="93.5703125" style="9" customWidth="1"/>
    <col min="13" max="13" width="16.85546875" style="9" customWidth="1"/>
    <col min="14" max="14" width="6" style="9" customWidth="1"/>
    <col min="15" max="15" width="12.85546875" style="9" bestFit="1" customWidth="1"/>
    <col min="16" max="16" width="9.140625" style="9"/>
    <col min="17" max="17" width="17.28515625" style="9" customWidth="1"/>
    <col min="18" max="18" width="16.42578125" style="9" customWidth="1"/>
    <col min="19" max="19" width="13.42578125" style="9" customWidth="1"/>
    <col min="20" max="20" width="14.140625" style="9" customWidth="1"/>
    <col min="21" max="16384" width="9.140625" style="9"/>
  </cols>
  <sheetData>
    <row r="1" spans="1:20" s="8" customFormat="1" ht="15" customHeight="1" thickBot="1" x14ac:dyDescent="0.25">
      <c r="A1" s="136" t="s">
        <v>142</v>
      </c>
      <c r="B1" s="137"/>
      <c r="C1" s="137"/>
      <c r="D1" s="137"/>
      <c r="E1" s="137"/>
      <c r="F1" s="137"/>
      <c r="G1" s="137"/>
      <c r="H1" s="137"/>
      <c r="I1" s="137"/>
      <c r="J1" s="137"/>
      <c r="K1" s="137"/>
    </row>
    <row r="2" spans="1:20" s="8" customFormat="1" ht="93.75" customHeight="1" thickBot="1" x14ac:dyDescent="0.25">
      <c r="A2" s="1" t="s">
        <v>75</v>
      </c>
      <c r="B2" s="2" t="s">
        <v>76</v>
      </c>
      <c r="C2" s="3" t="s">
        <v>67</v>
      </c>
      <c r="D2" s="4" t="s">
        <v>68</v>
      </c>
      <c r="E2" s="21" t="s">
        <v>69</v>
      </c>
      <c r="F2" s="5" t="s">
        <v>70</v>
      </c>
      <c r="G2" s="22" t="s">
        <v>71</v>
      </c>
      <c r="H2" s="6" t="s">
        <v>72</v>
      </c>
      <c r="I2" s="40" t="s">
        <v>73</v>
      </c>
      <c r="J2" s="7" t="s">
        <v>74</v>
      </c>
      <c r="K2" s="7" t="s">
        <v>102</v>
      </c>
      <c r="L2" s="18"/>
      <c r="M2" s="37"/>
      <c r="N2" s="36"/>
      <c r="P2" s="18"/>
      <c r="Q2" s="27"/>
      <c r="S2" s="27"/>
      <c r="T2" s="27"/>
    </row>
    <row r="3" spans="1:20" s="8" customFormat="1" ht="15" customHeight="1" x14ac:dyDescent="0.2">
      <c r="A3" s="132" t="s">
        <v>62</v>
      </c>
      <c r="B3" s="133"/>
      <c r="C3" s="133"/>
      <c r="D3" s="133"/>
      <c r="E3" s="133"/>
      <c r="F3" s="133"/>
      <c r="G3" s="133"/>
      <c r="H3" s="133"/>
      <c r="I3" s="133"/>
      <c r="J3" s="133"/>
      <c r="K3" s="138"/>
      <c r="Q3" s="55"/>
      <c r="R3" s="56"/>
      <c r="S3" s="57"/>
      <c r="T3" s="58"/>
    </row>
    <row r="4" spans="1:20" s="8" customFormat="1" ht="15" customHeight="1" thickBot="1" x14ac:dyDescent="0.25">
      <c r="A4" s="139" t="s">
        <v>56</v>
      </c>
      <c r="B4" s="140"/>
      <c r="C4" s="140"/>
      <c r="D4" s="140"/>
      <c r="E4" s="140"/>
      <c r="F4" s="140"/>
      <c r="G4" s="140"/>
      <c r="H4" s="140"/>
      <c r="I4" s="140"/>
      <c r="J4" s="140"/>
      <c r="K4" s="141"/>
      <c r="L4" s="59"/>
      <c r="Q4" s="55"/>
      <c r="R4" s="56"/>
      <c r="S4" s="57"/>
      <c r="T4" s="58"/>
    </row>
    <row r="5" spans="1:20" ht="15" x14ac:dyDescent="0.2">
      <c r="A5" s="71">
        <v>246.4</v>
      </c>
      <c r="B5" s="73" t="s">
        <v>0</v>
      </c>
      <c r="C5" s="47">
        <v>90</v>
      </c>
      <c r="D5" s="47">
        <v>1</v>
      </c>
      <c r="E5" s="50">
        <f>C5*D5</f>
        <v>90</v>
      </c>
      <c r="F5" s="53">
        <v>134.62</v>
      </c>
      <c r="G5" s="50">
        <f>E5*F5</f>
        <v>12115.800000000001</v>
      </c>
      <c r="H5" s="54">
        <f>G5</f>
        <v>12115.800000000001</v>
      </c>
      <c r="I5" s="33"/>
      <c r="J5" s="33">
        <f>H5-G5</f>
        <v>0</v>
      </c>
      <c r="K5" s="80" t="s">
        <v>93</v>
      </c>
      <c r="M5" s="44"/>
      <c r="Q5" s="55"/>
      <c r="R5" s="56"/>
      <c r="S5" s="58"/>
      <c r="T5" s="58"/>
    </row>
    <row r="6" spans="1:20" ht="15" x14ac:dyDescent="0.2">
      <c r="A6" s="71" t="s">
        <v>1</v>
      </c>
      <c r="B6" s="73" t="s">
        <v>2</v>
      </c>
      <c r="C6" s="47">
        <v>918.5</v>
      </c>
      <c r="D6" s="47">
        <v>1</v>
      </c>
      <c r="E6" s="50">
        <f t="shared" ref="E6:E32" si="0">C6*D6</f>
        <v>918.5</v>
      </c>
      <c r="F6" s="53">
        <v>2</v>
      </c>
      <c r="G6" s="50">
        <f t="shared" ref="G6:G32" si="1">E6*F6</f>
        <v>1837</v>
      </c>
      <c r="H6" s="54">
        <v>1839</v>
      </c>
      <c r="I6" s="33"/>
      <c r="J6" s="33">
        <f>G6-H6</f>
        <v>-2</v>
      </c>
      <c r="K6" s="81" t="s">
        <v>109</v>
      </c>
      <c r="M6" s="44"/>
      <c r="Q6" s="55"/>
      <c r="R6" s="56"/>
      <c r="S6" s="58"/>
      <c r="T6" s="58"/>
    </row>
    <row r="7" spans="1:20" ht="15" x14ac:dyDescent="0.2">
      <c r="A7" s="71">
        <v>246.6</v>
      </c>
      <c r="B7" s="73" t="s">
        <v>3</v>
      </c>
      <c r="C7" s="47">
        <v>918.5</v>
      </c>
      <c r="D7" s="47">
        <v>1</v>
      </c>
      <c r="E7" s="50">
        <f t="shared" si="0"/>
        <v>918.5</v>
      </c>
      <c r="F7" s="53">
        <v>1.5</v>
      </c>
      <c r="G7" s="50">
        <f t="shared" si="1"/>
        <v>1377.75</v>
      </c>
      <c r="H7" s="54">
        <v>1379.25</v>
      </c>
      <c r="I7" s="33"/>
      <c r="J7" s="33">
        <f>G7-H7</f>
        <v>-1.5</v>
      </c>
      <c r="K7" s="81" t="s">
        <v>109</v>
      </c>
      <c r="M7" s="44"/>
      <c r="Q7" s="55"/>
      <c r="R7" s="56"/>
      <c r="S7" s="58"/>
      <c r="T7" s="58"/>
    </row>
    <row r="8" spans="1:20" ht="15" x14ac:dyDescent="0.2">
      <c r="A8" s="71" t="s">
        <v>63</v>
      </c>
      <c r="B8" s="73" t="s">
        <v>4</v>
      </c>
      <c r="C8" s="47">
        <v>306</v>
      </c>
      <c r="D8" s="47">
        <v>1</v>
      </c>
      <c r="E8" s="50">
        <f t="shared" si="0"/>
        <v>306</v>
      </c>
      <c r="F8" s="53">
        <v>0.25</v>
      </c>
      <c r="G8" s="50">
        <f t="shared" si="1"/>
        <v>76.5</v>
      </c>
      <c r="H8" s="54">
        <v>76.63</v>
      </c>
      <c r="I8" s="33"/>
      <c r="J8" s="33">
        <f>G8-H8</f>
        <v>-0.12999999999999545</v>
      </c>
      <c r="K8" s="81" t="s">
        <v>109</v>
      </c>
      <c r="M8" s="44"/>
      <c r="Q8" s="55"/>
      <c r="R8" s="56"/>
      <c r="S8" s="58"/>
      <c r="T8" s="58"/>
    </row>
    <row r="9" spans="1:20" ht="15" hidden="1" x14ac:dyDescent="0.2">
      <c r="A9" s="88" t="s">
        <v>5</v>
      </c>
      <c r="B9" s="79" t="s">
        <v>88</v>
      </c>
      <c r="C9" s="24"/>
      <c r="D9" s="24"/>
      <c r="E9" s="50"/>
      <c r="F9" s="19"/>
      <c r="G9" s="50">
        <f>+G10+G11</f>
        <v>1640197.8250000002</v>
      </c>
      <c r="H9" s="12">
        <f>G9</f>
        <v>1640197.8250000002</v>
      </c>
      <c r="I9" s="33"/>
      <c r="J9" s="33">
        <f>H9-G9</f>
        <v>0</v>
      </c>
      <c r="K9" s="80" t="s">
        <v>93</v>
      </c>
      <c r="L9" s="30"/>
      <c r="M9" s="44"/>
      <c r="N9" s="44"/>
      <c r="O9" s="44"/>
      <c r="Q9" s="55"/>
      <c r="R9" s="56"/>
      <c r="S9" s="60"/>
      <c r="T9" s="58"/>
    </row>
    <row r="10" spans="1:20" ht="40.5" customHeight="1" x14ac:dyDescent="0.2">
      <c r="A10" s="71" t="s">
        <v>5</v>
      </c>
      <c r="B10" s="73" t="s">
        <v>85</v>
      </c>
      <c r="C10" s="47">
        <v>1837</v>
      </c>
      <c r="D10" s="47">
        <f>(2*1838023)/1837</f>
        <v>2001.1137724550899</v>
      </c>
      <c r="E10" s="50">
        <f t="shared" si="0"/>
        <v>3676046</v>
      </c>
      <c r="F10" s="53">
        <v>0.17</v>
      </c>
      <c r="G10" s="50">
        <f t="shared" si="1"/>
        <v>624927.82000000007</v>
      </c>
      <c r="H10" s="47">
        <v>712936.48</v>
      </c>
      <c r="I10" s="33"/>
      <c r="J10" s="33">
        <f>G10-H10</f>
        <v>-88008.659999999916</v>
      </c>
      <c r="K10" s="82" t="s">
        <v>141</v>
      </c>
      <c r="L10" s="31"/>
      <c r="M10" s="74"/>
      <c r="N10" s="61"/>
      <c r="O10" s="28"/>
      <c r="P10" s="61"/>
      <c r="Q10" s="55"/>
      <c r="R10" s="60"/>
      <c r="S10" s="58"/>
      <c r="T10" s="58"/>
    </row>
    <row r="11" spans="1:20" ht="99.75" customHeight="1" x14ac:dyDescent="0.2">
      <c r="A11" s="71" t="s">
        <v>5</v>
      </c>
      <c r="B11" s="73" t="s">
        <v>86</v>
      </c>
      <c r="C11" s="47">
        <v>1837</v>
      </c>
      <c r="D11" s="47">
        <f>(1.5*3981451)/1837</f>
        <v>3251.0487207403376</v>
      </c>
      <c r="E11" s="50">
        <f t="shared" si="0"/>
        <v>5972176.5</v>
      </c>
      <c r="F11" s="53">
        <v>0.17</v>
      </c>
      <c r="G11" s="50">
        <f t="shared" si="1"/>
        <v>1015270.0050000001</v>
      </c>
      <c r="H11" s="54">
        <v>536183.4</v>
      </c>
      <c r="I11" s="33"/>
      <c r="J11" s="33">
        <f>G11-H11</f>
        <v>479086.6050000001</v>
      </c>
      <c r="K11" s="83" t="s">
        <v>134</v>
      </c>
      <c r="L11" s="31"/>
      <c r="M11" s="74"/>
      <c r="O11" s="62"/>
      <c r="Q11" s="55"/>
      <c r="R11" s="58"/>
      <c r="S11" s="58"/>
      <c r="T11" s="58"/>
    </row>
    <row r="12" spans="1:20" ht="36" customHeight="1" x14ac:dyDescent="0.2">
      <c r="A12" s="71" t="s">
        <v>5</v>
      </c>
      <c r="B12" s="73" t="s">
        <v>6</v>
      </c>
      <c r="C12" s="47">
        <v>1837</v>
      </c>
      <c r="D12" s="47">
        <f>1*(1873845/1837)</f>
        <v>1020.0571584104518</v>
      </c>
      <c r="E12" s="50">
        <f t="shared" si="0"/>
        <v>1873845</v>
      </c>
      <c r="F12" s="53">
        <v>0.17</v>
      </c>
      <c r="G12" s="50">
        <f t="shared" si="1"/>
        <v>318553.65000000002</v>
      </c>
      <c r="H12" s="54">
        <v>809375.78</v>
      </c>
      <c r="I12" s="33"/>
      <c r="J12" s="33">
        <f>G12-H12</f>
        <v>-490822.13</v>
      </c>
      <c r="K12" s="81" t="s">
        <v>129</v>
      </c>
      <c r="L12" s="10"/>
      <c r="M12" s="74"/>
      <c r="O12" s="63"/>
      <c r="Q12" s="55"/>
      <c r="R12" s="56"/>
      <c r="S12" s="58"/>
      <c r="T12" s="58"/>
    </row>
    <row r="13" spans="1:20" ht="15" x14ac:dyDescent="0.2">
      <c r="A13" s="88" t="s">
        <v>43</v>
      </c>
      <c r="B13" s="79" t="s">
        <v>7</v>
      </c>
      <c r="C13" s="24">
        <v>4</v>
      </c>
      <c r="D13" s="24">
        <v>1</v>
      </c>
      <c r="E13" s="50">
        <f t="shared" si="0"/>
        <v>4</v>
      </c>
      <c r="F13" s="53">
        <v>0.09</v>
      </c>
      <c r="G13" s="50">
        <f t="shared" si="1"/>
        <v>0.36</v>
      </c>
      <c r="H13" s="12">
        <f>G13</f>
        <v>0.36</v>
      </c>
      <c r="I13" s="33"/>
      <c r="J13" s="33">
        <f>H13-G13</f>
        <v>0</v>
      </c>
      <c r="K13" s="80" t="s">
        <v>93</v>
      </c>
      <c r="M13" s="44"/>
      <c r="Q13" s="55"/>
      <c r="R13" s="56"/>
      <c r="S13" s="58"/>
      <c r="T13" s="58"/>
    </row>
    <row r="14" spans="1:20" ht="15" x14ac:dyDescent="0.2">
      <c r="A14" s="71" t="s">
        <v>8</v>
      </c>
      <c r="B14" s="73" t="s">
        <v>42</v>
      </c>
      <c r="C14" s="47">
        <v>1837</v>
      </c>
      <c r="D14" s="47">
        <f>((0.03*7693319)/1837)</f>
        <v>125.63939575394664</v>
      </c>
      <c r="E14" s="50">
        <f t="shared" si="0"/>
        <v>230799.56999999998</v>
      </c>
      <c r="F14" s="53">
        <v>0.09</v>
      </c>
      <c r="G14" s="50">
        <f t="shared" si="1"/>
        <v>20771.961299999999</v>
      </c>
      <c r="H14" s="54">
        <v>24193.58</v>
      </c>
      <c r="I14" s="33"/>
      <c r="J14" s="33">
        <f>G14-H14</f>
        <v>-3421.6187000000027</v>
      </c>
      <c r="K14" s="81" t="s">
        <v>110</v>
      </c>
      <c r="L14" s="31"/>
      <c r="M14" s="44"/>
    </row>
    <row r="15" spans="1:20" ht="15" x14ac:dyDescent="0.2">
      <c r="A15" s="71" t="s">
        <v>46</v>
      </c>
      <c r="B15" s="73" t="s">
        <v>89</v>
      </c>
      <c r="C15" s="47">
        <v>90</v>
      </c>
      <c r="D15" s="47">
        <v>1</v>
      </c>
      <c r="E15" s="50">
        <f t="shared" si="0"/>
        <v>90</v>
      </c>
      <c r="F15" s="53">
        <v>40</v>
      </c>
      <c r="G15" s="50">
        <f t="shared" si="1"/>
        <v>3600</v>
      </c>
      <c r="H15" s="54">
        <f>G15</f>
        <v>3600</v>
      </c>
      <c r="I15" s="67"/>
      <c r="J15" s="33">
        <f>H15-G15</f>
        <v>0</v>
      </c>
      <c r="K15" s="80" t="s">
        <v>93</v>
      </c>
      <c r="M15" s="44"/>
    </row>
    <row r="16" spans="1:20" ht="25.5" x14ac:dyDescent="0.2">
      <c r="A16" s="71" t="s">
        <v>107</v>
      </c>
      <c r="B16" s="73" t="s">
        <v>108</v>
      </c>
      <c r="C16" s="47">
        <v>54</v>
      </c>
      <c r="D16" s="47">
        <v>4</v>
      </c>
      <c r="E16" s="50">
        <f>C16*D16</f>
        <v>216</v>
      </c>
      <c r="F16" s="53">
        <v>8.3000000000000001E-3</v>
      </c>
      <c r="G16" s="50">
        <f t="shared" si="1"/>
        <v>1.7927999999999999</v>
      </c>
      <c r="H16" s="54">
        <v>0</v>
      </c>
      <c r="I16" s="49">
        <f>G16-H16</f>
        <v>1.7927999999999999</v>
      </c>
      <c r="J16" s="68"/>
      <c r="K16" s="84" t="s">
        <v>111</v>
      </c>
      <c r="L16" s="31"/>
      <c r="M16" s="44"/>
    </row>
    <row r="17" spans="1:13" ht="28.5" x14ac:dyDescent="0.2">
      <c r="A17" s="71" t="s">
        <v>81</v>
      </c>
      <c r="B17" s="73" t="s">
        <v>99</v>
      </c>
      <c r="C17" s="47">
        <v>1837</v>
      </c>
      <c r="D17" s="47">
        <f>(1873845*0.01)/1837</f>
        <v>10.200571584104519</v>
      </c>
      <c r="E17" s="50">
        <f t="shared" si="0"/>
        <v>18738.45</v>
      </c>
      <c r="F17" s="53">
        <v>0.03</v>
      </c>
      <c r="G17" s="50">
        <f t="shared" si="1"/>
        <v>562.15350000000001</v>
      </c>
      <c r="H17" s="54">
        <v>1428.31</v>
      </c>
      <c r="I17" s="66"/>
      <c r="J17" s="66">
        <f>G17-H17</f>
        <v>-866.15649999999994</v>
      </c>
      <c r="K17" s="82" t="s">
        <v>112</v>
      </c>
      <c r="M17" s="44"/>
    </row>
    <row r="18" spans="1:13" ht="15" x14ac:dyDescent="0.2">
      <c r="A18" s="71" t="s">
        <v>9</v>
      </c>
      <c r="B18" s="73" t="s">
        <v>10</v>
      </c>
      <c r="C18" s="47">
        <v>1837</v>
      </c>
      <c r="D18" s="47">
        <v>1</v>
      </c>
      <c r="E18" s="50">
        <f t="shared" si="0"/>
        <v>1837</v>
      </c>
      <c r="F18" s="53">
        <v>40</v>
      </c>
      <c r="G18" s="50">
        <f t="shared" si="1"/>
        <v>73480</v>
      </c>
      <c r="H18" s="54">
        <v>73560</v>
      </c>
      <c r="I18" s="65"/>
      <c r="J18" s="65">
        <f>G18-H18</f>
        <v>-80</v>
      </c>
      <c r="K18" s="81" t="s">
        <v>113</v>
      </c>
      <c r="L18" s="30"/>
      <c r="M18" s="44"/>
    </row>
    <row r="19" spans="1:13" ht="38.25" x14ac:dyDescent="0.2">
      <c r="A19" s="71" t="s">
        <v>54</v>
      </c>
      <c r="B19" s="73" t="s">
        <v>44</v>
      </c>
      <c r="C19" s="23">
        <v>90</v>
      </c>
      <c r="D19" s="24">
        <f>(2577)/90</f>
        <v>28.633333333333333</v>
      </c>
      <c r="E19" s="50">
        <f t="shared" si="0"/>
        <v>2577</v>
      </c>
      <c r="F19" s="53">
        <v>4</v>
      </c>
      <c r="G19" s="50">
        <f t="shared" si="1"/>
        <v>10308</v>
      </c>
      <c r="H19" s="12">
        <v>10600</v>
      </c>
      <c r="I19" s="33"/>
      <c r="J19" s="33">
        <f>G19-H19</f>
        <v>-292</v>
      </c>
      <c r="K19" s="82" t="s">
        <v>114</v>
      </c>
      <c r="L19" s="30"/>
      <c r="M19" s="44"/>
    </row>
    <row r="20" spans="1:13" ht="25.5" x14ac:dyDescent="0.2">
      <c r="A20" s="71" t="s">
        <v>55</v>
      </c>
      <c r="B20" s="73" t="s">
        <v>45</v>
      </c>
      <c r="C20" s="47">
        <v>75</v>
      </c>
      <c r="D20" s="47">
        <f>2*(44724/75)</f>
        <v>1192.6400000000001</v>
      </c>
      <c r="E20" s="47">
        <f t="shared" si="0"/>
        <v>89448.000000000015</v>
      </c>
      <c r="F20" s="53">
        <v>2</v>
      </c>
      <c r="G20" s="47">
        <f t="shared" si="1"/>
        <v>178896.00000000003</v>
      </c>
      <c r="H20" s="12">
        <v>194484</v>
      </c>
      <c r="I20" s="33"/>
      <c r="J20" s="33">
        <f>G20-H20</f>
        <v>-15587.999999999971</v>
      </c>
      <c r="K20" s="81" t="s">
        <v>115</v>
      </c>
      <c r="L20" s="30"/>
      <c r="M20" s="44"/>
    </row>
    <row r="21" spans="1:13" ht="15" x14ac:dyDescent="0.2">
      <c r="A21" s="71" t="s">
        <v>55</v>
      </c>
      <c r="B21" s="73" t="s">
        <v>66</v>
      </c>
      <c r="C21" s="24">
        <v>1</v>
      </c>
      <c r="D21" s="24">
        <v>1</v>
      </c>
      <c r="E21" s="50">
        <f t="shared" si="0"/>
        <v>1</v>
      </c>
      <c r="F21" s="53">
        <v>16</v>
      </c>
      <c r="G21" s="50">
        <f t="shared" si="1"/>
        <v>16</v>
      </c>
      <c r="H21" s="12">
        <f>G21</f>
        <v>16</v>
      </c>
      <c r="I21" s="33"/>
      <c r="J21" s="33">
        <f t="shared" ref="J21:J26" si="2">H21-G21</f>
        <v>0</v>
      </c>
      <c r="K21" s="80" t="s">
        <v>93</v>
      </c>
      <c r="M21" s="44"/>
    </row>
    <row r="22" spans="1:13" ht="15" x14ac:dyDescent="0.2">
      <c r="A22" s="71" t="s">
        <v>12</v>
      </c>
      <c r="B22" s="73" t="s">
        <v>13</v>
      </c>
      <c r="C22" s="47">
        <v>90</v>
      </c>
      <c r="D22" s="47">
        <v>1</v>
      </c>
      <c r="E22" s="50">
        <f t="shared" si="0"/>
        <v>90</v>
      </c>
      <c r="F22" s="53">
        <v>8</v>
      </c>
      <c r="G22" s="50">
        <f t="shared" si="1"/>
        <v>720</v>
      </c>
      <c r="H22" s="54">
        <f>G22</f>
        <v>720</v>
      </c>
      <c r="I22" s="33"/>
      <c r="J22" s="33">
        <f t="shared" si="2"/>
        <v>0</v>
      </c>
      <c r="K22" s="80" t="s">
        <v>93</v>
      </c>
      <c r="L22" s="30"/>
      <c r="M22" s="44"/>
    </row>
    <row r="23" spans="1:13" ht="25.5" x14ac:dyDescent="0.2">
      <c r="A23" s="71" t="s">
        <v>12</v>
      </c>
      <c r="B23" s="73" t="s">
        <v>14</v>
      </c>
      <c r="C23" s="25">
        <v>90</v>
      </c>
      <c r="D23" s="24">
        <f>(44724/90)</f>
        <v>496.93333333333334</v>
      </c>
      <c r="E23" s="50">
        <f t="shared" si="0"/>
        <v>44724</v>
      </c>
      <c r="F23" s="53">
        <v>2</v>
      </c>
      <c r="G23" s="50">
        <f t="shared" si="1"/>
        <v>89448</v>
      </c>
      <c r="H23" s="12">
        <v>97242</v>
      </c>
      <c r="I23" s="33"/>
      <c r="J23" s="33">
        <f>G23-H23</f>
        <v>-7794</v>
      </c>
      <c r="K23" s="81" t="s">
        <v>116</v>
      </c>
      <c r="L23" s="30"/>
      <c r="M23" s="44"/>
    </row>
    <row r="24" spans="1:13" ht="25.5" x14ac:dyDescent="0.2">
      <c r="A24" s="71" t="s">
        <v>15</v>
      </c>
      <c r="B24" s="73" t="s">
        <v>35</v>
      </c>
      <c r="C24" s="25">
        <v>90</v>
      </c>
      <c r="D24" s="24">
        <f>(44724*0.05)/90</f>
        <v>24.846666666666671</v>
      </c>
      <c r="E24" s="50">
        <f t="shared" si="0"/>
        <v>2236.2000000000003</v>
      </c>
      <c r="F24" s="53">
        <v>2</v>
      </c>
      <c r="G24" s="50">
        <f t="shared" si="1"/>
        <v>4472.4000000000005</v>
      </c>
      <c r="H24" s="12">
        <v>4862.1000000000004</v>
      </c>
      <c r="I24" s="33"/>
      <c r="J24" s="33">
        <f>G24-H24</f>
        <v>-389.69999999999982</v>
      </c>
      <c r="K24" s="81" t="s">
        <v>117</v>
      </c>
      <c r="M24" s="44"/>
    </row>
    <row r="25" spans="1:13" ht="15" x14ac:dyDescent="0.2">
      <c r="A25" s="71" t="s">
        <v>16</v>
      </c>
      <c r="B25" s="73" t="s">
        <v>17</v>
      </c>
      <c r="C25" s="23">
        <v>90</v>
      </c>
      <c r="D25" s="24">
        <f>10000/90</f>
        <v>111.11111111111111</v>
      </c>
      <c r="E25" s="50">
        <f t="shared" si="0"/>
        <v>10000</v>
      </c>
      <c r="F25" s="53">
        <v>1</v>
      </c>
      <c r="G25" s="50">
        <f t="shared" si="1"/>
        <v>10000</v>
      </c>
      <c r="H25" s="12">
        <f>G25</f>
        <v>10000</v>
      </c>
      <c r="I25" s="33"/>
      <c r="J25" s="33">
        <f t="shared" si="2"/>
        <v>0</v>
      </c>
      <c r="K25" s="80" t="s">
        <v>93</v>
      </c>
      <c r="M25" s="44"/>
    </row>
    <row r="26" spans="1:13" ht="15" x14ac:dyDescent="0.2">
      <c r="A26" s="71" t="s">
        <v>31</v>
      </c>
      <c r="B26" s="73" t="s">
        <v>34</v>
      </c>
      <c r="C26" s="23">
        <v>90</v>
      </c>
      <c r="D26" s="24">
        <v>1</v>
      </c>
      <c r="E26" s="50">
        <f t="shared" si="0"/>
        <v>90</v>
      </c>
      <c r="F26" s="53">
        <v>40</v>
      </c>
      <c r="G26" s="50">
        <f t="shared" si="1"/>
        <v>3600</v>
      </c>
      <c r="H26" s="12">
        <f>G26</f>
        <v>3600</v>
      </c>
      <c r="I26" s="33"/>
      <c r="J26" s="33">
        <f t="shared" si="2"/>
        <v>0</v>
      </c>
      <c r="K26" s="80" t="s">
        <v>93</v>
      </c>
      <c r="M26" s="44"/>
    </row>
    <row r="27" spans="1:13" ht="38.25" x14ac:dyDescent="0.2">
      <c r="A27" s="71" t="s">
        <v>90</v>
      </c>
      <c r="B27" s="73" t="s">
        <v>18</v>
      </c>
      <c r="C27" s="47">
        <v>70</v>
      </c>
      <c r="D27" s="47">
        <v>1</v>
      </c>
      <c r="E27" s="50">
        <f t="shared" si="0"/>
        <v>70</v>
      </c>
      <c r="F27" s="53">
        <v>160</v>
      </c>
      <c r="G27" s="50">
        <f t="shared" si="1"/>
        <v>11200</v>
      </c>
      <c r="H27" s="54">
        <v>2400</v>
      </c>
      <c r="I27" s="33">
        <f>G27-H27</f>
        <v>8800</v>
      </c>
      <c r="J27" s="69"/>
      <c r="K27" s="85" t="s">
        <v>125</v>
      </c>
      <c r="L27" s="30"/>
      <c r="M27" s="44"/>
    </row>
    <row r="28" spans="1:13" ht="15" x14ac:dyDescent="0.2">
      <c r="A28" s="71" t="s">
        <v>19</v>
      </c>
      <c r="B28" s="73" t="s">
        <v>20</v>
      </c>
      <c r="C28" s="47">
        <v>90</v>
      </c>
      <c r="D28" s="47">
        <f>(1837*4)/90</f>
        <v>81.644444444444446</v>
      </c>
      <c r="E28" s="50">
        <f t="shared" si="0"/>
        <v>7348</v>
      </c>
      <c r="F28" s="53">
        <v>2</v>
      </c>
      <c r="G28" s="50">
        <f t="shared" si="1"/>
        <v>14696</v>
      </c>
      <c r="H28" s="54">
        <v>14712</v>
      </c>
      <c r="I28" s="33"/>
      <c r="J28" s="33">
        <f>G28-H28</f>
        <v>-16</v>
      </c>
      <c r="K28" s="86" t="s">
        <v>109</v>
      </c>
      <c r="M28" s="44"/>
    </row>
    <row r="29" spans="1:13" ht="15" x14ac:dyDescent="0.2">
      <c r="A29" s="71" t="s">
        <v>21</v>
      </c>
      <c r="B29" s="73" t="s">
        <v>22</v>
      </c>
      <c r="C29" s="47">
        <v>90</v>
      </c>
      <c r="D29" s="47">
        <f>(10/90)</f>
        <v>0.1111111111111111</v>
      </c>
      <c r="E29" s="50">
        <f t="shared" si="0"/>
        <v>10</v>
      </c>
      <c r="F29" s="53">
        <v>8</v>
      </c>
      <c r="G29" s="50">
        <f t="shared" si="1"/>
        <v>80</v>
      </c>
      <c r="H29" s="54">
        <f>G29</f>
        <v>80</v>
      </c>
      <c r="I29" s="33"/>
      <c r="J29" s="33">
        <f>H29-G29</f>
        <v>0</v>
      </c>
      <c r="K29" s="80" t="s">
        <v>93</v>
      </c>
      <c r="M29" s="44"/>
    </row>
    <row r="30" spans="1:13" ht="15" x14ac:dyDescent="0.2">
      <c r="A30" s="71" t="s">
        <v>84</v>
      </c>
      <c r="B30" s="73" t="s">
        <v>23</v>
      </c>
      <c r="C30" s="47">
        <f>90*0.25</f>
        <v>22.5</v>
      </c>
      <c r="D30" s="47">
        <v>1</v>
      </c>
      <c r="E30" s="50">
        <f t="shared" si="0"/>
        <v>22.5</v>
      </c>
      <c r="F30" s="53">
        <v>40</v>
      </c>
      <c r="G30" s="50">
        <f t="shared" si="1"/>
        <v>900</v>
      </c>
      <c r="H30" s="54">
        <f>G30</f>
        <v>900</v>
      </c>
      <c r="I30" s="33"/>
      <c r="J30" s="33">
        <f>H30-G30</f>
        <v>0</v>
      </c>
      <c r="K30" s="80" t="s">
        <v>93</v>
      </c>
      <c r="M30" s="44"/>
    </row>
    <row r="31" spans="1:13" ht="15" x14ac:dyDescent="0.2">
      <c r="A31" s="71" t="s">
        <v>32</v>
      </c>
      <c r="B31" s="73" t="s">
        <v>33</v>
      </c>
      <c r="C31" s="47">
        <v>90</v>
      </c>
      <c r="D31" s="47">
        <f>(1837/90)*0.5*0.25</f>
        <v>2.5513888888888889</v>
      </c>
      <c r="E31" s="50">
        <f t="shared" si="0"/>
        <v>229.625</v>
      </c>
      <c r="F31" s="53">
        <v>2</v>
      </c>
      <c r="G31" s="50">
        <f t="shared" si="1"/>
        <v>459.25</v>
      </c>
      <c r="H31" s="54">
        <v>459.75</v>
      </c>
      <c r="I31" s="33"/>
      <c r="J31" s="33">
        <f>G31-H31</f>
        <v>-0.5</v>
      </c>
      <c r="K31" s="81" t="s">
        <v>109</v>
      </c>
      <c r="M31" s="44"/>
    </row>
    <row r="32" spans="1:13" ht="15.75" thickBot="1" x14ac:dyDescent="0.25">
      <c r="A32" s="89" t="s">
        <v>24</v>
      </c>
      <c r="B32" s="73" t="s">
        <v>25</v>
      </c>
      <c r="C32" s="47">
        <v>1</v>
      </c>
      <c r="D32" s="47">
        <v>1</v>
      </c>
      <c r="E32" s="50">
        <f t="shared" si="0"/>
        <v>1</v>
      </c>
      <c r="F32" s="53">
        <v>40</v>
      </c>
      <c r="G32" s="50">
        <f t="shared" si="1"/>
        <v>40</v>
      </c>
      <c r="H32" s="54">
        <v>160</v>
      </c>
      <c r="I32" s="33"/>
      <c r="J32" s="33">
        <f>G32-H32</f>
        <v>-120</v>
      </c>
      <c r="K32" s="87" t="s">
        <v>126</v>
      </c>
    </row>
    <row r="33" spans="1:13" ht="15.75" customHeight="1" thickBot="1" x14ac:dyDescent="0.25">
      <c r="A33" s="128" t="s">
        <v>77</v>
      </c>
      <c r="B33" s="129"/>
      <c r="C33" s="11">
        <f>C5+1837</f>
        <v>1927</v>
      </c>
      <c r="D33" s="11">
        <f>+E33/C33</f>
        <v>6192.4405007784117</v>
      </c>
      <c r="E33" s="11">
        <f>SUM(E5:E32)</f>
        <v>11932832.844999999</v>
      </c>
      <c r="F33" s="41">
        <f>+G33/E33</f>
        <v>0.20090874260461503</v>
      </c>
      <c r="G33" s="11">
        <f>SUM(G5:G8,G10:G32)</f>
        <v>2397410.4426000006</v>
      </c>
      <c r="H33" s="11">
        <f>SUM(H5:H8,H10:H32)</f>
        <v>2516924.4400000004</v>
      </c>
      <c r="I33" s="41">
        <f>SUM(I5:I32)</f>
        <v>8801.7927999999993</v>
      </c>
      <c r="J33" s="11">
        <f>SUM(J5:J32)</f>
        <v>-128315.7901999998</v>
      </c>
      <c r="K33" s="90"/>
    </row>
    <row r="34" spans="1:13" ht="15.75" hidden="1" thickBot="1" x14ac:dyDescent="0.25">
      <c r="A34" s="142" t="s">
        <v>100</v>
      </c>
      <c r="B34" s="143"/>
      <c r="C34" s="143"/>
      <c r="D34" s="143"/>
      <c r="E34" s="143"/>
      <c r="F34" s="143"/>
      <c r="G34" s="143"/>
      <c r="H34" s="143"/>
      <c r="I34" s="143"/>
      <c r="J34" s="143"/>
      <c r="K34" s="144"/>
    </row>
    <row r="35" spans="1:13" ht="42" customHeight="1" x14ac:dyDescent="0.2">
      <c r="A35" s="88" t="s">
        <v>5</v>
      </c>
      <c r="B35" s="73" t="s">
        <v>85</v>
      </c>
      <c r="C35" s="47">
        <v>1838023</v>
      </c>
      <c r="D35" s="47">
        <v>2</v>
      </c>
      <c r="E35" s="50">
        <f>C35*D35</f>
        <v>3676046</v>
      </c>
      <c r="F35" s="47">
        <v>0.05</v>
      </c>
      <c r="G35" s="50">
        <f>E35*F35</f>
        <v>183802.30000000002</v>
      </c>
      <c r="H35" s="77">
        <v>209687.2</v>
      </c>
      <c r="I35" s="34"/>
      <c r="J35" s="33">
        <f>G35-H35</f>
        <v>-25884.899999999994</v>
      </c>
      <c r="K35" s="82" t="s">
        <v>130</v>
      </c>
      <c r="L35" s="10"/>
      <c r="M35" s="31"/>
    </row>
    <row r="36" spans="1:13" ht="87" customHeight="1" x14ac:dyDescent="0.2">
      <c r="A36" s="88" t="s">
        <v>5</v>
      </c>
      <c r="B36" s="73" t="s">
        <v>87</v>
      </c>
      <c r="C36" s="46">
        <v>3981451</v>
      </c>
      <c r="D36" s="47">
        <v>1.5</v>
      </c>
      <c r="E36" s="50">
        <f>C36*D36</f>
        <v>5972176.5</v>
      </c>
      <c r="F36" s="47">
        <v>0.05</v>
      </c>
      <c r="G36" s="50">
        <f>E36*F36</f>
        <v>298608.82500000001</v>
      </c>
      <c r="H36" s="54">
        <v>157701</v>
      </c>
      <c r="I36" s="35"/>
      <c r="J36" s="33">
        <f>G36-H36</f>
        <v>140907.82500000001</v>
      </c>
      <c r="K36" s="81" t="s">
        <v>135</v>
      </c>
      <c r="L36" s="10"/>
      <c r="M36" s="74"/>
    </row>
    <row r="37" spans="1:13" ht="15" x14ac:dyDescent="0.2">
      <c r="A37" s="88" t="s">
        <v>5</v>
      </c>
      <c r="B37" s="73" t="s">
        <v>6</v>
      </c>
      <c r="C37" s="46">
        <v>1873845</v>
      </c>
      <c r="D37" s="47">
        <v>1</v>
      </c>
      <c r="E37" s="50">
        <f>C37*D37</f>
        <v>1873845</v>
      </c>
      <c r="F37" s="47">
        <v>0.05</v>
      </c>
      <c r="G37" s="50">
        <f>E37*F37</f>
        <v>93692.25</v>
      </c>
      <c r="H37" s="54">
        <v>238051.7</v>
      </c>
      <c r="I37" s="35"/>
      <c r="J37" s="33">
        <f>G37-H37</f>
        <v>-144359.45000000001</v>
      </c>
      <c r="K37" s="81" t="s">
        <v>131</v>
      </c>
      <c r="L37" s="10"/>
      <c r="M37" s="31"/>
    </row>
    <row r="38" spans="1:13" ht="28.5" x14ac:dyDescent="0.2">
      <c r="A38" s="88" t="s">
        <v>81</v>
      </c>
      <c r="B38" s="73" t="s">
        <v>99</v>
      </c>
      <c r="C38" s="46">
        <f>1873845*0.01</f>
        <v>18738.45</v>
      </c>
      <c r="D38" s="47">
        <v>1</v>
      </c>
      <c r="E38" s="50">
        <f>C38*D38</f>
        <v>18738.45</v>
      </c>
      <c r="F38" s="47">
        <v>0.03</v>
      </c>
      <c r="G38" s="50">
        <f>E38*F38</f>
        <v>562.15350000000001</v>
      </c>
      <c r="H38" s="54">
        <v>1428.31</v>
      </c>
      <c r="I38" s="67"/>
      <c r="J38" s="33">
        <f>G38-H38</f>
        <v>-866.15649999999994</v>
      </c>
      <c r="K38" s="82" t="s">
        <v>118</v>
      </c>
    </row>
    <row r="39" spans="1:13" ht="40.5" customHeight="1" thickBot="1" x14ac:dyDescent="0.25">
      <c r="A39" s="71" t="s">
        <v>81</v>
      </c>
      <c r="B39" s="73" t="s">
        <v>82</v>
      </c>
      <c r="C39" s="46">
        <f>(7693319*0.01)+(1838023*0.01)+(3981451*0.01)</f>
        <v>135127.93</v>
      </c>
      <c r="D39" s="47">
        <v>2</v>
      </c>
      <c r="E39" s="50">
        <f>C39*D39</f>
        <v>270255.86</v>
      </c>
      <c r="F39" s="47">
        <v>0.05</v>
      </c>
      <c r="G39" s="51">
        <f>E39*F39</f>
        <v>13512.793</v>
      </c>
      <c r="H39" s="78">
        <v>8960.59</v>
      </c>
      <c r="I39" s="48"/>
      <c r="J39" s="33">
        <f>G39-H39</f>
        <v>4552.2029999999995</v>
      </c>
      <c r="K39" s="106" t="s">
        <v>132</v>
      </c>
      <c r="L39" s="31"/>
      <c r="M39" s="31"/>
    </row>
    <row r="40" spans="1:13" ht="15.75" thickBot="1" x14ac:dyDescent="0.25">
      <c r="A40" s="128" t="s">
        <v>78</v>
      </c>
      <c r="B40" s="131"/>
      <c r="C40" s="15">
        <f>C35+C36+C37</f>
        <v>7693319</v>
      </c>
      <c r="D40" s="45">
        <f>+E40/C40</f>
        <v>1.5352361977970754</v>
      </c>
      <c r="E40" s="11">
        <f>SUM(E35:E39)</f>
        <v>11811061.809999999</v>
      </c>
      <c r="F40" s="41">
        <f>+G40/E40</f>
        <v>4.9968269660592014E-2</v>
      </c>
      <c r="G40" s="11">
        <f>SUM(G35:G39)</f>
        <v>590178.32149999996</v>
      </c>
      <c r="H40" s="11">
        <f>SUM(H35:H39)</f>
        <v>615828.80000000005</v>
      </c>
      <c r="I40" s="41">
        <f>SUM(I35:I39)</f>
        <v>0</v>
      </c>
      <c r="J40" s="11">
        <f>SUM(J35:J39)</f>
        <v>-25650.478499999997</v>
      </c>
      <c r="K40" s="90"/>
    </row>
    <row r="41" spans="1:13" ht="15.75" customHeight="1" thickBot="1" x14ac:dyDescent="0.25">
      <c r="A41" s="145" t="s">
        <v>101</v>
      </c>
      <c r="B41" s="146"/>
      <c r="C41" s="146"/>
      <c r="D41" s="146"/>
      <c r="E41" s="146"/>
      <c r="F41" s="146"/>
      <c r="G41" s="146"/>
      <c r="H41" s="146"/>
      <c r="I41" s="146"/>
      <c r="J41" s="146"/>
      <c r="K41" s="147"/>
    </row>
    <row r="42" spans="1:13" ht="38.25" x14ac:dyDescent="0.2">
      <c r="A42" s="71" t="s">
        <v>54</v>
      </c>
      <c r="B42" s="73" t="s">
        <v>83</v>
      </c>
      <c r="C42" s="24">
        <v>2577</v>
      </c>
      <c r="D42" s="24">
        <v>1</v>
      </c>
      <c r="E42" s="50">
        <f>C42*D42</f>
        <v>2577</v>
      </c>
      <c r="F42" s="19">
        <v>2</v>
      </c>
      <c r="G42" s="50">
        <f>E42*F42</f>
        <v>5154</v>
      </c>
      <c r="H42" s="12">
        <v>5300</v>
      </c>
      <c r="I42" s="33"/>
      <c r="J42" s="33">
        <f>G42-H42</f>
        <v>-146</v>
      </c>
      <c r="K42" s="91" t="s">
        <v>114</v>
      </c>
      <c r="L42" s="30"/>
    </row>
    <row r="43" spans="1:13" ht="15" x14ac:dyDescent="0.2">
      <c r="A43" s="71" t="s">
        <v>55</v>
      </c>
      <c r="B43" s="70" t="s">
        <v>45</v>
      </c>
      <c r="C43" s="24">
        <f>(75/90)*44724</f>
        <v>37270</v>
      </c>
      <c r="D43" s="24">
        <v>2</v>
      </c>
      <c r="E43" s="50">
        <f>C43*D43</f>
        <v>74540</v>
      </c>
      <c r="F43" s="19">
        <v>2</v>
      </c>
      <c r="G43" s="50">
        <f>E43*F43</f>
        <v>149080</v>
      </c>
      <c r="H43" s="12">
        <v>162070</v>
      </c>
      <c r="I43" s="33"/>
      <c r="J43" s="33">
        <f>G43-H43</f>
        <v>-12990</v>
      </c>
      <c r="K43" s="81" t="s">
        <v>119</v>
      </c>
    </row>
    <row r="44" spans="1:13" ht="28.5" x14ac:dyDescent="0.2">
      <c r="A44" s="71" t="s">
        <v>11</v>
      </c>
      <c r="B44" s="73" t="s">
        <v>104</v>
      </c>
      <c r="C44" s="24">
        <f>44724*0.5</f>
        <v>22362</v>
      </c>
      <c r="D44" s="24">
        <v>1</v>
      </c>
      <c r="E44" s="50">
        <f>C44*D44</f>
        <v>22362</v>
      </c>
      <c r="F44" s="19">
        <v>1</v>
      </c>
      <c r="G44" s="50">
        <f>E44*F44</f>
        <v>22362</v>
      </c>
      <c r="H44" s="12">
        <v>24310.5</v>
      </c>
      <c r="I44" s="33"/>
      <c r="J44" s="33">
        <f>G44-H44</f>
        <v>-1948.5</v>
      </c>
      <c r="K44" s="81" t="s">
        <v>120</v>
      </c>
    </row>
    <row r="45" spans="1:13" ht="41.25" customHeight="1" thickBot="1" x14ac:dyDescent="0.25">
      <c r="A45" s="92" t="s">
        <v>91</v>
      </c>
      <c r="B45" s="79" t="s">
        <v>58</v>
      </c>
      <c r="C45" s="24">
        <f>(4/12)*2577</f>
        <v>859</v>
      </c>
      <c r="D45" s="24">
        <v>1</v>
      </c>
      <c r="E45" s="50">
        <f>C45*D45</f>
        <v>859</v>
      </c>
      <c r="F45" s="19">
        <v>1</v>
      </c>
      <c r="G45" s="50">
        <f>E45*F45</f>
        <v>859</v>
      </c>
      <c r="H45" s="12">
        <v>306</v>
      </c>
      <c r="I45" s="33"/>
      <c r="J45" s="33">
        <f>G45-H45</f>
        <v>553</v>
      </c>
      <c r="K45" s="93" t="s">
        <v>121</v>
      </c>
      <c r="L45" s="30"/>
    </row>
    <row r="46" spans="1:13" ht="34.5" customHeight="1" thickBot="1" x14ac:dyDescent="0.25">
      <c r="A46" s="128" t="s">
        <v>128</v>
      </c>
      <c r="B46" s="129"/>
      <c r="C46" s="11">
        <v>44724</v>
      </c>
      <c r="D46" s="41">
        <f>+E46/C46</f>
        <v>2.2434934263482695</v>
      </c>
      <c r="E46" s="11">
        <f>SUM(E42:E45)</f>
        <v>100338</v>
      </c>
      <c r="F46" s="41">
        <f>+G46/E46</f>
        <v>1.7685722258765373</v>
      </c>
      <c r="G46" s="11">
        <f>SUM(G42:G45)</f>
        <v>177455</v>
      </c>
      <c r="H46" s="11">
        <f>SUM(H42:H45)</f>
        <v>191986.5</v>
      </c>
      <c r="I46" s="41">
        <f>SUM(I42:I45)</f>
        <v>0</v>
      </c>
      <c r="J46" s="11">
        <f>SUM(J42:J45)</f>
        <v>-14531.5</v>
      </c>
      <c r="K46" s="94"/>
      <c r="M46" s="74"/>
    </row>
    <row r="47" spans="1:13" s="10" customFormat="1" ht="15.75" thickBot="1" x14ac:dyDescent="0.25">
      <c r="A47" s="128" t="s">
        <v>137</v>
      </c>
      <c r="B47" s="130"/>
      <c r="C47" s="13">
        <f>SUM(C33,C40,C46)</f>
        <v>7739970</v>
      </c>
      <c r="D47" s="41">
        <f>+E47/C47</f>
        <v>3.080662154375275</v>
      </c>
      <c r="E47" s="13">
        <f>SUM(E33,E40,E46)</f>
        <v>23844232.654999997</v>
      </c>
      <c r="F47" s="42">
        <f>+G47/E47</f>
        <v>0.13273830388231464</v>
      </c>
      <c r="G47" s="13">
        <v>3165043</v>
      </c>
      <c r="H47" s="14">
        <f>SUM(H33,H40,H46)</f>
        <v>3324739.74</v>
      </c>
      <c r="I47" s="42">
        <f>SUM(I33,I40,I46)</f>
        <v>8801.7927999999993</v>
      </c>
      <c r="J47" s="13">
        <f>SUM(J33,J40,J46)</f>
        <v>-168497.76869999978</v>
      </c>
      <c r="K47" s="95"/>
    </row>
    <row r="48" spans="1:13" s="10" customFormat="1" ht="15.75" customHeight="1" x14ac:dyDescent="0.2">
      <c r="A48" s="132" t="s">
        <v>64</v>
      </c>
      <c r="B48" s="133"/>
      <c r="C48" s="133"/>
      <c r="D48" s="133"/>
      <c r="E48" s="133"/>
      <c r="F48" s="133"/>
      <c r="G48" s="133"/>
      <c r="H48" s="133"/>
      <c r="I48" s="133"/>
      <c r="J48" s="133"/>
      <c r="K48" s="133"/>
    </row>
    <row r="49" spans="1:13" ht="15" customHeight="1" x14ac:dyDescent="0.2">
      <c r="A49" s="134" t="s">
        <v>56</v>
      </c>
      <c r="B49" s="135"/>
      <c r="C49" s="135"/>
      <c r="D49" s="135"/>
      <c r="E49" s="135"/>
      <c r="F49" s="135"/>
      <c r="G49" s="135"/>
      <c r="H49" s="135"/>
      <c r="I49" s="135"/>
      <c r="J49" s="135"/>
      <c r="K49" s="135"/>
    </row>
    <row r="50" spans="1:13" s="64" customFormat="1" ht="15" x14ac:dyDescent="0.2">
      <c r="A50" s="92" t="s">
        <v>81</v>
      </c>
      <c r="B50" s="70" t="s">
        <v>82</v>
      </c>
      <c r="C50" s="24">
        <v>10000</v>
      </c>
      <c r="D50" s="24">
        <v>2</v>
      </c>
      <c r="E50" s="50">
        <f>C50*D50</f>
        <v>20000</v>
      </c>
      <c r="F50" s="20">
        <v>1.6E-2</v>
      </c>
      <c r="G50" s="50">
        <f>E50*F50</f>
        <v>320</v>
      </c>
      <c r="H50" s="26">
        <f>G50</f>
        <v>320</v>
      </c>
      <c r="I50" s="33"/>
      <c r="J50" s="33">
        <f>H50-G50</f>
        <v>0</v>
      </c>
      <c r="K50" s="80" t="s">
        <v>93</v>
      </c>
    </row>
    <row r="51" spans="1:13" s="10" customFormat="1" ht="15" x14ac:dyDescent="0.2">
      <c r="A51" s="92" t="s">
        <v>105</v>
      </c>
      <c r="B51" s="79" t="s">
        <v>61</v>
      </c>
      <c r="C51" s="24">
        <v>90</v>
      </c>
      <c r="D51" s="23">
        <v>1</v>
      </c>
      <c r="E51" s="50">
        <f>C51*D51</f>
        <v>90</v>
      </c>
      <c r="F51" s="19">
        <v>50</v>
      </c>
      <c r="G51" s="50">
        <f>E51*F51</f>
        <v>4500</v>
      </c>
      <c r="H51" s="26">
        <f t="shared" ref="H51:H58" si="3">G51</f>
        <v>4500</v>
      </c>
      <c r="I51" s="33"/>
      <c r="J51" s="33">
        <f t="shared" ref="J51:J58" si="4">H51-G51</f>
        <v>0</v>
      </c>
      <c r="K51" s="80" t="s">
        <v>93</v>
      </c>
    </row>
    <row r="52" spans="1:13" s="10" customFormat="1" ht="33" customHeight="1" x14ac:dyDescent="0.2">
      <c r="A52" s="96" t="s">
        <v>65</v>
      </c>
      <c r="B52" s="79" t="s">
        <v>57</v>
      </c>
      <c r="C52" s="24">
        <f>44724*0.5</f>
        <v>22362</v>
      </c>
      <c r="D52" s="24">
        <v>1</v>
      </c>
      <c r="E52" s="50">
        <f t="shared" ref="E52:E62" si="5">C52*D52</f>
        <v>22362</v>
      </c>
      <c r="F52" s="19">
        <v>1</v>
      </c>
      <c r="G52" s="50">
        <f t="shared" ref="G52:G62" si="6">E52*F52</f>
        <v>22362</v>
      </c>
      <c r="H52" s="26">
        <v>24310.5</v>
      </c>
      <c r="I52" s="69"/>
      <c r="J52" s="33">
        <f>G52-H52</f>
        <v>-1948.5</v>
      </c>
      <c r="K52" s="97" t="s">
        <v>122</v>
      </c>
    </row>
    <row r="53" spans="1:13" s="10" customFormat="1" ht="25.5" x14ac:dyDescent="0.2">
      <c r="A53" s="96" t="s">
        <v>91</v>
      </c>
      <c r="B53" s="73" t="s">
        <v>58</v>
      </c>
      <c r="C53" s="24">
        <f>(4/12)*2577</f>
        <v>859</v>
      </c>
      <c r="D53" s="24">
        <v>1</v>
      </c>
      <c r="E53" s="50">
        <f t="shared" si="5"/>
        <v>859</v>
      </c>
      <c r="F53" s="19">
        <v>1</v>
      </c>
      <c r="G53" s="50">
        <f t="shared" si="6"/>
        <v>859</v>
      </c>
      <c r="H53" s="26">
        <v>306</v>
      </c>
      <c r="I53" s="69"/>
      <c r="J53" s="33">
        <f>G53-H53</f>
        <v>553</v>
      </c>
      <c r="K53" s="98" t="s">
        <v>121</v>
      </c>
      <c r="L53" s="30"/>
    </row>
    <row r="54" spans="1:13" s="10" customFormat="1" ht="15" x14ac:dyDescent="0.2">
      <c r="A54" s="88" t="s">
        <v>26</v>
      </c>
      <c r="B54" s="79" t="s">
        <v>40</v>
      </c>
      <c r="C54" s="24">
        <v>90</v>
      </c>
      <c r="D54" s="23">
        <v>1</v>
      </c>
      <c r="E54" s="50">
        <f t="shared" si="5"/>
        <v>90</v>
      </c>
      <c r="F54" s="19">
        <v>2</v>
      </c>
      <c r="G54" s="50">
        <f t="shared" si="6"/>
        <v>180</v>
      </c>
      <c r="H54" s="26">
        <f t="shared" si="3"/>
        <v>180</v>
      </c>
      <c r="I54" s="33"/>
      <c r="J54" s="33">
        <f t="shared" si="4"/>
        <v>0</v>
      </c>
      <c r="K54" s="80" t="s">
        <v>93</v>
      </c>
    </row>
    <row r="55" spans="1:13" s="10" customFormat="1" ht="25.5" x14ac:dyDescent="0.2">
      <c r="A55" s="71" t="s">
        <v>36</v>
      </c>
      <c r="B55" s="73" t="s">
        <v>38</v>
      </c>
      <c r="C55" s="24">
        <v>90</v>
      </c>
      <c r="D55" s="24">
        <f>(44724/90)*0.05</f>
        <v>24.846666666666668</v>
      </c>
      <c r="E55" s="50">
        <f t="shared" si="5"/>
        <v>2236.2000000000003</v>
      </c>
      <c r="F55" s="19">
        <v>1</v>
      </c>
      <c r="G55" s="50">
        <f t="shared" si="6"/>
        <v>2236.2000000000003</v>
      </c>
      <c r="H55" s="26">
        <v>2431.0500000000002</v>
      </c>
      <c r="I55" s="33"/>
      <c r="J55" s="33">
        <f>G55-H55</f>
        <v>-194.84999999999991</v>
      </c>
      <c r="K55" s="99" t="s">
        <v>123</v>
      </c>
    </row>
    <row r="56" spans="1:13" s="10" customFormat="1" ht="25.5" x14ac:dyDescent="0.2">
      <c r="A56" s="88" t="s">
        <v>92</v>
      </c>
      <c r="B56" s="79" t="s">
        <v>106</v>
      </c>
      <c r="C56" s="24">
        <v>90</v>
      </c>
      <c r="D56" s="24">
        <f>(44724/90)*0.05</f>
        <v>24.846666666666668</v>
      </c>
      <c r="E56" s="50">
        <f t="shared" si="5"/>
        <v>2236.2000000000003</v>
      </c>
      <c r="F56" s="19">
        <v>2</v>
      </c>
      <c r="G56" s="50">
        <f t="shared" si="6"/>
        <v>4472.4000000000005</v>
      </c>
      <c r="H56" s="26">
        <v>4862.1000000000004</v>
      </c>
      <c r="I56" s="33"/>
      <c r="J56" s="33">
        <f>G56-H56</f>
        <v>-389.69999999999982</v>
      </c>
      <c r="K56" s="99" t="s">
        <v>124</v>
      </c>
    </row>
    <row r="57" spans="1:13" s="10" customFormat="1" ht="15" x14ac:dyDescent="0.2">
      <c r="A57" s="71" t="s">
        <v>59</v>
      </c>
      <c r="B57" s="79" t="s">
        <v>60</v>
      </c>
      <c r="C57" s="24">
        <v>90</v>
      </c>
      <c r="D57" s="24">
        <f>2300/90</f>
        <v>25.555555555555557</v>
      </c>
      <c r="E57" s="50">
        <f>C57*D57</f>
        <v>2300</v>
      </c>
      <c r="F57" s="19">
        <v>1</v>
      </c>
      <c r="G57" s="50">
        <f t="shared" si="6"/>
        <v>2300</v>
      </c>
      <c r="H57" s="26">
        <f t="shared" si="3"/>
        <v>2300</v>
      </c>
      <c r="I57" s="33"/>
      <c r="J57" s="33">
        <f t="shared" si="4"/>
        <v>0</v>
      </c>
      <c r="K57" s="100" t="s">
        <v>93</v>
      </c>
    </row>
    <row r="58" spans="1:13" s="10" customFormat="1" ht="15" x14ac:dyDescent="0.2">
      <c r="A58" s="88" t="s">
        <v>37</v>
      </c>
      <c r="B58" s="79" t="s">
        <v>39</v>
      </c>
      <c r="C58" s="24">
        <v>90</v>
      </c>
      <c r="D58" s="23">
        <v>1</v>
      </c>
      <c r="E58" s="50">
        <f t="shared" si="5"/>
        <v>90</v>
      </c>
      <c r="F58" s="19">
        <v>5</v>
      </c>
      <c r="G58" s="50">
        <f t="shared" si="6"/>
        <v>450</v>
      </c>
      <c r="H58" s="26">
        <f t="shared" si="3"/>
        <v>450</v>
      </c>
      <c r="I58" s="33"/>
      <c r="J58" s="33">
        <f t="shared" si="4"/>
        <v>0</v>
      </c>
      <c r="K58" s="80" t="s">
        <v>93</v>
      </c>
    </row>
    <row r="59" spans="1:13" s="10" customFormat="1" ht="15" x14ac:dyDescent="0.2">
      <c r="A59" s="71" t="s">
        <v>27</v>
      </c>
      <c r="B59" s="79" t="s">
        <v>28</v>
      </c>
      <c r="C59" s="24">
        <f>90+1837</f>
        <v>1927</v>
      </c>
      <c r="D59" s="24">
        <v>12</v>
      </c>
      <c r="E59" s="50">
        <f t="shared" si="5"/>
        <v>23124</v>
      </c>
      <c r="F59" s="19">
        <v>2</v>
      </c>
      <c r="G59" s="50">
        <f t="shared" si="6"/>
        <v>46248</v>
      </c>
      <c r="H59" s="26">
        <v>46296</v>
      </c>
      <c r="I59" s="33"/>
      <c r="J59" s="33">
        <f>G59-H59</f>
        <v>-48</v>
      </c>
      <c r="K59" s="99" t="s">
        <v>109</v>
      </c>
    </row>
    <row r="60" spans="1:13" s="10" customFormat="1" ht="81" customHeight="1" x14ac:dyDescent="0.2">
      <c r="A60" s="71" t="s">
        <v>27</v>
      </c>
      <c r="B60" s="70" t="s">
        <v>41</v>
      </c>
      <c r="C60" s="24">
        <v>1837</v>
      </c>
      <c r="D60" s="23">
        <f>((1838023+3981451)/1837)*4</f>
        <v>12671.690800217746</v>
      </c>
      <c r="E60" s="50">
        <f t="shared" si="5"/>
        <v>23277896</v>
      </c>
      <c r="F60" s="76">
        <v>1.7000000000000001E-2</v>
      </c>
      <c r="G60" s="50">
        <f t="shared" si="6"/>
        <v>395724.23200000002</v>
      </c>
      <c r="H60" s="26">
        <v>285569.53999999998</v>
      </c>
      <c r="I60" s="101"/>
      <c r="J60" s="33">
        <f>G60-H60</f>
        <v>110154.69200000004</v>
      </c>
      <c r="K60" s="72" t="s">
        <v>136</v>
      </c>
      <c r="M60" s="74"/>
    </row>
    <row r="61" spans="1:13" s="10" customFormat="1" ht="15" x14ac:dyDescent="0.2">
      <c r="A61" s="88" t="s">
        <v>27</v>
      </c>
      <c r="B61" s="70" t="s">
        <v>29</v>
      </c>
      <c r="C61" s="24">
        <v>1837</v>
      </c>
      <c r="D61" s="23">
        <f>(1873845/1837)*4</f>
        <v>4080.2286336418074</v>
      </c>
      <c r="E61" s="50">
        <f t="shared" si="5"/>
        <v>7495380</v>
      </c>
      <c r="F61" s="19">
        <v>1.7000000000000001E-2</v>
      </c>
      <c r="G61" s="50">
        <f t="shared" si="6"/>
        <v>127421.46</v>
      </c>
      <c r="H61" s="26">
        <v>323750.31</v>
      </c>
      <c r="I61" s="101"/>
      <c r="J61" s="33">
        <f>G61-H61</f>
        <v>-196328.84999999998</v>
      </c>
      <c r="K61" s="99" t="s">
        <v>133</v>
      </c>
    </row>
    <row r="62" spans="1:13" s="10" customFormat="1" ht="32.25" customHeight="1" thickBot="1" x14ac:dyDescent="0.25">
      <c r="A62" s="88" t="s">
        <v>27</v>
      </c>
      <c r="B62" s="79" t="s">
        <v>30</v>
      </c>
      <c r="C62" s="24">
        <f>90+1837</f>
        <v>1927</v>
      </c>
      <c r="D62" s="23">
        <v>1</v>
      </c>
      <c r="E62" s="50">
        <f t="shared" si="5"/>
        <v>1927</v>
      </c>
      <c r="F62" s="19">
        <v>0.25</v>
      </c>
      <c r="G62" s="50">
        <f t="shared" si="6"/>
        <v>481.75</v>
      </c>
      <c r="H62" s="26">
        <v>482.25</v>
      </c>
      <c r="I62" s="33"/>
      <c r="J62" s="33">
        <f>G62-H62</f>
        <v>-0.5</v>
      </c>
      <c r="K62" s="99" t="s">
        <v>109</v>
      </c>
    </row>
    <row r="63" spans="1:13" s="10" customFormat="1" ht="15.75" thickBot="1" x14ac:dyDescent="0.25">
      <c r="A63" s="128" t="s">
        <v>79</v>
      </c>
      <c r="B63" s="131"/>
      <c r="C63" s="13">
        <f>10000+1837+90</f>
        <v>11927</v>
      </c>
      <c r="D63" s="41">
        <f>+E63/C63</f>
        <v>2586.4501048042257</v>
      </c>
      <c r="E63" s="13">
        <f>SUM(E50:E62)</f>
        <v>30848590.399999999</v>
      </c>
      <c r="F63" s="41">
        <f>+G63/E63</f>
        <v>1.9694742421682905E-2</v>
      </c>
      <c r="G63" s="13">
        <f>SUM(G50:G62)</f>
        <v>607555.04200000002</v>
      </c>
      <c r="H63" s="13">
        <f>SUM(H50:H62)</f>
        <v>695757.75</v>
      </c>
      <c r="I63" s="42">
        <f>SUM(I50:I62)</f>
        <v>0</v>
      </c>
      <c r="J63" s="13">
        <f>SUM(J50:J62)</f>
        <v>-88202.707999999941</v>
      </c>
      <c r="K63" s="102"/>
    </row>
    <row r="64" spans="1:13" s="10" customFormat="1" ht="38.25" customHeight="1" thickBot="1" x14ac:dyDescent="0.25">
      <c r="A64" s="148" t="s">
        <v>80</v>
      </c>
      <c r="B64" s="149"/>
      <c r="C64" s="16">
        <f>SUM(C47,C63)</f>
        <v>7751897</v>
      </c>
      <c r="D64" s="29">
        <f>E64/C64</f>
        <v>7.0554114760554727</v>
      </c>
      <c r="E64" s="16">
        <f>SUM(E47,E63)</f>
        <v>54692823.054999992</v>
      </c>
      <c r="F64" s="29">
        <f>G64/E64</f>
        <v>6.8977935883949779E-2</v>
      </c>
      <c r="G64" s="16">
        <f t="shared" ref="G64:J64" si="7">SUM(G47,G63)</f>
        <v>3772598.0419999999</v>
      </c>
      <c r="H64" s="17">
        <f>SUM(H47,H63)</f>
        <v>4020497.49</v>
      </c>
      <c r="I64" s="29">
        <f t="shared" si="7"/>
        <v>8801.7927999999993</v>
      </c>
      <c r="J64" s="16">
        <f t="shared" si="7"/>
        <v>-256700.47669999971</v>
      </c>
      <c r="K64" s="103"/>
    </row>
    <row r="65" spans="1:10" ht="15" thickBot="1" x14ac:dyDescent="0.25">
      <c r="A65" s="10"/>
      <c r="B65" s="10"/>
      <c r="C65" s="10"/>
      <c r="D65" s="10"/>
      <c r="E65" s="10"/>
      <c r="F65" s="10"/>
      <c r="G65" s="10"/>
      <c r="H65" s="10"/>
      <c r="I65" s="43"/>
      <c r="J65" s="10"/>
    </row>
    <row r="66" spans="1:10" ht="15.75" thickBot="1" x14ac:dyDescent="0.3">
      <c r="A66" s="120" t="s">
        <v>94</v>
      </c>
      <c r="B66" s="121"/>
      <c r="C66" s="121"/>
      <c r="D66" s="122"/>
      <c r="E66" s="10"/>
      <c r="F66" s="10"/>
      <c r="G66" s="10"/>
      <c r="H66" s="10"/>
      <c r="I66" s="43"/>
      <c r="J66" s="10"/>
    </row>
    <row r="67" spans="1:10" ht="17.25" thickBot="1" x14ac:dyDescent="0.35">
      <c r="A67" s="111" t="s">
        <v>47</v>
      </c>
      <c r="B67" s="115"/>
      <c r="C67" s="116">
        <f>+C47</f>
        <v>7739970</v>
      </c>
      <c r="D67" s="117"/>
      <c r="E67" s="39"/>
      <c r="F67" s="75" t="s">
        <v>127</v>
      </c>
      <c r="G67" s="10"/>
      <c r="H67" s="10"/>
      <c r="I67" s="43"/>
      <c r="J67" s="10"/>
    </row>
    <row r="68" spans="1:10" ht="16.5" thickBot="1" x14ac:dyDescent="0.35">
      <c r="A68" s="124" t="s">
        <v>48</v>
      </c>
      <c r="B68" s="125"/>
      <c r="C68" s="126">
        <f>+C69/C67</f>
        <v>3.080662154375275</v>
      </c>
      <c r="D68" s="127"/>
      <c r="E68" s="10"/>
      <c r="F68" s="10"/>
      <c r="G68" s="10"/>
      <c r="H68" s="10"/>
      <c r="I68" s="43"/>
      <c r="J68" s="10"/>
    </row>
    <row r="69" spans="1:10" ht="16.5" thickBot="1" x14ac:dyDescent="0.35">
      <c r="A69" s="111" t="s">
        <v>49</v>
      </c>
      <c r="B69" s="112"/>
      <c r="C69" s="116">
        <f>+E47</f>
        <v>23844232.654999997</v>
      </c>
      <c r="D69" s="117"/>
      <c r="E69" s="10"/>
      <c r="F69" s="104" t="s">
        <v>139</v>
      </c>
      <c r="G69" s="10"/>
      <c r="H69" s="10"/>
      <c r="I69" s="43"/>
      <c r="J69" s="10"/>
    </row>
    <row r="70" spans="1:10" ht="16.5" thickBot="1" x14ac:dyDescent="0.35">
      <c r="A70" s="111" t="s">
        <v>50</v>
      </c>
      <c r="B70" s="112"/>
      <c r="C70" s="118">
        <f>+C71/C69</f>
        <v>0.13273830388231464</v>
      </c>
      <c r="D70" s="119"/>
      <c r="E70" s="10"/>
      <c r="F70" s="104" t="s">
        <v>140</v>
      </c>
      <c r="G70" s="10"/>
      <c r="H70" s="10"/>
      <c r="I70" s="43"/>
      <c r="J70" s="10"/>
    </row>
    <row r="71" spans="1:10" ht="17.25" thickBot="1" x14ac:dyDescent="0.35">
      <c r="A71" s="111" t="s">
        <v>51</v>
      </c>
      <c r="B71" s="123"/>
      <c r="C71" s="116">
        <f>+G47</f>
        <v>3165043</v>
      </c>
      <c r="D71" s="117"/>
      <c r="E71" s="10"/>
      <c r="F71" s="105" t="s">
        <v>138</v>
      </c>
      <c r="G71" s="10"/>
      <c r="H71" s="10"/>
      <c r="I71" s="43"/>
      <c r="J71" s="10"/>
    </row>
    <row r="72" spans="1:10" ht="16.5" thickBot="1" x14ac:dyDescent="0.35">
      <c r="A72" s="111" t="s">
        <v>52</v>
      </c>
      <c r="B72" s="112"/>
      <c r="C72" s="113">
        <f>+H47</f>
        <v>3324739.74</v>
      </c>
      <c r="D72" s="114"/>
      <c r="E72" s="38"/>
      <c r="F72" s="10"/>
      <c r="G72" s="10"/>
      <c r="H72" s="10"/>
      <c r="I72" s="43"/>
      <c r="J72" s="10"/>
    </row>
    <row r="73" spans="1:10" ht="15" thickBot="1" x14ac:dyDescent="0.25">
      <c r="A73" s="107" t="s">
        <v>53</v>
      </c>
      <c r="B73" s="108"/>
      <c r="C73" s="109">
        <v>-159696</v>
      </c>
      <c r="D73" s="110"/>
      <c r="E73" s="10"/>
      <c r="F73" s="10"/>
      <c r="G73" s="10"/>
      <c r="H73" s="10"/>
      <c r="I73" s="43"/>
      <c r="J73" s="10"/>
    </row>
    <row r="74" spans="1:10" ht="13.5" thickBot="1" x14ac:dyDescent="0.25"/>
    <row r="75" spans="1:10" ht="15.75" thickBot="1" x14ac:dyDescent="0.3">
      <c r="A75" s="120" t="s">
        <v>95</v>
      </c>
      <c r="B75" s="121"/>
      <c r="C75" s="121"/>
      <c r="D75" s="122"/>
    </row>
    <row r="76" spans="1:10" ht="17.25" thickBot="1" x14ac:dyDescent="0.35">
      <c r="A76" s="111" t="s">
        <v>96</v>
      </c>
      <c r="B76" s="115"/>
      <c r="C76" s="116">
        <f>+C63</f>
        <v>11927</v>
      </c>
      <c r="D76" s="117"/>
    </row>
    <row r="77" spans="1:10" ht="16.5" thickBot="1" x14ac:dyDescent="0.35">
      <c r="A77" s="124" t="s">
        <v>48</v>
      </c>
      <c r="B77" s="125"/>
      <c r="C77" s="126">
        <f>+C78/C76</f>
        <v>2586.4501048042257</v>
      </c>
      <c r="D77" s="127"/>
    </row>
    <row r="78" spans="1:10" ht="16.5" thickBot="1" x14ac:dyDescent="0.35">
      <c r="A78" s="111" t="s">
        <v>49</v>
      </c>
      <c r="B78" s="112"/>
      <c r="C78" s="116">
        <f>+E63</f>
        <v>30848590.399999999</v>
      </c>
      <c r="D78" s="117"/>
    </row>
    <row r="79" spans="1:10" ht="16.5" thickBot="1" x14ac:dyDescent="0.35">
      <c r="A79" s="111" t="s">
        <v>50</v>
      </c>
      <c r="B79" s="112"/>
      <c r="C79" s="118">
        <f>+C80/C78</f>
        <v>1.9694742421682905E-2</v>
      </c>
      <c r="D79" s="119"/>
    </row>
    <row r="80" spans="1:10" ht="17.25" thickBot="1" x14ac:dyDescent="0.35">
      <c r="A80" s="111" t="s">
        <v>51</v>
      </c>
      <c r="B80" s="123"/>
      <c r="C80" s="116">
        <f>+G63</f>
        <v>607555.04200000002</v>
      </c>
      <c r="D80" s="117"/>
    </row>
    <row r="81" spans="1:4" ht="16.5" thickBot="1" x14ac:dyDescent="0.35">
      <c r="A81" s="111" t="s">
        <v>52</v>
      </c>
      <c r="B81" s="112"/>
      <c r="C81" s="113">
        <f>+H63</f>
        <v>695757.75</v>
      </c>
      <c r="D81" s="114"/>
    </row>
    <row r="82" spans="1:4" ht="15" thickBot="1" x14ac:dyDescent="0.25">
      <c r="A82" s="107" t="s">
        <v>53</v>
      </c>
      <c r="B82" s="108"/>
      <c r="C82" s="109">
        <f>C80-C81</f>
        <v>-88202.707999999984</v>
      </c>
      <c r="D82" s="110"/>
    </row>
    <row r="83" spans="1:4" ht="13.5" thickBot="1" x14ac:dyDescent="0.25"/>
    <row r="84" spans="1:4" ht="15.75" thickBot="1" x14ac:dyDescent="0.3">
      <c r="A84" s="120" t="s">
        <v>97</v>
      </c>
      <c r="B84" s="121"/>
      <c r="C84" s="121"/>
      <c r="D84" s="122"/>
    </row>
    <row r="85" spans="1:4" ht="17.25" customHeight="1" thickBot="1" x14ac:dyDescent="0.35">
      <c r="A85" s="111" t="s">
        <v>103</v>
      </c>
      <c r="B85" s="115"/>
      <c r="C85" s="116">
        <f>+C69+C78</f>
        <v>54692823.054999992</v>
      </c>
      <c r="D85" s="117"/>
    </row>
    <row r="86" spans="1:4" ht="17.25" customHeight="1" thickBot="1" x14ac:dyDescent="0.35">
      <c r="A86" s="111" t="s">
        <v>98</v>
      </c>
      <c r="B86" s="115"/>
      <c r="C86" s="52"/>
      <c r="D86" s="32">
        <f>+C71+C80</f>
        <v>3772598.0419999999</v>
      </c>
    </row>
    <row r="87" spans="1:4" ht="16.5" thickBot="1" x14ac:dyDescent="0.35">
      <c r="A87" s="111" t="s">
        <v>52</v>
      </c>
      <c r="B87" s="112"/>
      <c r="C87" s="113">
        <v>4020497</v>
      </c>
      <c r="D87" s="114"/>
    </row>
    <row r="88" spans="1:4" ht="15" thickBot="1" x14ac:dyDescent="0.25">
      <c r="A88" s="107" t="s">
        <v>53</v>
      </c>
      <c r="B88" s="108"/>
      <c r="C88" s="109">
        <f>+D86-C87</f>
        <v>-247898.9580000001</v>
      </c>
      <c r="D88" s="110"/>
    </row>
  </sheetData>
  <mergeCells count="51">
    <mergeCell ref="A64:B64"/>
    <mergeCell ref="C67:D67"/>
    <mergeCell ref="A68:B68"/>
    <mergeCell ref="A66:D66"/>
    <mergeCell ref="A67:B67"/>
    <mergeCell ref="C68:D68"/>
    <mergeCell ref="A1:K1"/>
    <mergeCell ref="A3:K3"/>
    <mergeCell ref="A4:K4"/>
    <mergeCell ref="A34:K34"/>
    <mergeCell ref="A41:K41"/>
    <mergeCell ref="A40:B40"/>
    <mergeCell ref="A46:B46"/>
    <mergeCell ref="A47:B47"/>
    <mergeCell ref="A63:B63"/>
    <mergeCell ref="A33:B33"/>
    <mergeCell ref="A48:K48"/>
    <mergeCell ref="A49:K49"/>
    <mergeCell ref="A69:B69"/>
    <mergeCell ref="A77:B77"/>
    <mergeCell ref="C77:D77"/>
    <mergeCell ref="C69:D69"/>
    <mergeCell ref="A76:B76"/>
    <mergeCell ref="C76:D76"/>
    <mergeCell ref="A70:B70"/>
    <mergeCell ref="C70:D70"/>
    <mergeCell ref="A71:B71"/>
    <mergeCell ref="C71:D71"/>
    <mergeCell ref="A73:B73"/>
    <mergeCell ref="C73:D73"/>
    <mergeCell ref="A72:B72"/>
    <mergeCell ref="C72:D72"/>
    <mergeCell ref="A75:D75"/>
    <mergeCell ref="A78:B78"/>
    <mergeCell ref="C78:D78"/>
    <mergeCell ref="A79:B79"/>
    <mergeCell ref="C79:D79"/>
    <mergeCell ref="A84:D84"/>
    <mergeCell ref="A82:B82"/>
    <mergeCell ref="C82:D82"/>
    <mergeCell ref="A80:B80"/>
    <mergeCell ref="C80:D80"/>
    <mergeCell ref="A81:B81"/>
    <mergeCell ref="C81:D81"/>
    <mergeCell ref="A88:B88"/>
    <mergeCell ref="C88:D88"/>
    <mergeCell ref="A87:B87"/>
    <mergeCell ref="C87:D87"/>
    <mergeCell ref="A85:B85"/>
    <mergeCell ref="C85:D85"/>
    <mergeCell ref="A86:B86"/>
  </mergeCells>
  <printOptions gridLines="1"/>
  <pageMargins left="0.7" right="0.7" top="0.75" bottom="0.75" header="0.3" footer="0.3"/>
  <pageSetup scale="54" fitToHeight="3" orientation="landscape" r:id="rId1"/>
  <headerFooter>
    <oddHeader>&amp;A</oddHeader>
    <oddFooter>Page &amp;P of &amp;N</oddFooter>
  </headerFooter>
  <rowBreaks count="2" manualBreakCount="2">
    <brk id="32" max="16383" man="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2016</vt:lpstr>
    </vt:vector>
  </TitlesOfParts>
  <Company>USDA FSC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CARROLL</dc:creator>
  <cp:lastModifiedBy>CS</cp:lastModifiedBy>
  <cp:lastPrinted>2017-04-24T21:59:19Z</cp:lastPrinted>
  <dcterms:created xsi:type="dcterms:W3CDTF">1999-05-24T18:00:59Z</dcterms:created>
  <dcterms:modified xsi:type="dcterms:W3CDTF">2017-04-24T22:21:58Z</dcterms:modified>
</cp:coreProperties>
</file>