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Q:\OECA\ICR Renewals\FY2017 (WA 2-04)\Expires 2017-03\2369.04\"/>
    </mc:Choice>
  </mc:AlternateContent>
  <bookViews>
    <workbookView xWindow="0" yWindow="0" windowWidth="20490" windowHeight="8820"/>
  </bookViews>
  <sheets>
    <sheet name="Industry" sheetId="1" r:id="rId1"/>
    <sheet name="Agency" sheetId="2" r:id="rId2"/>
    <sheet name="Respondents" sheetId="3" r:id="rId3"/>
    <sheet name="Capital-Startup and O&amp;M" sheetId="4"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3" l="1"/>
  <c r="F51" i="1"/>
  <c r="I51" i="1"/>
  <c r="G8" i="4"/>
  <c r="D8" i="4"/>
  <c r="F6" i="4"/>
  <c r="E6" i="4"/>
  <c r="E15" i="2"/>
  <c r="E14" i="2"/>
  <c r="E13" i="2"/>
  <c r="C14" i="2"/>
  <c r="E31" i="1"/>
  <c r="I12" i="3" s="1"/>
  <c r="E4" i="2"/>
  <c r="I9" i="3"/>
  <c r="I10" i="3"/>
  <c r="I11" i="3"/>
  <c r="E40" i="1"/>
  <c r="E30" i="1"/>
  <c r="E28" i="1"/>
  <c r="H8" i="4" l="1"/>
  <c r="I12" i="2"/>
  <c r="I11" i="2"/>
  <c r="I7" i="2"/>
  <c r="I6" i="2"/>
  <c r="I16" i="2"/>
  <c r="H6" i="2"/>
  <c r="H7" i="2"/>
  <c r="H11" i="2"/>
  <c r="H12" i="2"/>
  <c r="H16" i="2"/>
  <c r="H4" i="2"/>
  <c r="G6" i="2"/>
  <c r="G7" i="2"/>
  <c r="G11" i="2"/>
  <c r="G12" i="2"/>
  <c r="G15" i="2"/>
  <c r="G16" i="2"/>
  <c r="G4" i="2"/>
  <c r="F6" i="2"/>
  <c r="F7" i="2"/>
  <c r="F11" i="2"/>
  <c r="F12" i="2"/>
  <c r="F13" i="2"/>
  <c r="F14" i="2"/>
  <c r="F15" i="2"/>
  <c r="F16" i="2"/>
  <c r="F4" i="2"/>
  <c r="D6" i="2"/>
  <c r="D7" i="2"/>
  <c r="D11" i="2"/>
  <c r="D12" i="2"/>
  <c r="D13" i="2"/>
  <c r="D14" i="2"/>
  <c r="D15" i="2"/>
  <c r="D16" i="2"/>
  <c r="D4" i="2"/>
  <c r="M5" i="2"/>
  <c r="M4" i="2"/>
  <c r="M3" i="2"/>
  <c r="L12" i="3"/>
  <c r="L11" i="3"/>
  <c r="L10" i="3"/>
  <c r="L9" i="3"/>
  <c r="L8" i="3"/>
  <c r="L7" i="3"/>
  <c r="L6" i="3"/>
  <c r="L5" i="3"/>
  <c r="L4" i="3"/>
  <c r="E7" i="3"/>
  <c r="D7" i="3"/>
  <c r="B7" i="3"/>
  <c r="F4" i="3"/>
  <c r="D7" i="4"/>
  <c r="G6" i="4"/>
  <c r="D6" i="4"/>
  <c r="G5" i="4"/>
  <c r="D5" i="4"/>
  <c r="I13" i="1"/>
  <c r="I14" i="1"/>
  <c r="I15" i="1"/>
  <c r="I17" i="1"/>
  <c r="I18" i="1"/>
  <c r="I19" i="1"/>
  <c r="I23" i="1"/>
  <c r="I24" i="1"/>
  <c r="I25" i="1"/>
  <c r="I26" i="1"/>
  <c r="I27" i="1"/>
  <c r="I29" i="1"/>
  <c r="I39" i="1"/>
  <c r="I41" i="1"/>
  <c r="I42" i="1"/>
  <c r="I43" i="1"/>
  <c r="I44" i="1"/>
  <c r="I45" i="1"/>
  <c r="I46" i="1"/>
  <c r="I47" i="1"/>
  <c r="I10" i="1"/>
  <c r="M8" i="1"/>
  <c r="M7" i="1"/>
  <c r="M6" i="1"/>
  <c r="H10" i="1"/>
  <c r="H13" i="1"/>
  <c r="H14" i="1"/>
  <c r="H15" i="1"/>
  <c r="H17" i="1"/>
  <c r="H18" i="1"/>
  <c r="H19" i="1"/>
  <c r="H23" i="1"/>
  <c r="H24" i="1"/>
  <c r="H25" i="1"/>
  <c r="H26" i="1"/>
  <c r="H27" i="1"/>
  <c r="H29" i="1"/>
  <c r="H39" i="1"/>
  <c r="H41" i="1"/>
  <c r="H42" i="1"/>
  <c r="H43" i="1"/>
  <c r="H44" i="1"/>
  <c r="H45" i="1"/>
  <c r="H46" i="1"/>
  <c r="H47" i="1"/>
  <c r="G10" i="1"/>
  <c r="G13" i="1"/>
  <c r="G14" i="1"/>
  <c r="G15" i="1"/>
  <c r="G17" i="1"/>
  <c r="G18" i="1"/>
  <c r="G19" i="1"/>
  <c r="G23" i="1"/>
  <c r="G24" i="1"/>
  <c r="G25" i="1"/>
  <c r="G26" i="1"/>
  <c r="G27" i="1"/>
  <c r="G29" i="1"/>
  <c r="G39" i="1"/>
  <c r="G41" i="1"/>
  <c r="G42" i="1"/>
  <c r="G43" i="1"/>
  <c r="G44" i="1"/>
  <c r="G45" i="1"/>
  <c r="G46" i="1"/>
  <c r="G47" i="1"/>
  <c r="F10" i="1"/>
  <c r="F13" i="1"/>
  <c r="F14" i="1"/>
  <c r="F15" i="1"/>
  <c r="F17" i="1"/>
  <c r="F18" i="1"/>
  <c r="F19" i="1"/>
  <c r="F23" i="1"/>
  <c r="F24" i="1"/>
  <c r="F25" i="1"/>
  <c r="F26" i="1"/>
  <c r="F27" i="1"/>
  <c r="F29" i="1"/>
  <c r="F30" i="1"/>
  <c r="G30" i="1" s="1"/>
  <c r="F31" i="1"/>
  <c r="H31" i="1" s="1"/>
  <c r="F39" i="1"/>
  <c r="F40" i="1"/>
  <c r="G40" i="1" s="1"/>
  <c r="F41" i="1"/>
  <c r="F42" i="1"/>
  <c r="F43" i="1"/>
  <c r="F44" i="1"/>
  <c r="F45" i="1"/>
  <c r="F46" i="1"/>
  <c r="F47" i="1"/>
  <c r="F8" i="1"/>
  <c r="D10" i="1"/>
  <c r="D11" i="1"/>
  <c r="F11" i="1" s="1"/>
  <c r="D13" i="1"/>
  <c r="D14" i="1"/>
  <c r="D15" i="1"/>
  <c r="D17" i="1"/>
  <c r="D18" i="1"/>
  <c r="D19" i="1"/>
  <c r="D23" i="1"/>
  <c r="D24" i="1"/>
  <c r="D25" i="1"/>
  <c r="D26" i="1"/>
  <c r="D27" i="1"/>
  <c r="D28" i="1"/>
  <c r="F28" i="1" s="1"/>
  <c r="D29" i="1"/>
  <c r="D30" i="1"/>
  <c r="D31" i="1"/>
  <c r="D39" i="1"/>
  <c r="D40" i="1"/>
  <c r="D41" i="1"/>
  <c r="D42" i="1"/>
  <c r="D43" i="1"/>
  <c r="D44" i="1"/>
  <c r="D45" i="1"/>
  <c r="D46" i="1"/>
  <c r="D47" i="1"/>
  <c r="D8" i="1"/>
  <c r="I52" i="1" l="1"/>
  <c r="H15" i="2"/>
  <c r="I15" i="2" s="1"/>
  <c r="G13" i="2"/>
  <c r="H13" i="2"/>
  <c r="I13" i="2" s="1"/>
  <c r="G14" i="2"/>
  <c r="F17" i="2" s="1"/>
  <c r="H14" i="2"/>
  <c r="I4" i="2"/>
  <c r="L13" i="3"/>
  <c r="G31" i="1"/>
  <c r="I31" i="1" s="1"/>
  <c r="H30" i="1"/>
  <c r="I30" i="1" s="1"/>
  <c r="H28" i="1"/>
  <c r="G28" i="1"/>
  <c r="I28" i="1" s="1"/>
  <c r="G11" i="1"/>
  <c r="F32" i="1" s="1"/>
  <c r="F53" i="1" s="1"/>
  <c r="H11" i="1"/>
  <c r="H40" i="1"/>
  <c r="F50" i="1"/>
  <c r="I40" i="1"/>
  <c r="I50" i="1" s="1"/>
  <c r="H8" i="1"/>
  <c r="G8" i="1"/>
  <c r="I8" i="1" s="1"/>
  <c r="C5" i="3"/>
  <c r="I14" i="2" l="1"/>
  <c r="I17" i="2" s="1"/>
  <c r="G54" i="1"/>
  <c r="I11" i="1"/>
  <c r="I32" i="1" s="1"/>
  <c r="I53" i="1" s="1"/>
  <c r="F5" i="3"/>
  <c r="C6" i="3" l="1"/>
  <c r="F6" i="3" l="1"/>
  <c r="F7" i="3" s="1"/>
  <c r="C7" i="3"/>
</calcChain>
</file>

<file path=xl/sharedStrings.xml><?xml version="1.0" encoding="utf-8"?>
<sst xmlns="http://schemas.openxmlformats.org/spreadsheetml/2006/main" count="196" uniqueCount="166">
  <si>
    <t>Burden Item</t>
  </si>
  <si>
    <t>A</t>
  </si>
  <si>
    <t>B</t>
  </si>
  <si>
    <t>C</t>
  </si>
  <si>
    <t>D</t>
  </si>
  <si>
    <t>E</t>
  </si>
  <si>
    <t>F</t>
  </si>
  <si>
    <t>G</t>
  </si>
  <si>
    <t>H</t>
  </si>
  <si>
    <t>Technical person-hours 
per occurrence</t>
  </si>
  <si>
    <t>No. of occurrences per respondent 
per year</t>
  </si>
  <si>
    <t>Technical person-hours per respondent 
per year 
(AxB)</t>
  </si>
  <si>
    <r>
      <t xml:space="preserve">Respondents per year </t>
    </r>
    <r>
      <rPr>
        <b/>
        <vertAlign val="superscript"/>
        <sz val="10"/>
        <rFont val="Times New Roman"/>
        <family val="1"/>
      </rPr>
      <t>a</t>
    </r>
  </si>
  <si>
    <t>Management hours per year  
(Ex0.05)</t>
  </si>
  <si>
    <t>Clerical hours per year 
(Ex0.10)</t>
  </si>
  <si>
    <r>
      <t xml:space="preserve">Total cost per year </t>
    </r>
    <r>
      <rPr>
        <b/>
        <vertAlign val="superscript"/>
        <sz val="10"/>
        <rFont val="Times New Roman"/>
        <family val="1"/>
      </rPr>
      <t>b</t>
    </r>
    <r>
      <rPr>
        <b/>
        <sz val="10"/>
        <rFont val="Times New Roman"/>
        <family val="1"/>
      </rPr>
      <t xml:space="preserve"> </t>
    </r>
  </si>
  <si>
    <t>Technical hours per year 
(CxD)</t>
  </si>
  <si>
    <t>1. Applications</t>
  </si>
  <si>
    <t>2. Survey and Studies</t>
  </si>
  <si>
    <t>3. Reporting Requirements</t>
  </si>
  <si>
    <t xml:space="preserve">  B. Required activities</t>
  </si>
  <si>
    <r>
      <t xml:space="preserve">1) Initial stack test and report </t>
    </r>
    <r>
      <rPr>
        <vertAlign val="superscript"/>
        <sz val="10"/>
        <color theme="1"/>
        <rFont val="Times New Roman"/>
        <family val="1"/>
      </rPr>
      <t>c</t>
    </r>
  </si>
  <si>
    <r>
      <t xml:space="preserve">2) Annual stack test and test report </t>
    </r>
    <r>
      <rPr>
        <vertAlign val="superscript"/>
        <sz val="10"/>
        <color theme="1"/>
        <rFont val="Times New Roman"/>
        <family val="1"/>
      </rPr>
      <t>e, h</t>
    </r>
  </si>
  <si>
    <t xml:space="preserve">3) Operator  training and qualification      </t>
  </si>
  <si>
    <r>
      <t xml:space="preserve">a) Establish and teach operator qualification course </t>
    </r>
    <r>
      <rPr>
        <vertAlign val="superscript"/>
        <sz val="10"/>
        <color theme="1"/>
        <rFont val="Times New Roman"/>
        <family val="1"/>
      </rPr>
      <t>c, d</t>
    </r>
  </si>
  <si>
    <r>
      <t xml:space="preserve">b) Obtain operator qualification </t>
    </r>
    <r>
      <rPr>
        <vertAlign val="superscript"/>
        <sz val="10"/>
        <color theme="1"/>
        <rFont val="Times New Roman"/>
        <family val="1"/>
      </rPr>
      <t>c, d</t>
    </r>
  </si>
  <si>
    <t xml:space="preserve">c) Annual refresher course </t>
  </si>
  <si>
    <t>d) Initial review of site-specific information</t>
  </si>
  <si>
    <r>
      <t xml:space="preserve">e) Annual review of site-specific information </t>
    </r>
    <r>
      <rPr>
        <vertAlign val="superscript"/>
        <sz val="10"/>
        <color theme="1"/>
        <rFont val="Times New Roman"/>
        <family val="1"/>
      </rPr>
      <t>e</t>
    </r>
  </si>
  <si>
    <r>
      <t xml:space="preserve">4) Establish operating parameters (maximum and minimum) </t>
    </r>
    <r>
      <rPr>
        <vertAlign val="superscript"/>
        <sz val="10"/>
        <color theme="1"/>
        <rFont val="Times New Roman"/>
        <family val="1"/>
      </rPr>
      <t>c</t>
    </r>
  </si>
  <si>
    <t>5) Continuous parameter monitoring (including CEMS)</t>
  </si>
  <si>
    <t xml:space="preserve">  C. Create Information </t>
  </si>
  <si>
    <t xml:space="preserve">  D. Gather Existing Information</t>
  </si>
  <si>
    <t xml:space="preserve">  E. Write report</t>
  </si>
  <si>
    <r>
      <t xml:space="preserve">1) Notification of construction (includes siting analysis) </t>
    </r>
    <r>
      <rPr>
        <vertAlign val="superscript"/>
        <sz val="10"/>
        <color theme="1"/>
        <rFont val="Times New Roman"/>
        <family val="1"/>
      </rPr>
      <t>c</t>
    </r>
  </si>
  <si>
    <t>2) Notification of start-up (includes monitoring plan)</t>
  </si>
  <si>
    <r>
      <t xml:space="preserve">3) Notification of initial performance test </t>
    </r>
    <r>
      <rPr>
        <vertAlign val="superscript"/>
        <sz val="10"/>
        <color theme="1"/>
        <rFont val="Times New Roman"/>
        <family val="1"/>
      </rPr>
      <t>c</t>
    </r>
  </si>
  <si>
    <r>
      <t xml:space="preserve">4) Notification of initial CMS Demonstration </t>
    </r>
    <r>
      <rPr>
        <vertAlign val="superscript"/>
        <sz val="10"/>
        <color theme="1"/>
        <rFont val="Times New Roman"/>
        <family val="1"/>
      </rPr>
      <t>b</t>
    </r>
  </si>
  <si>
    <t>5) Initial Compliance Report</t>
  </si>
  <si>
    <t>6) Annual Compliance Report</t>
  </si>
  <si>
    <r>
      <t xml:space="preserve">7) Status report for operators that are off-site for more than 2 weeks </t>
    </r>
    <r>
      <rPr>
        <vertAlign val="superscript"/>
        <sz val="10"/>
        <color theme="1"/>
        <rFont val="Times New Roman"/>
        <family val="1"/>
      </rPr>
      <t>f</t>
    </r>
  </si>
  <si>
    <r>
      <t xml:space="preserve">8) Corrective action summary for operators that are off-site for more than 2 weeks </t>
    </r>
    <r>
      <rPr>
        <vertAlign val="superscript"/>
        <sz val="10"/>
        <color theme="1"/>
        <rFont val="Times New Roman"/>
        <family val="1"/>
      </rPr>
      <t>f</t>
    </r>
  </si>
  <si>
    <r>
      <t xml:space="preserve">9) Semiannual Deviation Report </t>
    </r>
    <r>
      <rPr>
        <vertAlign val="superscript"/>
        <sz val="10"/>
        <color theme="1"/>
        <rFont val="Times New Roman"/>
        <family val="1"/>
      </rPr>
      <t>g</t>
    </r>
  </si>
  <si>
    <t>Subtotal for Reporting Requirements</t>
  </si>
  <si>
    <t xml:space="preserve">4.  Recordkeeping Requirements </t>
  </si>
  <si>
    <t xml:space="preserve">  A.  Familiarize with regulation requirements</t>
  </si>
  <si>
    <t xml:space="preserve">  B.  Plan activities</t>
  </si>
  <si>
    <t xml:space="preserve"> C.  Implement activities: </t>
  </si>
  <si>
    <t>D.  Develop record system</t>
  </si>
  <si>
    <t>E.  Record Information</t>
  </si>
  <si>
    <t>1) Records of operating parameters</t>
  </si>
  <si>
    <t>2) Records of exceedances of the operating parameters</t>
  </si>
  <si>
    <t>3) Records of stack tests</t>
  </si>
  <si>
    <t>4) Records of siting analysis</t>
  </si>
  <si>
    <t>5) Records of persons who have reviewed operating procedures</t>
  </si>
  <si>
    <t>6) Records of persons who have completed operator training</t>
  </si>
  <si>
    <t>7) Records of persons who meet operator qualification criteria</t>
  </si>
  <si>
    <t>8) Records of monitoring device calibration</t>
  </si>
  <si>
    <t>9) Records of site-specific documentation</t>
  </si>
  <si>
    <t>F.  Time to train personnel</t>
  </si>
  <si>
    <t>G.  Time for audits</t>
  </si>
  <si>
    <t>Subtotal for Recordkeeping Requirements</t>
  </si>
  <si>
    <r>
      <t>TOTAL ANNUAL  BURDEN AND COST (Rounded)</t>
    </r>
    <r>
      <rPr>
        <b/>
        <vertAlign val="superscript"/>
        <sz val="10"/>
        <color theme="1"/>
        <rFont val="Times New Roman"/>
        <family val="1"/>
      </rPr>
      <t>i</t>
    </r>
  </si>
  <si>
    <t>Capital and O&amp;M Costs (see Section 6(b)(iii))</t>
  </si>
  <si>
    <r>
      <t>TOTAL (Rounded)</t>
    </r>
    <r>
      <rPr>
        <b/>
        <vertAlign val="superscript"/>
        <sz val="10"/>
        <color theme="1"/>
        <rFont val="Times New Roman"/>
        <family val="1"/>
      </rPr>
      <t>i</t>
    </r>
  </si>
  <si>
    <t>N/A</t>
  </si>
  <si>
    <t>See 3B</t>
  </si>
  <si>
    <t>See 3A</t>
  </si>
  <si>
    <t>See 3E</t>
  </si>
  <si>
    <t>Labor Type</t>
  </si>
  <si>
    <r>
      <t>Total Compensation ($/hr)</t>
    </r>
    <r>
      <rPr>
        <sz val="8"/>
        <rFont val="Arial"/>
        <family val="2"/>
      </rPr>
      <t xml:space="preserve"> </t>
    </r>
  </si>
  <si>
    <t>Mgmt.</t>
  </si>
  <si>
    <t>Tech.</t>
  </si>
  <si>
    <t>Cler.</t>
  </si>
  <si>
    <r>
      <t>Loaded Rate</t>
    </r>
    <r>
      <rPr>
        <sz val="8"/>
        <rFont val="Arial"/>
        <family val="2"/>
      </rPr>
      <t xml:space="preserve"> 
(Rate + 110%rate)</t>
    </r>
  </si>
  <si>
    <r>
      <rPr>
        <b/>
        <sz val="10"/>
        <rFont val="Arial"/>
        <family val="2"/>
      </rPr>
      <t xml:space="preserve">Respondant Rates
</t>
    </r>
    <r>
      <rPr>
        <sz val="8"/>
        <rFont val="Arial"/>
        <family val="2"/>
      </rPr>
      <t>(Source: http://www.bls.gov/news.release/ecec.t02.htm)</t>
    </r>
  </si>
  <si>
    <t>Assumptions:</t>
  </si>
  <si>
    <t xml:space="preserve">a. Assumed that there are 4 existing facilities on average with 6 units. Burden estimates based on a "per respondent" basis, not a "per unit" basis. Assumed that there will be a total of 2 new sources and 1 modified source over the next three-year period, averaging to 1 new respondent per year. Estimate based on EPA's 2016 SSI Inventory. </t>
  </si>
  <si>
    <t xml:space="preserve">b. This ICR uses the following labor rates:  $138.43 per hour for Executive, Administrative, and Managerial labor; $106.45 per hour for Technical labor, and $52.77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
</t>
  </si>
  <si>
    <t>c. One-time only costs</t>
  </si>
  <si>
    <t>d. Costs incurred by a facility regardless of the number of affected units at the plant.</t>
  </si>
  <si>
    <t xml:space="preserve">e. Annual Costs. Annual costs are not incurred until the second year of operation. </t>
  </si>
  <si>
    <t>f. Assumed that 10 percent of the facilities (conservatively rounded to one) would not have a qualified operator available for more than two weeks at least once a year. Assume that this would require only two corrective action summaries.</t>
  </si>
  <si>
    <t xml:space="preserve">g. Assumed that 10 percent of the facilities would have an exceedance during the year.  </t>
  </si>
  <si>
    <t>h. Facilities may test every three years if certain requirements are met, thus annual testing is divided by three to give a per year cost.  It is assumed most facilities would meet the requirements.</t>
  </si>
  <si>
    <t xml:space="preserve">i. Totals are rounded to 3 significant figures. Figures may not add exactly due to rounding. </t>
  </si>
  <si>
    <t>(A)</t>
  </si>
  <si>
    <t>(B)</t>
  </si>
  <si>
    <t>(C)</t>
  </si>
  <si>
    <t>(D)</t>
  </si>
  <si>
    <t>(E)</t>
  </si>
  <si>
    <t>(F)</t>
  </si>
  <si>
    <t>(G)</t>
  </si>
  <si>
    <t>Item</t>
  </si>
  <si>
    <t>Capital/Startup Cost for One Respondent</t>
  </si>
  <si>
    <r>
      <t>Number of New Respondents</t>
    </r>
    <r>
      <rPr>
        <vertAlign val="superscript"/>
        <sz val="10"/>
        <color theme="1"/>
        <rFont val="Times New Roman"/>
        <family val="1"/>
      </rPr>
      <t>a</t>
    </r>
    <r>
      <rPr>
        <sz val="10"/>
        <color theme="1"/>
        <rFont val="Times New Roman"/>
        <family val="1"/>
      </rPr>
      <t xml:space="preserve"> </t>
    </r>
  </si>
  <si>
    <t>Annual O&amp;M Costs for One Respondent</t>
  </si>
  <si>
    <t>Number of Respondents  with O&amp;M</t>
  </si>
  <si>
    <t>Total O&amp;M, 
(E X F)</t>
  </si>
  <si>
    <r>
      <t>CPMS</t>
    </r>
    <r>
      <rPr>
        <vertAlign val="superscript"/>
        <sz val="10"/>
        <color theme="1"/>
        <rFont val="Times New Roman"/>
        <family val="1"/>
      </rPr>
      <t>b</t>
    </r>
  </si>
  <si>
    <r>
      <t xml:space="preserve">Stack testing </t>
    </r>
    <r>
      <rPr>
        <vertAlign val="superscript"/>
        <sz val="10"/>
        <color theme="1"/>
        <rFont val="Times New Roman"/>
        <family val="1"/>
      </rPr>
      <t>c</t>
    </r>
  </si>
  <si>
    <r>
      <t>Filing cabinet</t>
    </r>
    <r>
      <rPr>
        <vertAlign val="superscript"/>
        <sz val="10"/>
        <color theme="1"/>
        <rFont val="Times New Roman"/>
        <family val="1"/>
      </rPr>
      <t>d</t>
    </r>
  </si>
  <si>
    <t>Total</t>
  </si>
  <si>
    <t>Total Capital/Startup Cost,  
(B X C)</t>
  </si>
  <si>
    <t xml:space="preserve">a. Assumed that there are 4 existing facilities on average with 6 units. Burden estimates based on a "per respondent" basis, not a "per unit" basis. Assumed that there will be a total of 2 new sources and 1 modified source over the next three-year period, averaging to 1 new respondent per year. Estimates based on EPA's 2016 SSI Inventory </t>
  </si>
  <si>
    <t>b. Based on estimated monitoring costs provided in regulatory support documentation.</t>
  </si>
  <si>
    <t xml:space="preserve">d. Assumed $100 for purchase of filing cabinet to house copy of rule, records, and report copies. </t>
  </si>
  <si>
    <t>Number of Respondents</t>
  </si>
  <si>
    <t>Respondents That Submit Reports</t>
  </si>
  <si>
    <t>Respondents That Do Not Submit Any Reports</t>
  </si>
  <si>
    <t>Year</t>
  </si>
  <si>
    <r>
      <t>(A)
Number of New Respondents</t>
    </r>
    <r>
      <rPr>
        <vertAlign val="superscript"/>
        <sz val="10"/>
        <rFont val="Times New Roman"/>
        <family val="1"/>
      </rPr>
      <t>1</t>
    </r>
  </si>
  <si>
    <r>
      <t>(B)
Number of Existing Respondents</t>
    </r>
    <r>
      <rPr>
        <vertAlign val="superscript"/>
        <sz val="10"/>
        <rFont val="Times New Roman"/>
        <family val="1"/>
      </rPr>
      <t>2</t>
    </r>
  </si>
  <si>
    <t>(C)
Number of Existing  Respondents that keep records but do not submit reports</t>
  </si>
  <si>
    <t>(D)
Number of Existing Respondents That Are Also New Respondents</t>
  </si>
  <si>
    <t>(E)
Number of Respondents (E=A+B+C-D)</t>
  </si>
  <si>
    <t>Average</t>
  </si>
  <si>
    <r>
      <t xml:space="preserve">1 </t>
    </r>
    <r>
      <rPr>
        <sz val="10"/>
        <rFont val="Times New Roman"/>
        <family val="1"/>
      </rPr>
      <t xml:space="preserve">Assumed that there will be 2 new sources and 1 modified source over the next three years, averaging to 1 new respondent per year. </t>
    </r>
  </si>
  <si>
    <t>Total Annual Responses</t>
  </si>
  <si>
    <t>(A)
Information Collection Activity</t>
  </si>
  <si>
    <t xml:space="preserve">(B)
Average Number of Respondents  </t>
  </si>
  <si>
    <t>(C)
Number of Responses</t>
  </si>
  <si>
    <t>(D)
Number of Existing Respondents That Keep Records But Do Not Submit Reports</t>
  </si>
  <si>
    <t>(E)
Total Annual Responses
E=(BxC)+D</t>
  </si>
  <si>
    <t>Notification of Construction</t>
  </si>
  <si>
    <t>Notification of Start-up</t>
  </si>
  <si>
    <t>Notification of Initial Performance Test</t>
  </si>
  <si>
    <t>Notification of Initial CMS Demonstration</t>
  </si>
  <si>
    <t>Initial Compliance Report</t>
  </si>
  <si>
    <r>
      <t xml:space="preserve">Annual Compliance Report </t>
    </r>
    <r>
      <rPr>
        <vertAlign val="superscript"/>
        <sz val="9"/>
        <color rgb="FF000000"/>
        <rFont val="Times New Roman"/>
        <family val="1"/>
      </rPr>
      <t>a</t>
    </r>
  </si>
  <si>
    <r>
      <t xml:space="preserve">Status report for operators that are off-site for more than 2 weeks </t>
    </r>
    <r>
      <rPr>
        <vertAlign val="superscript"/>
        <sz val="9"/>
        <color theme="1"/>
        <rFont val="Times New Roman"/>
        <family val="1"/>
      </rPr>
      <t>b</t>
    </r>
  </si>
  <si>
    <r>
      <t xml:space="preserve">Corrective action summary for operators that are off-site for more than 2 weeks </t>
    </r>
    <r>
      <rPr>
        <vertAlign val="superscript"/>
        <sz val="9"/>
        <color theme="1"/>
        <rFont val="Times New Roman"/>
        <family val="1"/>
      </rPr>
      <t>b</t>
    </r>
  </si>
  <si>
    <t xml:space="preserve">Semiannual Deviation Report </t>
  </si>
  <si>
    <r>
      <t>b</t>
    </r>
    <r>
      <rPr>
        <sz val="12"/>
        <color theme="1"/>
        <rFont val="Times New Roman"/>
        <family val="1"/>
      </rPr>
      <t xml:space="preserve"> </t>
    </r>
    <r>
      <rPr>
        <sz val="9"/>
        <color rgb="FF000000"/>
        <rFont val="Times New Roman"/>
        <family val="1"/>
      </rPr>
      <t xml:space="preserve">Assumed that 10 percent of the facilities (conservatively rounded to one) would not have a qualified operator available for more than two weeks at least once a year.  Assumed this would require only two corrective action summaries. </t>
    </r>
  </si>
  <si>
    <r>
      <t xml:space="preserve">EPA 
</t>
    </r>
    <r>
      <rPr>
        <sz val="9"/>
        <rFont val="Arial"/>
        <family val="2"/>
      </rPr>
      <t>Source: http://www.opm.gov/oca/11tables/html/gs_h.asp</t>
    </r>
  </si>
  <si>
    <t>Hourly Mean Wage</t>
  </si>
  <si>
    <t>With  Fringe &amp; Overhead</t>
  </si>
  <si>
    <t>(GS- 12, step 1) - Tech.</t>
  </si>
  <si>
    <t>(GS- 13, step 5) - Mgmt.</t>
  </si>
  <si>
    <t>(GS-6, step 3) - Cler.</t>
  </si>
  <si>
    <t>1.  Applications</t>
  </si>
  <si>
    <t>2. Read and Understand Rule Requirements</t>
  </si>
  <si>
    <t>3. Required Activities</t>
  </si>
  <si>
    <r>
      <t xml:space="preserve">A. Observe stack tests </t>
    </r>
    <r>
      <rPr>
        <vertAlign val="superscript"/>
        <sz val="10"/>
        <color theme="1"/>
        <rFont val="Times New Roman"/>
        <family val="1"/>
      </rPr>
      <t>c</t>
    </r>
  </si>
  <si>
    <t>B. Excess emissions - Enforcement activities</t>
  </si>
  <si>
    <t>C. Create Information</t>
  </si>
  <si>
    <t>D. Gather Information</t>
  </si>
  <si>
    <t>E. Report Reviews</t>
  </si>
  <si>
    <r>
      <t xml:space="preserve">1. Review initial notifications </t>
    </r>
    <r>
      <rPr>
        <vertAlign val="superscript"/>
        <sz val="10"/>
        <color theme="1"/>
        <rFont val="Times New Roman"/>
        <family val="1"/>
      </rPr>
      <t>d</t>
    </r>
  </si>
  <si>
    <t>2. Review initial compliance report</t>
  </si>
  <si>
    <t>3. Review annual compliance report</t>
  </si>
  <si>
    <t>4. Review semi-annual excess emission and parameter exceedance report</t>
  </si>
  <si>
    <t>5. Review status reports and  corrective action summary for operators off-site</t>
  </si>
  <si>
    <r>
      <t xml:space="preserve">F. Prepare annual summary report </t>
    </r>
    <r>
      <rPr>
        <vertAlign val="superscript"/>
        <sz val="10"/>
        <color theme="1"/>
        <rFont val="Times New Roman"/>
        <family val="1"/>
      </rPr>
      <t>e</t>
    </r>
  </si>
  <si>
    <r>
      <t xml:space="preserve">TOTAL ANNUAL COST (rounded) </t>
    </r>
    <r>
      <rPr>
        <b/>
        <vertAlign val="superscript"/>
        <sz val="10"/>
        <color theme="1"/>
        <rFont val="Times New Roman"/>
        <family val="1"/>
      </rPr>
      <t>f</t>
    </r>
  </si>
  <si>
    <t>e. Using four hours per state to write annual summary report.</t>
  </si>
  <si>
    <t xml:space="preserve">f. Totals rounded to 3 significant figures. Figures may not add exactly due to rounding. </t>
  </si>
  <si>
    <t>d. Includes notification of construction and notification of start-up for new units.</t>
  </si>
  <si>
    <t>b.This cost is based on the following labor rates which incorporates a 1.6 benefits multiplication factor to account for government overhead expenses: $64.16 Managerial rate (GS-13, Step 5, $40.10 x 1.6), $47.62 Technical rate (GS-12, Step 1, $29.76 x 1.6), and $25.76 Clerical rate (GS-6, Step 3, $16.10 x 1.6).  These rates are from the Office of Personnel Management (OPM) “2016 General Schedule”, which excludes locality rates of pay.</t>
  </si>
  <si>
    <t>total</t>
  </si>
  <si>
    <r>
      <t xml:space="preserve">  A. Familiarize with regulation requirements</t>
    </r>
    <r>
      <rPr>
        <vertAlign val="superscript"/>
        <sz val="10"/>
        <color theme="1"/>
        <rFont val="Times New Roman"/>
        <family val="1"/>
      </rPr>
      <t xml:space="preserve"> d,h</t>
    </r>
  </si>
  <si>
    <r>
      <t xml:space="preserve">2 </t>
    </r>
    <r>
      <rPr>
        <sz val="9"/>
        <rFont val="Times New Roman"/>
        <family val="1"/>
      </rPr>
      <t xml:space="preserve">Assumed there are 4 existing facilities with 6 units on average. Based on EPA's 2016 SSI Inventory. </t>
    </r>
  </si>
  <si>
    <t>c. Assumes EPA personnel attend 20 percent of the stack tests (conservatively rounded up to one plant). Assume all facilities meet reduced testing requirements.</t>
  </si>
  <si>
    <r>
      <t xml:space="preserve">a </t>
    </r>
    <r>
      <rPr>
        <sz val="10"/>
        <color rgb="FF000000"/>
        <rFont val="Times New Roman"/>
        <family val="1"/>
      </rPr>
      <t xml:space="preserve"> </t>
    </r>
    <r>
      <rPr>
        <sz val="9"/>
        <color rgb="FF000000"/>
        <rFont val="Times New Roman"/>
        <family val="1"/>
      </rPr>
      <t xml:space="preserve">Facilities may test every three years if certain requirements are met, and it is assumed most facilities would meet the requirements. However, annual compliance reports must be submitted regardless of whether a performance test is conducted during the reporting period. </t>
    </r>
  </si>
  <si>
    <t xml:space="preserve">c. Total estimated cost for initial stack test, including Method 5 (PM), Method 9 (opacity), Method 10 (CO), Method 26 (HCl), Method 29 (metals), Method 23 (CDD/CDF), Method 7E (NOx), and Method 6C (SO2). Facilities may test every three years if certain requirements are met, and it is assumed most facilities would meet the requirements.  </t>
  </si>
  <si>
    <t>hr/response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</si>
</sst>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164" formatCode="General_)"/>
    <numFmt numFmtId="165" formatCode="&quot;$&quot;#,##0.00"/>
    <numFmt numFmtId="166" formatCode="&quot;$&quot;#,##0"/>
    <numFmt numFmtId="167" formatCode="0.0"/>
  </numFmts>
  <fonts count="33" x14ac:knownFonts="1">
    <font>
      <sz val="11"/>
      <color theme="1"/>
      <name val="Calibri"/>
      <family val="2"/>
      <scheme val="minor"/>
    </font>
    <font>
      <b/>
      <sz val="10"/>
      <name val="Times New Roman"/>
      <family val="1"/>
    </font>
    <font>
      <b/>
      <vertAlign val="superscript"/>
      <sz val="10"/>
      <name val="Times New Roman"/>
      <family val="1"/>
    </font>
    <font>
      <sz val="10"/>
      <color theme="1"/>
      <name val="Times New Roman"/>
      <family val="1"/>
    </font>
    <font>
      <vertAlign val="superscript"/>
      <sz val="10"/>
      <color theme="1"/>
      <name val="Times New Roman"/>
      <family val="1"/>
    </font>
    <font>
      <b/>
      <i/>
      <sz val="10"/>
      <color theme="1"/>
      <name val="Times New Roman"/>
      <family val="1"/>
    </font>
    <font>
      <b/>
      <sz val="10"/>
      <color theme="1"/>
      <name val="Times New Roman"/>
      <family val="1"/>
    </font>
    <font>
      <b/>
      <vertAlign val="superscript"/>
      <sz val="10"/>
      <color theme="1"/>
      <name val="Times New Roman"/>
      <family val="1"/>
    </font>
    <font>
      <sz val="11"/>
      <color theme="1"/>
      <name val="Times New Roman"/>
      <family val="1"/>
    </font>
    <font>
      <sz val="8"/>
      <name val="Helv"/>
    </font>
    <font>
      <b/>
      <u/>
      <sz val="8"/>
      <name val="Arial"/>
      <family val="2"/>
    </font>
    <font>
      <sz val="8"/>
      <name val="Arial"/>
      <family val="2"/>
    </font>
    <font>
      <sz val="8"/>
      <name val="Verdana"/>
      <family val="2"/>
    </font>
    <font>
      <sz val="8"/>
      <color indexed="8"/>
      <name val="Verdana"/>
      <family val="2"/>
    </font>
    <font>
      <b/>
      <sz val="10"/>
      <name val="Arial"/>
      <family val="2"/>
    </font>
    <font>
      <b/>
      <u/>
      <sz val="10"/>
      <name val="Arial"/>
      <family val="2"/>
    </font>
    <font>
      <sz val="10"/>
      <name val="Times New Roman"/>
      <family val="1"/>
    </font>
    <font>
      <sz val="12"/>
      <color theme="1"/>
      <name val="Times New Roman"/>
      <family val="1"/>
    </font>
    <font>
      <b/>
      <sz val="12"/>
      <color rgb="FF000000"/>
      <name val="Times New Roman"/>
      <family val="1"/>
    </font>
    <font>
      <b/>
      <sz val="9"/>
      <color rgb="FF000000"/>
      <name val="Times New Roman"/>
      <family val="1"/>
    </font>
    <font>
      <sz val="9"/>
      <color rgb="FF000000"/>
      <name val="Times New Roman"/>
      <family val="1"/>
    </font>
    <font>
      <vertAlign val="superscript"/>
      <sz val="10"/>
      <name val="Times New Roman"/>
      <family val="1"/>
    </font>
    <font>
      <sz val="9"/>
      <name val="Times New Roman"/>
      <family val="1"/>
    </font>
    <font>
      <vertAlign val="superscript"/>
      <sz val="9"/>
      <name val="Times New Roman"/>
      <family val="1"/>
    </font>
    <font>
      <sz val="9"/>
      <color theme="1"/>
      <name val="Times New Roman"/>
      <family val="1"/>
    </font>
    <font>
      <vertAlign val="superscript"/>
      <sz val="9"/>
      <color rgb="FF000000"/>
      <name val="Times New Roman"/>
      <family val="1"/>
    </font>
    <font>
      <vertAlign val="superscript"/>
      <sz val="9"/>
      <color theme="1"/>
      <name val="Times New Roman"/>
      <family val="1"/>
    </font>
    <font>
      <b/>
      <sz val="9"/>
      <color theme="1"/>
      <name val="Times New Roman"/>
      <family val="1"/>
    </font>
    <font>
      <vertAlign val="superscript"/>
      <sz val="10"/>
      <color rgb="FF000000"/>
      <name val="Times New Roman"/>
      <family val="1"/>
    </font>
    <font>
      <sz val="10"/>
      <color rgb="FF000000"/>
      <name val="Times New Roman"/>
      <family val="1"/>
    </font>
    <font>
      <sz val="10"/>
      <name val="Arial"/>
      <family val="2"/>
    </font>
    <font>
      <sz val="9"/>
      <name val="Arial"/>
      <family val="2"/>
    </font>
    <font>
      <sz val="8"/>
      <name val="Courier"/>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164" fontId="9" fillId="0" borderId="0"/>
    <xf numFmtId="0" fontId="30" fillId="0" borderId="0"/>
    <xf numFmtId="0" fontId="32" fillId="0" borderId="0"/>
  </cellStyleXfs>
  <cellXfs count="81">
    <xf numFmtId="0" fontId="0" fillId="0" borderId="0" xfId="0"/>
    <xf numFmtId="0" fontId="1" fillId="0" borderId="1" xfId="0" applyNumberFormat="1" applyFont="1" applyFill="1" applyBorder="1" applyAlignment="1">
      <alignment horizontal="center"/>
    </xf>
    <xf numFmtId="4" fontId="1" fillId="0" borderId="1" xfId="0" applyNumberFormat="1" applyFont="1" applyFill="1" applyBorder="1" applyAlignment="1">
      <alignment horizontal="center"/>
    </xf>
    <xf numFmtId="0" fontId="1" fillId="0" borderId="2"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64" fontId="10" fillId="0" borderId="1" xfId="1" applyFont="1" applyFill="1" applyBorder="1" applyAlignment="1">
      <alignment horizontal="center" vertical="center" wrapText="1"/>
    </xf>
    <xf numFmtId="164" fontId="11" fillId="0" borderId="1" xfId="1" applyFont="1" applyFill="1" applyBorder="1" applyAlignment="1">
      <alignment horizontal="center" vertical="center" wrapText="1"/>
    </xf>
    <xf numFmtId="165" fontId="12" fillId="0" borderId="1" xfId="1" applyNumberFormat="1" applyFont="1" applyFill="1" applyBorder="1" applyAlignment="1">
      <alignment horizontal="right" wrapText="1"/>
    </xf>
    <xf numFmtId="165" fontId="13" fillId="0" borderId="1" xfId="1" applyNumberFormat="1" applyFont="1" applyFill="1" applyBorder="1" applyAlignment="1">
      <alignment horizontal="right" wrapText="1"/>
    </xf>
    <xf numFmtId="0" fontId="30" fillId="0" borderId="9" xfId="2" applyFill="1" applyBorder="1" applyAlignment="1">
      <alignment wrapText="1"/>
    </xf>
    <xf numFmtId="0" fontId="14" fillId="0" borderId="10" xfId="2" applyFont="1" applyFill="1" applyBorder="1" applyAlignment="1">
      <alignment vertical="center" wrapText="1"/>
    </xf>
    <xf numFmtId="0" fontId="14" fillId="0" borderId="11" xfId="2" applyFont="1" applyFill="1" applyBorder="1" applyAlignment="1">
      <alignment vertical="center" wrapText="1"/>
    </xf>
    <xf numFmtId="0" fontId="30" fillId="0" borderId="12" xfId="2" applyFont="1" applyFill="1" applyBorder="1"/>
    <xf numFmtId="0" fontId="30" fillId="0" borderId="1" xfId="3" applyFont="1" applyFill="1" applyBorder="1"/>
    <xf numFmtId="0" fontId="30" fillId="0" borderId="1" xfId="2" applyFont="1" applyFill="1" applyBorder="1"/>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NumberFormat="1" applyFont="1" applyFill="1" applyBorder="1" applyAlignment="1">
      <alignment horizontal="center" wrapText="1"/>
    </xf>
    <xf numFmtId="0" fontId="1" fillId="0" borderId="2" xfId="0" applyNumberFormat="1" applyFont="1" applyFill="1" applyBorder="1" applyAlignment="1">
      <alignment horizontal="center" wrapText="1"/>
    </xf>
    <xf numFmtId="164" fontId="14" fillId="0" borderId="3" xfId="1" applyFont="1" applyFill="1" applyBorder="1" applyAlignment="1">
      <alignment horizontal="left" wrapText="1"/>
    </xf>
    <xf numFmtId="164" fontId="15" fillId="0" borderId="3" xfId="1" applyFont="1" applyFill="1" applyBorder="1" applyAlignment="1">
      <alignment horizontal="left" wrapText="1"/>
    </xf>
    <xf numFmtId="0" fontId="14" fillId="0" borderId="8" xfId="2" applyFont="1" applyFill="1" applyBorder="1" applyAlignment="1">
      <alignment horizontal="left" wrapText="1"/>
    </xf>
    <xf numFmtId="164" fontId="16" fillId="0" borderId="0" xfId="0" applyNumberFormat="1" applyFont="1" applyFill="1" applyAlignment="1">
      <alignment horizontal="left" vertical="top" wrapText="1"/>
    </xf>
    <xf numFmtId="0" fontId="3" fillId="0" borderId="1" xfId="0" applyFont="1" applyFill="1" applyBorder="1" applyAlignment="1">
      <alignment horizontal="center" vertical="center"/>
    </xf>
    <xf numFmtId="0" fontId="0" fillId="0" borderId="0" xfId="0" applyFill="1"/>
    <xf numFmtId="0" fontId="3" fillId="0" borderId="1" xfId="0" applyFont="1" applyFill="1" applyBorder="1" applyAlignment="1">
      <alignment horizontal="right" vertical="center"/>
    </xf>
    <xf numFmtId="165" fontId="3" fillId="0" borderId="1" xfId="0" applyNumberFormat="1" applyFont="1" applyFill="1" applyBorder="1" applyAlignment="1">
      <alignment horizontal="right" vertical="center"/>
    </xf>
    <xf numFmtId="166" fontId="3" fillId="0" borderId="1" xfId="0" applyNumberFormat="1" applyFont="1" applyFill="1" applyBorder="1" applyAlignment="1">
      <alignment horizontal="right" vertical="center"/>
    </xf>
    <xf numFmtId="0" fontId="5" fillId="0" borderId="1" xfId="0" applyFont="1" applyFill="1" applyBorder="1" applyAlignment="1">
      <alignment horizontal="left" vertical="center" wrapText="1"/>
    </xf>
    <xf numFmtId="1" fontId="6" fillId="0" borderId="4"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1" fontId="6" fillId="0" borderId="6" xfId="0" applyNumberFormat="1" applyFont="1" applyFill="1" applyBorder="1" applyAlignment="1">
      <alignment horizontal="center" vertical="center"/>
    </xf>
    <xf numFmtId="166" fontId="6" fillId="0" borderId="1" xfId="0" applyNumberFormat="1" applyFont="1" applyFill="1" applyBorder="1" applyAlignment="1">
      <alignment horizontal="right" vertical="center"/>
    </xf>
    <xf numFmtId="6" fontId="6" fillId="0" borderId="1" xfId="0" applyNumberFormat="1" applyFont="1" applyFill="1" applyBorder="1" applyAlignment="1">
      <alignment horizontal="right" vertical="center"/>
    </xf>
    <xf numFmtId="1" fontId="0" fillId="0" borderId="0" xfId="0" applyNumberFormat="1" applyFill="1"/>
    <xf numFmtId="0" fontId="6" fillId="0" borderId="0" xfId="0" applyFont="1" applyFill="1"/>
    <xf numFmtId="0" fontId="3" fillId="0" borderId="0" xfId="0" applyFont="1" applyFill="1" applyAlignment="1"/>
    <xf numFmtId="165" fontId="30" fillId="0" borderId="12" xfId="3" applyNumberFormat="1" applyFont="1" applyFill="1" applyBorder="1"/>
    <xf numFmtId="165" fontId="30" fillId="0" borderId="1" xfId="3" applyNumberFormat="1" applyFont="1" applyFill="1" applyBorder="1"/>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8" fillId="0" borderId="0" xfId="0" applyFont="1" applyFill="1"/>
    <xf numFmtId="164" fontId="16" fillId="0" borderId="0" xfId="0" applyNumberFormat="1" applyFont="1" applyFill="1" applyAlignment="1">
      <alignment horizontal="left" vertical="center" wrapText="1"/>
    </xf>
    <xf numFmtId="0" fontId="3" fillId="0" borderId="0" xfId="0" applyFont="1" applyFill="1" applyAlignment="1">
      <alignment horizontal="left" vertical="top" wrapText="1"/>
    </xf>
    <xf numFmtId="164" fontId="16" fillId="0" borderId="0" xfId="0" applyNumberFormat="1" applyFont="1" applyFill="1" applyBorder="1" applyAlignment="1">
      <alignment wrapText="1"/>
    </xf>
    <xf numFmtId="164" fontId="16" fillId="0" borderId="0" xfId="0" applyNumberFormat="1" applyFont="1" applyFill="1" applyAlignment="1">
      <alignment wrapText="1"/>
    </xf>
    <xf numFmtId="0" fontId="18" fillId="0" borderId="1" xfId="0" applyFont="1" applyFill="1" applyBorder="1" applyAlignment="1">
      <alignment horizontal="center" vertical="top" wrapText="1"/>
    </xf>
    <xf numFmtId="0" fontId="19" fillId="0" borderId="1" xfId="0" applyFont="1" applyFill="1" applyBorder="1" applyAlignment="1">
      <alignment vertical="top" wrapText="1"/>
    </xf>
    <xf numFmtId="0" fontId="2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top" wrapText="1"/>
    </xf>
    <xf numFmtId="0" fontId="24" fillId="0" borderId="2" xfId="0" applyFont="1" applyFill="1" applyBorder="1" applyAlignment="1">
      <alignment horizontal="center" vertical="top" wrapText="1"/>
    </xf>
    <xf numFmtId="0" fontId="22"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1"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2" fillId="0" borderId="1" xfId="0" applyFont="1" applyFill="1" applyBorder="1" applyAlignment="1">
      <alignment horizontal="center" vertical="top" wrapText="1"/>
    </xf>
    <xf numFmtId="0" fontId="21"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1"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167" fontId="24" fillId="0" borderId="1" xfId="0" applyNumberFormat="1" applyFont="1" applyFill="1" applyBorder="1" applyAlignment="1">
      <alignment horizontal="center" vertical="center"/>
    </xf>
    <xf numFmtId="0" fontId="24" fillId="0" borderId="1" xfId="0" applyFont="1" applyFill="1" applyBorder="1"/>
    <xf numFmtId="0" fontId="27" fillId="0" borderId="1" xfId="0" applyFont="1" applyFill="1" applyBorder="1"/>
    <xf numFmtId="0" fontId="28" fillId="0" borderId="7" xfId="0" applyFont="1" applyFill="1" applyBorder="1" applyAlignment="1">
      <alignment horizontal="left" vertical="center" wrapText="1"/>
    </xf>
    <xf numFmtId="0" fontId="28" fillId="0" borderId="0" xfId="0" applyFont="1" applyFill="1" applyAlignment="1">
      <alignment horizontal="left" vertical="center" wrapText="1"/>
    </xf>
    <xf numFmtId="0" fontId="17" fillId="0" borderId="0" xfId="0" applyFont="1" applyFill="1" applyAlignment="1"/>
    <xf numFmtId="0" fontId="3" fillId="0" borderId="1" xfId="0" applyFont="1" applyFill="1" applyBorder="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xf numFmtId="6" fontId="3" fillId="0" borderId="1" xfId="0" applyNumberFormat="1" applyFont="1" applyFill="1" applyBorder="1" applyAlignment="1"/>
    <xf numFmtId="0" fontId="3" fillId="0" borderId="1" xfId="0" applyFont="1" applyFill="1" applyBorder="1" applyAlignment="1">
      <alignment horizontal="center"/>
    </xf>
    <xf numFmtId="0" fontId="6" fillId="0" borderId="1" xfId="0" applyFont="1" applyFill="1" applyBorder="1" applyAlignment="1"/>
    <xf numFmtId="6" fontId="6" fillId="0" borderId="1" xfId="0" applyNumberFormat="1" applyFont="1" applyFill="1" applyBorder="1" applyAlignment="1"/>
    <xf numFmtId="6" fontId="0" fillId="0" borderId="0" xfId="0" applyNumberFormat="1" applyFill="1"/>
    <xf numFmtId="0" fontId="3" fillId="0" borderId="0" xfId="0" applyFont="1" applyFill="1" applyAlignment="1"/>
    <xf numFmtId="0" fontId="3" fillId="0" borderId="0" xfId="0" applyFont="1" applyFill="1" applyAlignment="1">
      <alignment horizontal="left" wrapText="1"/>
    </xf>
  </cellXfs>
  <cellStyles count="4">
    <cellStyle name="Normal" xfId="0" builtinId="0"/>
    <cellStyle name="Normal_HMIWI EG SS" xfId="3"/>
    <cellStyle name="Normal_ICR Cost Inputs" xfId="2"/>
    <cellStyle name="Normal_SSI Burden Estimate BML 06071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4"/>
  <sheetViews>
    <sheetView tabSelected="1" workbookViewId="0"/>
  </sheetViews>
  <sheetFormatPr defaultRowHeight="15" x14ac:dyDescent="0.25"/>
  <cols>
    <col min="1" max="1" width="37.85546875" style="25" customWidth="1"/>
    <col min="2" max="2" width="13.7109375" style="25" customWidth="1"/>
    <col min="3" max="3" width="13.28515625" style="25" customWidth="1"/>
    <col min="4" max="4" width="12.28515625" style="25" customWidth="1"/>
    <col min="5" max="5" width="11.28515625" style="25" customWidth="1"/>
    <col min="6" max="6" width="10.7109375" style="25" customWidth="1"/>
    <col min="7" max="7" width="11" style="25" customWidth="1"/>
    <col min="8" max="8" width="9.42578125" style="25" customWidth="1"/>
    <col min="9" max="9" width="10.85546875" style="25" bestFit="1" customWidth="1"/>
    <col min="10" max="11" width="9.140625" style="25"/>
    <col min="12" max="12" width="15.140625" style="25" customWidth="1"/>
    <col min="13" max="13" width="16.42578125" style="25" customWidth="1"/>
    <col min="14" max="16384" width="9.140625" style="25"/>
  </cols>
  <sheetData>
    <row r="3" spans="1:13" x14ac:dyDescent="0.25">
      <c r="A3" s="18" t="s">
        <v>0</v>
      </c>
      <c r="B3" s="1" t="s">
        <v>1</v>
      </c>
      <c r="C3" s="1" t="s">
        <v>2</v>
      </c>
      <c r="D3" s="1" t="s">
        <v>3</v>
      </c>
      <c r="E3" s="1" t="s">
        <v>4</v>
      </c>
      <c r="F3" s="1" t="s">
        <v>5</v>
      </c>
      <c r="G3" s="1" t="s">
        <v>6</v>
      </c>
      <c r="H3" s="1" t="s">
        <v>7</v>
      </c>
      <c r="I3" s="2" t="s">
        <v>8</v>
      </c>
    </row>
    <row r="4" spans="1:13" ht="77.25" x14ac:dyDescent="0.25">
      <c r="A4" s="19"/>
      <c r="B4" s="3" t="s">
        <v>9</v>
      </c>
      <c r="C4" s="3" t="s">
        <v>10</v>
      </c>
      <c r="D4" s="3" t="s">
        <v>11</v>
      </c>
      <c r="E4" s="3" t="s">
        <v>12</v>
      </c>
      <c r="F4" s="3" t="s">
        <v>16</v>
      </c>
      <c r="G4" s="3" t="s">
        <v>13</v>
      </c>
      <c r="H4" s="3" t="s">
        <v>14</v>
      </c>
      <c r="I4" s="4" t="s">
        <v>15</v>
      </c>
      <c r="K4" s="20" t="s">
        <v>75</v>
      </c>
      <c r="L4" s="21"/>
      <c r="M4" s="21"/>
    </row>
    <row r="5" spans="1:13" ht="45" x14ac:dyDescent="0.25">
      <c r="A5" s="16" t="s">
        <v>17</v>
      </c>
      <c r="B5" s="24" t="s">
        <v>65</v>
      </c>
      <c r="C5" s="24"/>
      <c r="D5" s="24"/>
      <c r="E5" s="24"/>
      <c r="F5" s="24"/>
      <c r="G5" s="24"/>
      <c r="H5" s="24"/>
      <c r="I5" s="26"/>
      <c r="K5" s="6" t="s">
        <v>69</v>
      </c>
      <c r="L5" s="6" t="s">
        <v>70</v>
      </c>
      <c r="M5" s="6" t="s">
        <v>74</v>
      </c>
    </row>
    <row r="6" spans="1:13" x14ac:dyDescent="0.25">
      <c r="A6" s="16" t="s">
        <v>18</v>
      </c>
      <c r="B6" s="24" t="s">
        <v>65</v>
      </c>
      <c r="C6" s="24"/>
      <c r="D6" s="24"/>
      <c r="E6" s="24"/>
      <c r="F6" s="24"/>
      <c r="G6" s="24"/>
      <c r="H6" s="24"/>
      <c r="I6" s="26"/>
      <c r="K6" s="7" t="s">
        <v>71</v>
      </c>
      <c r="L6" s="8">
        <v>65.92</v>
      </c>
      <c r="M6" s="9">
        <f>L6+1.1*L6</f>
        <v>138.43200000000002</v>
      </c>
    </row>
    <row r="7" spans="1:13" x14ac:dyDescent="0.25">
      <c r="A7" s="16" t="s">
        <v>19</v>
      </c>
      <c r="B7" s="24"/>
      <c r="C7" s="24"/>
      <c r="D7" s="24"/>
      <c r="E7" s="24"/>
      <c r="F7" s="24"/>
      <c r="G7" s="24"/>
      <c r="H7" s="24"/>
      <c r="I7" s="26"/>
      <c r="K7" s="7" t="s">
        <v>72</v>
      </c>
      <c r="L7" s="8">
        <v>50.69</v>
      </c>
      <c r="M7" s="9">
        <f>L7+1.1*L7</f>
        <v>106.449</v>
      </c>
    </row>
    <row r="8" spans="1:13" ht="15.75" x14ac:dyDescent="0.25">
      <c r="A8" s="16" t="s">
        <v>160</v>
      </c>
      <c r="B8" s="24">
        <v>40</v>
      </c>
      <c r="C8" s="24">
        <v>1</v>
      </c>
      <c r="D8" s="24">
        <f>B8*C8</f>
        <v>40</v>
      </c>
      <c r="E8" s="24">
        <v>4</v>
      </c>
      <c r="F8" s="24">
        <f>D8*E8</f>
        <v>160</v>
      </c>
      <c r="G8" s="24">
        <f>F8*0.05</f>
        <v>8</v>
      </c>
      <c r="H8" s="24">
        <f>F8*0.1</f>
        <v>16</v>
      </c>
      <c r="I8" s="27">
        <f>F8*$M$7+G8*$M$6+H8*$M$8</f>
        <v>18983.664000000001</v>
      </c>
      <c r="K8" s="7" t="s">
        <v>73</v>
      </c>
      <c r="L8" s="8">
        <v>25.13</v>
      </c>
      <c r="M8" s="9">
        <f>L8+1.1*L8</f>
        <v>52.772999999999996</v>
      </c>
    </row>
    <row r="9" spans="1:13" x14ac:dyDescent="0.25">
      <c r="A9" s="16" t="s">
        <v>20</v>
      </c>
      <c r="B9" s="24"/>
      <c r="C9" s="24"/>
      <c r="D9" s="24"/>
      <c r="E9" s="24"/>
      <c r="F9" s="24"/>
      <c r="G9" s="24"/>
      <c r="H9" s="24"/>
      <c r="I9" s="27"/>
    </row>
    <row r="10" spans="1:13" ht="15.75" x14ac:dyDescent="0.25">
      <c r="A10" s="16" t="s">
        <v>21</v>
      </c>
      <c r="B10" s="24">
        <v>40</v>
      </c>
      <c r="C10" s="24">
        <v>1</v>
      </c>
      <c r="D10" s="24">
        <f t="shared" ref="D10:D47" si="0">B10*C10</f>
        <v>40</v>
      </c>
      <c r="E10" s="24">
        <v>1</v>
      </c>
      <c r="F10" s="24">
        <f t="shared" ref="F10:F47" si="1">D10*E10</f>
        <v>40</v>
      </c>
      <c r="G10" s="24">
        <f t="shared" ref="G10:G47" si="2">F10*0.05</f>
        <v>2</v>
      </c>
      <c r="H10" s="24">
        <f t="shared" ref="H10:H47" si="3">F10*0.1</f>
        <v>4</v>
      </c>
      <c r="I10" s="27">
        <f t="shared" ref="I10:I47" si="4">F10*$M$7+G10*$M$6+H10*$M$8</f>
        <v>4745.9160000000002</v>
      </c>
    </row>
    <row r="11" spans="1:13" ht="15.75" x14ac:dyDescent="0.25">
      <c r="A11" s="16" t="s">
        <v>22</v>
      </c>
      <c r="B11" s="24">
        <v>40</v>
      </c>
      <c r="C11" s="24">
        <v>0.33</v>
      </c>
      <c r="D11" s="24">
        <f t="shared" si="0"/>
        <v>13.200000000000001</v>
      </c>
      <c r="E11" s="24">
        <v>4</v>
      </c>
      <c r="F11" s="24">
        <f t="shared" si="1"/>
        <v>52.800000000000004</v>
      </c>
      <c r="G11" s="24">
        <f t="shared" si="2"/>
        <v>2.6400000000000006</v>
      </c>
      <c r="H11" s="24">
        <f t="shared" si="3"/>
        <v>5.2800000000000011</v>
      </c>
      <c r="I11" s="28">
        <f t="shared" si="4"/>
        <v>6264.6091200000001</v>
      </c>
    </row>
    <row r="12" spans="1:13" x14ac:dyDescent="0.25">
      <c r="A12" s="16" t="s">
        <v>23</v>
      </c>
      <c r="B12" s="24"/>
      <c r="C12" s="24"/>
      <c r="D12" s="24"/>
      <c r="E12" s="24"/>
      <c r="F12" s="24"/>
      <c r="G12" s="24"/>
      <c r="H12" s="24"/>
      <c r="I12" s="27"/>
    </row>
    <row r="13" spans="1:13" ht="28.5" x14ac:dyDescent="0.25">
      <c r="A13" s="16" t="s">
        <v>24</v>
      </c>
      <c r="B13" s="24">
        <v>64</v>
      </c>
      <c r="C13" s="24">
        <v>1</v>
      </c>
      <c r="D13" s="24">
        <f t="shared" si="0"/>
        <v>64</v>
      </c>
      <c r="E13" s="24">
        <v>1</v>
      </c>
      <c r="F13" s="24">
        <f t="shared" si="1"/>
        <v>64</v>
      </c>
      <c r="G13" s="24">
        <f t="shared" si="2"/>
        <v>3.2</v>
      </c>
      <c r="H13" s="24">
        <f t="shared" si="3"/>
        <v>6.4</v>
      </c>
      <c r="I13" s="27">
        <f t="shared" si="4"/>
        <v>7593.4655999999995</v>
      </c>
    </row>
    <row r="14" spans="1:13" ht="15.75" x14ac:dyDescent="0.25">
      <c r="A14" s="16" t="s">
        <v>25</v>
      </c>
      <c r="B14" s="24">
        <v>72</v>
      </c>
      <c r="C14" s="24">
        <v>1</v>
      </c>
      <c r="D14" s="24">
        <f t="shared" si="0"/>
        <v>72</v>
      </c>
      <c r="E14" s="24">
        <v>1</v>
      </c>
      <c r="F14" s="24">
        <f t="shared" si="1"/>
        <v>72</v>
      </c>
      <c r="G14" s="24">
        <f t="shared" si="2"/>
        <v>3.6</v>
      </c>
      <c r="H14" s="24">
        <f t="shared" si="3"/>
        <v>7.2</v>
      </c>
      <c r="I14" s="27">
        <f t="shared" si="4"/>
        <v>8542.648799999999</v>
      </c>
    </row>
    <row r="15" spans="1:13" x14ac:dyDescent="0.25">
      <c r="A15" s="16" t="s">
        <v>26</v>
      </c>
      <c r="B15" s="24">
        <v>12</v>
      </c>
      <c r="C15" s="24">
        <v>1</v>
      </c>
      <c r="D15" s="24">
        <f t="shared" si="0"/>
        <v>12</v>
      </c>
      <c r="E15" s="24">
        <v>1</v>
      </c>
      <c r="F15" s="24">
        <f t="shared" si="1"/>
        <v>12</v>
      </c>
      <c r="G15" s="24">
        <f t="shared" si="2"/>
        <v>0.60000000000000009</v>
      </c>
      <c r="H15" s="24">
        <f t="shared" si="3"/>
        <v>1.2000000000000002</v>
      </c>
      <c r="I15" s="27">
        <f t="shared" si="4"/>
        <v>1423.7747999999999</v>
      </c>
    </row>
    <row r="16" spans="1:13" x14ac:dyDescent="0.25">
      <c r="A16" s="16" t="s">
        <v>27</v>
      </c>
      <c r="B16" s="24" t="s">
        <v>67</v>
      </c>
      <c r="C16" s="24"/>
      <c r="D16" s="24"/>
      <c r="E16" s="24"/>
      <c r="F16" s="24"/>
      <c r="G16" s="24"/>
      <c r="H16" s="24"/>
      <c r="I16" s="27"/>
    </row>
    <row r="17" spans="1:9" ht="15.75" x14ac:dyDescent="0.25">
      <c r="A17" s="16" t="s">
        <v>28</v>
      </c>
      <c r="B17" s="24">
        <v>8</v>
      </c>
      <c r="C17" s="24">
        <v>1</v>
      </c>
      <c r="D17" s="24">
        <f t="shared" si="0"/>
        <v>8</v>
      </c>
      <c r="E17" s="24">
        <v>4</v>
      </c>
      <c r="F17" s="24">
        <f t="shared" si="1"/>
        <v>32</v>
      </c>
      <c r="G17" s="24">
        <f t="shared" si="2"/>
        <v>1.6</v>
      </c>
      <c r="H17" s="24">
        <f t="shared" si="3"/>
        <v>3.2</v>
      </c>
      <c r="I17" s="27">
        <f t="shared" si="4"/>
        <v>3796.7327999999998</v>
      </c>
    </row>
    <row r="18" spans="1:9" ht="28.5" x14ac:dyDescent="0.25">
      <c r="A18" s="16" t="s">
        <v>29</v>
      </c>
      <c r="B18" s="24">
        <v>40</v>
      </c>
      <c r="C18" s="24">
        <v>1</v>
      </c>
      <c r="D18" s="24">
        <f t="shared" si="0"/>
        <v>40</v>
      </c>
      <c r="E18" s="24">
        <v>1</v>
      </c>
      <c r="F18" s="24">
        <f t="shared" si="1"/>
        <v>40</v>
      </c>
      <c r="G18" s="24">
        <f t="shared" si="2"/>
        <v>2</v>
      </c>
      <c r="H18" s="24">
        <f t="shared" si="3"/>
        <v>4</v>
      </c>
      <c r="I18" s="27">
        <f t="shared" si="4"/>
        <v>4745.9160000000002</v>
      </c>
    </row>
    <row r="19" spans="1:9" ht="25.5" x14ac:dyDescent="0.25">
      <c r="A19" s="16" t="s">
        <v>30</v>
      </c>
      <c r="B19" s="24">
        <v>11</v>
      </c>
      <c r="C19" s="24">
        <v>1</v>
      </c>
      <c r="D19" s="24">
        <f t="shared" si="0"/>
        <v>11</v>
      </c>
      <c r="E19" s="24">
        <v>4</v>
      </c>
      <c r="F19" s="24">
        <f t="shared" si="1"/>
        <v>44</v>
      </c>
      <c r="G19" s="24">
        <f t="shared" si="2"/>
        <v>2.2000000000000002</v>
      </c>
      <c r="H19" s="24">
        <f t="shared" si="3"/>
        <v>4.4000000000000004</v>
      </c>
      <c r="I19" s="27">
        <f t="shared" si="4"/>
        <v>5220.5076000000008</v>
      </c>
    </row>
    <row r="20" spans="1:9" x14ac:dyDescent="0.25">
      <c r="A20" s="16" t="s">
        <v>31</v>
      </c>
      <c r="B20" s="24" t="s">
        <v>66</v>
      </c>
      <c r="C20" s="24"/>
      <c r="D20" s="24"/>
      <c r="E20" s="24"/>
      <c r="F20" s="24"/>
      <c r="G20" s="24"/>
      <c r="H20" s="24"/>
      <c r="I20" s="27"/>
    </row>
    <row r="21" spans="1:9" x14ac:dyDescent="0.25">
      <c r="A21" s="16" t="s">
        <v>32</v>
      </c>
      <c r="B21" s="24" t="s">
        <v>68</v>
      </c>
      <c r="C21" s="24"/>
      <c r="D21" s="24"/>
      <c r="E21" s="24"/>
      <c r="F21" s="24"/>
      <c r="G21" s="24"/>
      <c r="H21" s="24"/>
      <c r="I21" s="27"/>
    </row>
    <row r="22" spans="1:9" x14ac:dyDescent="0.25">
      <c r="A22" s="16" t="s">
        <v>33</v>
      </c>
      <c r="B22" s="24"/>
      <c r="C22" s="24"/>
      <c r="D22" s="24"/>
      <c r="E22" s="24"/>
      <c r="F22" s="24"/>
      <c r="G22" s="24"/>
      <c r="H22" s="24"/>
      <c r="I22" s="27"/>
    </row>
    <row r="23" spans="1:9" ht="28.5" x14ac:dyDescent="0.25">
      <c r="A23" s="16" t="s">
        <v>34</v>
      </c>
      <c r="B23" s="24">
        <v>160</v>
      </c>
      <c r="C23" s="24">
        <v>1</v>
      </c>
      <c r="D23" s="24">
        <f t="shared" si="0"/>
        <v>160</v>
      </c>
      <c r="E23" s="24">
        <v>1</v>
      </c>
      <c r="F23" s="24">
        <f t="shared" si="1"/>
        <v>160</v>
      </c>
      <c r="G23" s="24">
        <f t="shared" si="2"/>
        <v>8</v>
      </c>
      <c r="H23" s="24">
        <f t="shared" si="3"/>
        <v>16</v>
      </c>
      <c r="I23" s="27">
        <f t="shared" si="4"/>
        <v>18983.664000000001</v>
      </c>
    </row>
    <row r="24" spans="1:9" ht="25.5" x14ac:dyDescent="0.25">
      <c r="A24" s="16" t="s">
        <v>35</v>
      </c>
      <c r="B24" s="24">
        <v>40</v>
      </c>
      <c r="C24" s="24">
        <v>1</v>
      </c>
      <c r="D24" s="24">
        <f t="shared" si="0"/>
        <v>40</v>
      </c>
      <c r="E24" s="24">
        <v>1</v>
      </c>
      <c r="F24" s="24">
        <f t="shared" si="1"/>
        <v>40</v>
      </c>
      <c r="G24" s="24">
        <f t="shared" si="2"/>
        <v>2</v>
      </c>
      <c r="H24" s="24">
        <f t="shared" si="3"/>
        <v>4</v>
      </c>
      <c r="I24" s="27">
        <f t="shared" si="4"/>
        <v>4745.9160000000002</v>
      </c>
    </row>
    <row r="25" spans="1:9" ht="15.75" x14ac:dyDescent="0.25">
      <c r="A25" s="16" t="s">
        <v>36</v>
      </c>
      <c r="B25" s="24">
        <v>2</v>
      </c>
      <c r="C25" s="24">
        <v>1</v>
      </c>
      <c r="D25" s="24">
        <f t="shared" si="0"/>
        <v>2</v>
      </c>
      <c r="E25" s="24">
        <v>1</v>
      </c>
      <c r="F25" s="24">
        <f t="shared" si="1"/>
        <v>2</v>
      </c>
      <c r="G25" s="24">
        <f t="shared" si="2"/>
        <v>0.1</v>
      </c>
      <c r="H25" s="24">
        <f t="shared" si="3"/>
        <v>0.2</v>
      </c>
      <c r="I25" s="27">
        <f t="shared" si="4"/>
        <v>237.29579999999999</v>
      </c>
    </row>
    <row r="26" spans="1:9" ht="15.75" x14ac:dyDescent="0.25">
      <c r="A26" s="16" t="s">
        <v>37</v>
      </c>
      <c r="B26" s="24">
        <v>2</v>
      </c>
      <c r="C26" s="24">
        <v>1</v>
      </c>
      <c r="D26" s="24">
        <f t="shared" si="0"/>
        <v>2</v>
      </c>
      <c r="E26" s="24">
        <v>1</v>
      </c>
      <c r="F26" s="24">
        <f t="shared" si="1"/>
        <v>2</v>
      </c>
      <c r="G26" s="24">
        <f t="shared" si="2"/>
        <v>0.1</v>
      </c>
      <c r="H26" s="24">
        <f t="shared" si="3"/>
        <v>0.2</v>
      </c>
      <c r="I26" s="27">
        <f t="shared" si="4"/>
        <v>237.29579999999999</v>
      </c>
    </row>
    <row r="27" spans="1:9" x14ac:dyDescent="0.25">
      <c r="A27" s="16" t="s">
        <v>38</v>
      </c>
      <c r="B27" s="24">
        <v>40</v>
      </c>
      <c r="C27" s="24">
        <v>1</v>
      </c>
      <c r="D27" s="24">
        <f t="shared" si="0"/>
        <v>40</v>
      </c>
      <c r="E27" s="24">
        <v>1</v>
      </c>
      <c r="F27" s="24">
        <f t="shared" si="1"/>
        <v>40</v>
      </c>
      <c r="G27" s="24">
        <f t="shared" si="2"/>
        <v>2</v>
      </c>
      <c r="H27" s="24">
        <f t="shared" si="3"/>
        <v>4</v>
      </c>
      <c r="I27" s="27">
        <f t="shared" si="4"/>
        <v>4745.9160000000002</v>
      </c>
    </row>
    <row r="28" spans="1:9" x14ac:dyDescent="0.25">
      <c r="A28" s="16" t="s">
        <v>39</v>
      </c>
      <c r="B28" s="24">
        <v>40</v>
      </c>
      <c r="C28" s="24">
        <v>1</v>
      </c>
      <c r="D28" s="24">
        <f t="shared" si="0"/>
        <v>40</v>
      </c>
      <c r="E28" s="24">
        <f>E11</f>
        <v>4</v>
      </c>
      <c r="F28" s="24">
        <f t="shared" si="1"/>
        <v>160</v>
      </c>
      <c r="G28" s="24">
        <f t="shared" si="2"/>
        <v>8</v>
      </c>
      <c r="H28" s="24">
        <f t="shared" si="3"/>
        <v>16</v>
      </c>
      <c r="I28" s="28">
        <f t="shared" si="4"/>
        <v>18983.664000000001</v>
      </c>
    </row>
    <row r="29" spans="1:9" ht="28.5" x14ac:dyDescent="0.25">
      <c r="A29" s="16" t="s">
        <v>40</v>
      </c>
      <c r="B29" s="24">
        <v>8</v>
      </c>
      <c r="C29" s="24">
        <v>1</v>
      </c>
      <c r="D29" s="24">
        <f t="shared" si="0"/>
        <v>8</v>
      </c>
      <c r="E29" s="24">
        <v>1</v>
      </c>
      <c r="F29" s="24">
        <f t="shared" si="1"/>
        <v>8</v>
      </c>
      <c r="G29" s="24">
        <f t="shared" si="2"/>
        <v>0.4</v>
      </c>
      <c r="H29" s="24">
        <f t="shared" si="3"/>
        <v>0.8</v>
      </c>
      <c r="I29" s="27">
        <f t="shared" si="4"/>
        <v>949.18319999999994</v>
      </c>
    </row>
    <row r="30" spans="1:9" ht="28.5" x14ac:dyDescent="0.25">
      <c r="A30" s="16" t="s">
        <v>41</v>
      </c>
      <c r="B30" s="24">
        <v>8</v>
      </c>
      <c r="C30" s="24">
        <v>2</v>
      </c>
      <c r="D30" s="24">
        <f t="shared" si="0"/>
        <v>16</v>
      </c>
      <c r="E30" s="24">
        <f>ROUNDUP(E28*0.1, 0)</f>
        <v>1</v>
      </c>
      <c r="F30" s="24">
        <f t="shared" si="1"/>
        <v>16</v>
      </c>
      <c r="G30" s="24">
        <f t="shared" si="2"/>
        <v>0.8</v>
      </c>
      <c r="H30" s="24">
        <f t="shared" si="3"/>
        <v>1.6</v>
      </c>
      <c r="I30" s="27">
        <f t="shared" si="4"/>
        <v>1898.3663999999999</v>
      </c>
    </row>
    <row r="31" spans="1:9" ht="15.75" x14ac:dyDescent="0.25">
      <c r="A31" s="16" t="s">
        <v>42</v>
      </c>
      <c r="B31" s="24">
        <v>24</v>
      </c>
      <c r="C31" s="24">
        <v>2</v>
      </c>
      <c r="D31" s="24">
        <f t="shared" si="0"/>
        <v>48</v>
      </c>
      <c r="E31" s="24">
        <f>E28*0.1</f>
        <v>0.4</v>
      </c>
      <c r="F31" s="24">
        <f t="shared" si="1"/>
        <v>19.200000000000003</v>
      </c>
      <c r="G31" s="24">
        <f t="shared" si="2"/>
        <v>0.96000000000000019</v>
      </c>
      <c r="H31" s="24">
        <f t="shared" si="3"/>
        <v>1.9200000000000004</v>
      </c>
      <c r="I31" s="27">
        <f t="shared" si="4"/>
        <v>2278.0396800000003</v>
      </c>
    </row>
    <row r="32" spans="1:9" x14ac:dyDescent="0.25">
      <c r="A32" s="29" t="s">
        <v>43</v>
      </c>
      <c r="B32" s="24"/>
      <c r="C32" s="24"/>
      <c r="D32" s="24"/>
      <c r="E32" s="24"/>
      <c r="F32" s="30">
        <f>SUM(F8:H31)</f>
        <v>1108.6000000000001</v>
      </c>
      <c r="G32" s="31"/>
      <c r="H32" s="32"/>
      <c r="I32" s="33">
        <f>SUM(I8:I31)</f>
        <v>114376.57560000001</v>
      </c>
    </row>
    <row r="33" spans="1:9" x14ac:dyDescent="0.25">
      <c r="A33" s="16" t="s">
        <v>44</v>
      </c>
      <c r="B33" s="24"/>
      <c r="C33" s="24"/>
      <c r="D33" s="24"/>
      <c r="E33" s="24"/>
      <c r="F33" s="24"/>
      <c r="G33" s="24"/>
      <c r="H33" s="24"/>
      <c r="I33" s="27"/>
    </row>
    <row r="34" spans="1:9" x14ac:dyDescent="0.25">
      <c r="A34" s="16" t="s">
        <v>45</v>
      </c>
      <c r="B34" s="24" t="s">
        <v>67</v>
      </c>
      <c r="C34" s="24"/>
      <c r="D34" s="24"/>
      <c r="E34" s="24"/>
      <c r="F34" s="24"/>
      <c r="G34" s="24"/>
      <c r="H34" s="24"/>
      <c r="I34" s="27"/>
    </row>
    <row r="35" spans="1:9" x14ac:dyDescent="0.25">
      <c r="A35" s="16" t="s">
        <v>46</v>
      </c>
      <c r="B35" s="24" t="s">
        <v>65</v>
      </c>
      <c r="C35" s="24"/>
      <c r="D35" s="24"/>
      <c r="E35" s="24"/>
      <c r="F35" s="24"/>
      <c r="G35" s="24"/>
      <c r="H35" s="24"/>
      <c r="I35" s="27"/>
    </row>
    <row r="36" spans="1:9" x14ac:dyDescent="0.25">
      <c r="A36" s="16" t="s">
        <v>47</v>
      </c>
      <c r="B36" s="24" t="s">
        <v>65</v>
      </c>
      <c r="C36" s="24"/>
      <c r="D36" s="24"/>
      <c r="E36" s="24"/>
      <c r="F36" s="24"/>
      <c r="G36" s="24"/>
      <c r="H36" s="24"/>
      <c r="I36" s="27"/>
    </row>
    <row r="37" spans="1:9" x14ac:dyDescent="0.25">
      <c r="A37" s="16" t="s">
        <v>48</v>
      </c>
      <c r="B37" s="24" t="s">
        <v>65</v>
      </c>
      <c r="C37" s="24"/>
      <c r="D37" s="24"/>
      <c r="E37" s="24"/>
      <c r="F37" s="24"/>
      <c r="G37" s="24"/>
      <c r="H37" s="24"/>
      <c r="I37" s="27"/>
    </row>
    <row r="38" spans="1:9" x14ac:dyDescent="0.25">
      <c r="A38" s="16" t="s">
        <v>49</v>
      </c>
      <c r="B38" s="24"/>
      <c r="C38" s="24"/>
      <c r="D38" s="24"/>
      <c r="E38" s="24"/>
      <c r="F38" s="24"/>
      <c r="G38" s="24"/>
      <c r="H38" s="24"/>
      <c r="I38" s="27"/>
    </row>
    <row r="39" spans="1:9" x14ac:dyDescent="0.25">
      <c r="A39" s="16" t="s">
        <v>50</v>
      </c>
      <c r="B39" s="24">
        <v>2</v>
      </c>
      <c r="C39" s="24">
        <v>52</v>
      </c>
      <c r="D39" s="24">
        <f t="shared" si="0"/>
        <v>104</v>
      </c>
      <c r="E39" s="24">
        <v>0</v>
      </c>
      <c r="F39" s="24">
        <f t="shared" si="1"/>
        <v>0</v>
      </c>
      <c r="G39" s="24">
        <f t="shared" si="2"/>
        <v>0</v>
      </c>
      <c r="H39" s="24">
        <f t="shared" si="3"/>
        <v>0</v>
      </c>
      <c r="I39" s="28">
        <f t="shared" si="4"/>
        <v>0</v>
      </c>
    </row>
    <row r="40" spans="1:9" ht="25.5" x14ac:dyDescent="0.25">
      <c r="A40" s="16" t="s">
        <v>51</v>
      </c>
      <c r="B40" s="24">
        <v>2</v>
      </c>
      <c r="C40" s="24">
        <v>1</v>
      </c>
      <c r="D40" s="24">
        <f t="shared" si="0"/>
        <v>2</v>
      </c>
      <c r="E40" s="24">
        <f>E31</f>
        <v>0.4</v>
      </c>
      <c r="F40" s="24">
        <f t="shared" si="1"/>
        <v>0.8</v>
      </c>
      <c r="G40" s="24">
        <f t="shared" si="2"/>
        <v>4.0000000000000008E-2</v>
      </c>
      <c r="H40" s="24">
        <f t="shared" si="3"/>
        <v>8.0000000000000016E-2</v>
      </c>
      <c r="I40" s="27">
        <f t="shared" si="4"/>
        <v>94.918319999999994</v>
      </c>
    </row>
    <row r="41" spans="1:9" x14ac:dyDescent="0.25">
      <c r="A41" s="16" t="s">
        <v>52</v>
      </c>
      <c r="B41" s="24">
        <v>2</v>
      </c>
      <c r="C41" s="24">
        <v>1</v>
      </c>
      <c r="D41" s="24">
        <f t="shared" si="0"/>
        <v>2</v>
      </c>
      <c r="E41" s="24">
        <v>4</v>
      </c>
      <c r="F41" s="24">
        <f t="shared" si="1"/>
        <v>8</v>
      </c>
      <c r="G41" s="24">
        <f t="shared" si="2"/>
        <v>0.4</v>
      </c>
      <c r="H41" s="24">
        <f t="shared" si="3"/>
        <v>0.8</v>
      </c>
      <c r="I41" s="27">
        <f t="shared" si="4"/>
        <v>949.18319999999994</v>
      </c>
    </row>
    <row r="42" spans="1:9" x14ac:dyDescent="0.25">
      <c r="A42" s="16" t="s">
        <v>53</v>
      </c>
      <c r="B42" s="24">
        <v>2</v>
      </c>
      <c r="C42" s="24">
        <v>1</v>
      </c>
      <c r="D42" s="24">
        <f t="shared" si="0"/>
        <v>2</v>
      </c>
      <c r="E42" s="24">
        <v>1</v>
      </c>
      <c r="F42" s="24">
        <f t="shared" si="1"/>
        <v>2</v>
      </c>
      <c r="G42" s="24">
        <f t="shared" si="2"/>
        <v>0.1</v>
      </c>
      <c r="H42" s="24">
        <f t="shared" si="3"/>
        <v>0.2</v>
      </c>
      <c r="I42" s="27">
        <f t="shared" si="4"/>
        <v>237.29579999999999</v>
      </c>
    </row>
    <row r="43" spans="1:9" ht="25.5" x14ac:dyDescent="0.25">
      <c r="A43" s="16" t="s">
        <v>54</v>
      </c>
      <c r="B43" s="24">
        <v>2</v>
      </c>
      <c r="C43" s="24">
        <v>1</v>
      </c>
      <c r="D43" s="24">
        <f t="shared" si="0"/>
        <v>2</v>
      </c>
      <c r="E43" s="24">
        <v>4</v>
      </c>
      <c r="F43" s="24">
        <f t="shared" si="1"/>
        <v>8</v>
      </c>
      <c r="G43" s="24">
        <f t="shared" si="2"/>
        <v>0.4</v>
      </c>
      <c r="H43" s="24">
        <f t="shared" si="3"/>
        <v>0.8</v>
      </c>
      <c r="I43" s="27">
        <f t="shared" si="4"/>
        <v>949.18319999999994</v>
      </c>
    </row>
    <row r="44" spans="1:9" ht="25.5" x14ac:dyDescent="0.25">
      <c r="A44" s="16" t="s">
        <v>55</v>
      </c>
      <c r="B44" s="24">
        <v>2</v>
      </c>
      <c r="C44" s="24">
        <v>1</v>
      </c>
      <c r="D44" s="24">
        <f t="shared" si="0"/>
        <v>2</v>
      </c>
      <c r="E44" s="24">
        <v>4</v>
      </c>
      <c r="F44" s="24">
        <f t="shared" si="1"/>
        <v>8</v>
      </c>
      <c r="G44" s="24">
        <f t="shared" si="2"/>
        <v>0.4</v>
      </c>
      <c r="H44" s="24">
        <f t="shared" si="3"/>
        <v>0.8</v>
      </c>
      <c r="I44" s="27">
        <f t="shared" si="4"/>
        <v>949.18319999999994</v>
      </c>
    </row>
    <row r="45" spans="1:9" ht="25.5" x14ac:dyDescent="0.25">
      <c r="A45" s="16" t="s">
        <v>56</v>
      </c>
      <c r="B45" s="24">
        <v>2</v>
      </c>
      <c r="C45" s="24">
        <v>1</v>
      </c>
      <c r="D45" s="24">
        <f t="shared" si="0"/>
        <v>2</v>
      </c>
      <c r="E45" s="24">
        <v>4</v>
      </c>
      <c r="F45" s="24">
        <f t="shared" si="1"/>
        <v>8</v>
      </c>
      <c r="G45" s="24">
        <f t="shared" si="2"/>
        <v>0.4</v>
      </c>
      <c r="H45" s="24">
        <f t="shared" si="3"/>
        <v>0.8</v>
      </c>
      <c r="I45" s="27">
        <f t="shared" si="4"/>
        <v>949.18319999999994</v>
      </c>
    </row>
    <row r="46" spans="1:9" x14ac:dyDescent="0.25">
      <c r="A46" s="16" t="s">
        <v>57</v>
      </c>
      <c r="B46" s="24">
        <v>2</v>
      </c>
      <c r="C46" s="24">
        <v>1</v>
      </c>
      <c r="D46" s="24">
        <f t="shared" si="0"/>
        <v>2</v>
      </c>
      <c r="E46" s="24">
        <v>4</v>
      </c>
      <c r="F46" s="24">
        <f t="shared" si="1"/>
        <v>8</v>
      </c>
      <c r="G46" s="24">
        <f t="shared" si="2"/>
        <v>0.4</v>
      </c>
      <c r="H46" s="24">
        <f t="shared" si="3"/>
        <v>0.8</v>
      </c>
      <c r="I46" s="27">
        <f t="shared" si="4"/>
        <v>949.18319999999994</v>
      </c>
    </row>
    <row r="47" spans="1:9" x14ac:dyDescent="0.25">
      <c r="A47" s="16" t="s">
        <v>58</v>
      </c>
      <c r="B47" s="24">
        <v>24</v>
      </c>
      <c r="C47" s="24">
        <v>1</v>
      </c>
      <c r="D47" s="24">
        <f t="shared" si="0"/>
        <v>24</v>
      </c>
      <c r="E47" s="24">
        <v>4</v>
      </c>
      <c r="F47" s="24">
        <f t="shared" si="1"/>
        <v>96</v>
      </c>
      <c r="G47" s="24">
        <f t="shared" si="2"/>
        <v>4.8000000000000007</v>
      </c>
      <c r="H47" s="24">
        <f t="shared" si="3"/>
        <v>9.6000000000000014</v>
      </c>
      <c r="I47" s="27">
        <f t="shared" si="4"/>
        <v>11390.198399999999</v>
      </c>
    </row>
    <row r="48" spans="1:9" x14ac:dyDescent="0.25">
      <c r="A48" s="16" t="s">
        <v>59</v>
      </c>
      <c r="B48" s="24" t="s">
        <v>66</v>
      </c>
      <c r="C48" s="24"/>
      <c r="D48" s="24"/>
      <c r="E48" s="24"/>
      <c r="F48" s="24"/>
      <c r="G48" s="24"/>
      <c r="H48" s="24"/>
      <c r="I48" s="26"/>
    </row>
    <row r="49" spans="1:9" x14ac:dyDescent="0.25">
      <c r="A49" s="16" t="s">
        <v>60</v>
      </c>
      <c r="B49" s="24" t="s">
        <v>65</v>
      </c>
      <c r="C49" s="24"/>
      <c r="D49" s="24"/>
      <c r="E49" s="24"/>
      <c r="F49" s="24"/>
      <c r="G49" s="24"/>
      <c r="H49" s="24"/>
      <c r="I49" s="26"/>
    </row>
    <row r="50" spans="1:9" x14ac:dyDescent="0.25">
      <c r="A50" s="29" t="s">
        <v>61</v>
      </c>
      <c r="B50" s="24"/>
      <c r="C50" s="24"/>
      <c r="D50" s="24"/>
      <c r="E50" s="24"/>
      <c r="F50" s="30">
        <f>SUM(F39:H47)</f>
        <v>159.62</v>
      </c>
      <c r="G50" s="31"/>
      <c r="H50" s="32"/>
      <c r="I50" s="33">
        <f>SUM(I39:I47)</f>
        <v>16468.328519999999</v>
      </c>
    </row>
    <row r="51" spans="1:9" ht="28.5" x14ac:dyDescent="0.25">
      <c r="A51" s="17" t="s">
        <v>62</v>
      </c>
      <c r="B51" s="24"/>
      <c r="C51" s="24"/>
      <c r="D51" s="24"/>
      <c r="E51" s="24"/>
      <c r="F51" s="30">
        <f>ROUND(SUM(F50,F32), -1)</f>
        <v>1270</v>
      </c>
      <c r="G51" s="31"/>
      <c r="H51" s="32"/>
      <c r="I51" s="33">
        <f>ROUND(SUM(I50,I32),-3)</f>
        <v>131000</v>
      </c>
    </row>
    <row r="52" spans="1:9" x14ac:dyDescent="0.25">
      <c r="A52" s="5" t="s">
        <v>63</v>
      </c>
      <c r="B52" s="24"/>
      <c r="C52" s="24"/>
      <c r="D52" s="24"/>
      <c r="E52" s="24"/>
      <c r="F52" s="24"/>
      <c r="G52" s="24"/>
      <c r="H52" s="24"/>
      <c r="I52" s="34">
        <f>'Capital-Startup and O&amp;M'!H8</f>
        <v>694000</v>
      </c>
    </row>
    <row r="53" spans="1:9" ht="15.75" x14ac:dyDescent="0.25">
      <c r="A53" s="17" t="s">
        <v>64</v>
      </c>
      <c r="B53" s="24"/>
      <c r="C53" s="24"/>
      <c r="D53" s="24"/>
      <c r="E53" s="24"/>
      <c r="F53" s="30">
        <f>F51</f>
        <v>1270</v>
      </c>
      <c r="G53" s="31"/>
      <c r="H53" s="32"/>
      <c r="I53" s="33">
        <f>ROUND(I52+I51, -3)</f>
        <v>825000</v>
      </c>
    </row>
    <row r="54" spans="1:9" x14ac:dyDescent="0.25">
      <c r="G54" s="35">
        <f>F53/Respondents!L13</f>
        <v>99.21875</v>
      </c>
      <c r="H54" s="25" t="s">
        <v>165</v>
      </c>
    </row>
    <row r="55" spans="1:9" x14ac:dyDescent="0.25">
      <c r="A55" s="36" t="s">
        <v>76</v>
      </c>
      <c r="B55" s="37"/>
      <c r="C55" s="37"/>
      <c r="D55" s="37"/>
      <c r="E55" s="37"/>
      <c r="F55" s="37"/>
      <c r="G55" s="37"/>
      <c r="H55" s="37"/>
      <c r="I55" s="37"/>
    </row>
    <row r="56" spans="1:9" ht="27.75" customHeight="1" x14ac:dyDescent="0.25">
      <c r="A56" s="23" t="s">
        <v>77</v>
      </c>
      <c r="B56" s="23"/>
      <c r="C56" s="23"/>
      <c r="D56" s="23"/>
      <c r="E56" s="23"/>
      <c r="F56" s="23"/>
      <c r="G56" s="23"/>
      <c r="H56" s="23"/>
      <c r="I56" s="23"/>
    </row>
    <row r="57" spans="1:9" ht="40.5" customHeight="1" x14ac:dyDescent="0.25">
      <c r="A57" s="23" t="s">
        <v>78</v>
      </c>
      <c r="B57" s="23"/>
      <c r="C57" s="23"/>
      <c r="D57" s="23"/>
      <c r="E57" s="23"/>
      <c r="F57" s="23"/>
      <c r="G57" s="23"/>
      <c r="H57" s="23"/>
      <c r="I57" s="23"/>
    </row>
    <row r="58" spans="1:9" x14ac:dyDescent="0.25">
      <c r="A58" s="23" t="s">
        <v>79</v>
      </c>
      <c r="B58" s="23"/>
      <c r="C58" s="23"/>
      <c r="D58" s="23"/>
      <c r="E58" s="23"/>
      <c r="F58" s="23"/>
      <c r="G58" s="23"/>
      <c r="H58" s="23"/>
      <c r="I58" s="23"/>
    </row>
    <row r="59" spans="1:9" x14ac:dyDescent="0.25">
      <c r="A59" s="23" t="s">
        <v>80</v>
      </c>
      <c r="B59" s="23"/>
      <c r="C59" s="23"/>
      <c r="D59" s="23"/>
      <c r="E59" s="23"/>
      <c r="F59" s="23"/>
      <c r="G59" s="23"/>
      <c r="H59" s="23"/>
      <c r="I59" s="23"/>
    </row>
    <row r="60" spans="1:9" x14ac:dyDescent="0.25">
      <c r="A60" s="23" t="s">
        <v>81</v>
      </c>
      <c r="B60" s="23"/>
      <c r="C60" s="23"/>
      <c r="D60" s="23"/>
      <c r="E60" s="23"/>
      <c r="F60" s="23"/>
      <c r="G60" s="23"/>
      <c r="H60" s="23"/>
      <c r="I60" s="23"/>
    </row>
    <row r="61" spans="1:9" x14ac:dyDescent="0.25">
      <c r="A61" s="23" t="s">
        <v>82</v>
      </c>
      <c r="B61" s="23"/>
      <c r="C61" s="23"/>
      <c r="D61" s="23"/>
      <c r="E61" s="23"/>
      <c r="F61" s="23"/>
      <c r="G61" s="23"/>
      <c r="H61" s="23"/>
      <c r="I61" s="23"/>
    </row>
    <row r="62" spans="1:9" x14ac:dyDescent="0.25">
      <c r="A62" s="23" t="s">
        <v>83</v>
      </c>
      <c r="B62" s="23"/>
      <c r="C62" s="23"/>
      <c r="D62" s="23"/>
      <c r="E62" s="23"/>
      <c r="F62" s="23"/>
      <c r="G62" s="23"/>
      <c r="H62" s="23"/>
      <c r="I62" s="23"/>
    </row>
    <row r="63" spans="1:9" x14ac:dyDescent="0.25">
      <c r="A63" s="23" t="s">
        <v>84</v>
      </c>
      <c r="B63" s="23"/>
      <c r="C63" s="23"/>
      <c r="D63" s="23"/>
      <c r="E63" s="23"/>
      <c r="F63" s="23"/>
      <c r="G63" s="23"/>
      <c r="H63" s="23"/>
      <c r="I63" s="23"/>
    </row>
    <row r="64" spans="1:9" x14ac:dyDescent="0.25">
      <c r="A64" s="23" t="s">
        <v>85</v>
      </c>
      <c r="B64" s="23"/>
      <c r="C64" s="23"/>
      <c r="D64" s="23"/>
      <c r="E64" s="23"/>
      <c r="F64" s="23"/>
      <c r="G64" s="23"/>
      <c r="H64" s="23"/>
      <c r="I64" s="23"/>
    </row>
  </sheetData>
  <mergeCells count="15">
    <mergeCell ref="F53:H53"/>
    <mergeCell ref="A3:A4"/>
    <mergeCell ref="K4:M4"/>
    <mergeCell ref="F32:H32"/>
    <mergeCell ref="F50:H50"/>
    <mergeCell ref="F51:H51"/>
    <mergeCell ref="A62:I62"/>
    <mergeCell ref="A63:I63"/>
    <mergeCell ref="A64:I64"/>
    <mergeCell ref="A56:I56"/>
    <mergeCell ref="A57:I57"/>
    <mergeCell ref="A58:I58"/>
    <mergeCell ref="A59:I59"/>
    <mergeCell ref="A60:I60"/>
    <mergeCell ref="A61:I6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sqref="A1:A2"/>
    </sheetView>
  </sheetViews>
  <sheetFormatPr defaultRowHeight="15" x14ac:dyDescent="0.25"/>
  <cols>
    <col min="1" max="1" width="30.42578125" style="25" customWidth="1"/>
    <col min="2" max="2" width="13" style="25" customWidth="1"/>
    <col min="3" max="3" width="12.7109375" style="25" customWidth="1"/>
    <col min="4" max="4" width="11.7109375" style="25" customWidth="1"/>
    <col min="5" max="5" width="10.5703125" style="25" customWidth="1"/>
    <col min="6" max="6" width="9.140625" style="25"/>
    <col min="7" max="7" width="11.140625" style="25" customWidth="1"/>
    <col min="8" max="8" width="9.140625" style="25"/>
    <col min="9" max="9" width="10.42578125" style="25" customWidth="1"/>
    <col min="10" max="10" width="9.140625" style="25"/>
    <col min="11" max="11" width="21.5703125" style="25" customWidth="1"/>
    <col min="12" max="12" width="9.5703125" style="25" customWidth="1"/>
    <col min="13" max="13" width="12.42578125" style="25" customWidth="1"/>
    <col min="14" max="16384" width="9.140625" style="25"/>
  </cols>
  <sheetData>
    <row r="1" spans="1:13" ht="15.75" thickBot="1" x14ac:dyDescent="0.3">
      <c r="A1" s="18" t="s">
        <v>0</v>
      </c>
      <c r="B1" s="1" t="s">
        <v>1</v>
      </c>
      <c r="C1" s="1" t="s">
        <v>2</v>
      </c>
      <c r="D1" s="1" t="s">
        <v>3</v>
      </c>
      <c r="E1" s="1" t="s">
        <v>4</v>
      </c>
      <c r="F1" s="1" t="s">
        <v>5</v>
      </c>
      <c r="G1" s="1" t="s">
        <v>6</v>
      </c>
      <c r="H1" s="1" t="s">
        <v>7</v>
      </c>
      <c r="I1" s="2" t="s">
        <v>8</v>
      </c>
      <c r="K1" s="22" t="s">
        <v>134</v>
      </c>
      <c r="L1" s="22"/>
      <c r="M1" s="22"/>
    </row>
    <row r="2" spans="1:13" ht="77.25" thickBot="1" x14ac:dyDescent="0.3">
      <c r="A2" s="19"/>
      <c r="B2" s="3" t="s">
        <v>9</v>
      </c>
      <c r="C2" s="3" t="s">
        <v>10</v>
      </c>
      <c r="D2" s="3" t="s">
        <v>11</v>
      </c>
      <c r="E2" s="3" t="s">
        <v>12</v>
      </c>
      <c r="F2" s="3" t="s">
        <v>16</v>
      </c>
      <c r="G2" s="3" t="s">
        <v>13</v>
      </c>
      <c r="H2" s="3" t="s">
        <v>14</v>
      </c>
      <c r="I2" s="4" t="s">
        <v>15</v>
      </c>
      <c r="K2" s="10"/>
      <c r="L2" s="11" t="s">
        <v>135</v>
      </c>
      <c r="M2" s="12" t="s">
        <v>136</v>
      </c>
    </row>
    <row r="3" spans="1:13" x14ac:dyDescent="0.25">
      <c r="A3" s="16" t="s">
        <v>140</v>
      </c>
      <c r="B3" s="24" t="s">
        <v>65</v>
      </c>
      <c r="C3" s="24"/>
      <c r="D3" s="24"/>
      <c r="E3" s="24"/>
      <c r="F3" s="24"/>
      <c r="G3" s="24"/>
      <c r="H3" s="24"/>
      <c r="I3" s="26"/>
      <c r="K3" s="13" t="s">
        <v>137</v>
      </c>
      <c r="L3" s="13">
        <v>29.76</v>
      </c>
      <c r="M3" s="38">
        <f>L3*1.6</f>
        <v>47.616000000000007</v>
      </c>
    </row>
    <row r="4" spans="1:13" ht="25.5" x14ac:dyDescent="0.25">
      <c r="A4" s="16" t="s">
        <v>141</v>
      </c>
      <c r="B4" s="24">
        <v>40</v>
      </c>
      <c r="C4" s="24">
        <v>1</v>
      </c>
      <c r="D4" s="24">
        <f>B4*C4</f>
        <v>40</v>
      </c>
      <c r="E4" s="24">
        <f>Industry!E8</f>
        <v>4</v>
      </c>
      <c r="F4" s="24">
        <f>D4*E4</f>
        <v>160</v>
      </c>
      <c r="G4" s="24">
        <f>F4*0.05</f>
        <v>8</v>
      </c>
      <c r="H4" s="24">
        <f>F4*0.1</f>
        <v>16</v>
      </c>
      <c r="I4" s="27">
        <f>F4*$M$3+G4*$M$4+H4*$M$5</f>
        <v>8544.0000000000018</v>
      </c>
      <c r="K4" s="14" t="s">
        <v>138</v>
      </c>
      <c r="L4" s="14">
        <v>40.1</v>
      </c>
      <c r="M4" s="39">
        <f>L4*1.6</f>
        <v>64.160000000000011</v>
      </c>
    </row>
    <row r="5" spans="1:13" x14ac:dyDescent="0.25">
      <c r="A5" s="16" t="s">
        <v>142</v>
      </c>
      <c r="B5" s="24"/>
      <c r="C5" s="24"/>
      <c r="D5" s="24"/>
      <c r="E5" s="24"/>
      <c r="F5" s="24"/>
      <c r="G5" s="24"/>
      <c r="H5" s="24"/>
      <c r="I5" s="27"/>
      <c r="K5" s="15" t="s">
        <v>139</v>
      </c>
      <c r="L5" s="15">
        <v>16.100000000000001</v>
      </c>
      <c r="M5" s="39">
        <f>L5*1.6</f>
        <v>25.760000000000005</v>
      </c>
    </row>
    <row r="6" spans="1:13" ht="15.75" x14ac:dyDescent="0.25">
      <c r="A6" s="16" t="s">
        <v>143</v>
      </c>
      <c r="B6" s="24">
        <v>48</v>
      </c>
      <c r="C6" s="24">
        <v>1</v>
      </c>
      <c r="D6" s="24">
        <f t="shared" ref="D6:D16" si="0">B6*C6</f>
        <v>48</v>
      </c>
      <c r="E6" s="24">
        <v>1</v>
      </c>
      <c r="F6" s="24">
        <f t="shared" ref="F6:F16" si="1">D6*E6</f>
        <v>48</v>
      </c>
      <c r="G6" s="24">
        <f t="shared" ref="G6:G16" si="2">F6*0.05</f>
        <v>2.4000000000000004</v>
      </c>
      <c r="H6" s="24">
        <f t="shared" ref="H6:H16" si="3">F6*0.1</f>
        <v>4.8000000000000007</v>
      </c>
      <c r="I6" s="27">
        <f>F6*$M$3+G6*$M$4+H6*$M$5</f>
        <v>2563.2000000000003</v>
      </c>
    </row>
    <row r="7" spans="1:13" ht="25.5" x14ac:dyDescent="0.25">
      <c r="A7" s="16" t="s">
        <v>144</v>
      </c>
      <c r="B7" s="24">
        <v>24</v>
      </c>
      <c r="C7" s="24">
        <v>1</v>
      </c>
      <c r="D7" s="24">
        <f t="shared" si="0"/>
        <v>24</v>
      </c>
      <c r="E7" s="24">
        <v>1</v>
      </c>
      <c r="F7" s="24">
        <f t="shared" si="1"/>
        <v>24</v>
      </c>
      <c r="G7" s="24">
        <f t="shared" si="2"/>
        <v>1.2000000000000002</v>
      </c>
      <c r="H7" s="24">
        <f t="shared" si="3"/>
        <v>2.4000000000000004</v>
      </c>
      <c r="I7" s="27">
        <f>F7*$M$3+G7*$M$4+H7*$M$5</f>
        <v>1281.6000000000001</v>
      </c>
    </row>
    <row r="8" spans="1:13" x14ac:dyDescent="0.25">
      <c r="A8" s="16" t="s">
        <v>145</v>
      </c>
      <c r="B8" s="24" t="s">
        <v>65</v>
      </c>
      <c r="C8" s="24"/>
      <c r="D8" s="24"/>
      <c r="E8" s="24"/>
      <c r="F8" s="24"/>
      <c r="G8" s="24"/>
      <c r="H8" s="24"/>
      <c r="I8" s="27"/>
    </row>
    <row r="9" spans="1:13" x14ac:dyDescent="0.25">
      <c r="A9" s="16" t="s">
        <v>146</v>
      </c>
      <c r="B9" s="24" t="s">
        <v>65</v>
      </c>
      <c r="C9" s="24"/>
      <c r="D9" s="24"/>
      <c r="E9" s="24"/>
      <c r="F9" s="24"/>
      <c r="G9" s="24"/>
      <c r="H9" s="24"/>
      <c r="I9" s="27"/>
    </row>
    <row r="10" spans="1:13" x14ac:dyDescent="0.25">
      <c r="A10" s="16" t="s">
        <v>147</v>
      </c>
      <c r="B10" s="24"/>
      <c r="C10" s="24"/>
      <c r="D10" s="24"/>
      <c r="E10" s="24"/>
      <c r="F10" s="24"/>
      <c r="G10" s="24"/>
      <c r="H10" s="24"/>
      <c r="I10" s="27"/>
    </row>
    <row r="11" spans="1:13" ht="15.75" x14ac:dyDescent="0.25">
      <c r="A11" s="16" t="s">
        <v>148</v>
      </c>
      <c r="B11" s="24">
        <v>40</v>
      </c>
      <c r="C11" s="24">
        <v>2</v>
      </c>
      <c r="D11" s="24">
        <f t="shared" si="0"/>
        <v>80</v>
      </c>
      <c r="E11" s="24">
        <v>1</v>
      </c>
      <c r="F11" s="24">
        <f t="shared" si="1"/>
        <v>80</v>
      </c>
      <c r="G11" s="24">
        <f t="shared" si="2"/>
        <v>4</v>
      </c>
      <c r="H11" s="24">
        <f t="shared" si="3"/>
        <v>8</v>
      </c>
      <c r="I11" s="28">
        <f>F11*$M$3+G11*$M$4+H11*$M$5</f>
        <v>4272.0000000000009</v>
      </c>
    </row>
    <row r="12" spans="1:13" x14ac:dyDescent="0.25">
      <c r="A12" s="16" t="s">
        <v>149</v>
      </c>
      <c r="B12" s="24">
        <v>40</v>
      </c>
      <c r="C12" s="24">
        <v>1</v>
      </c>
      <c r="D12" s="24">
        <f t="shared" si="0"/>
        <v>40</v>
      </c>
      <c r="E12" s="24">
        <v>1</v>
      </c>
      <c r="F12" s="24">
        <f t="shared" si="1"/>
        <v>40</v>
      </c>
      <c r="G12" s="24">
        <f t="shared" si="2"/>
        <v>2</v>
      </c>
      <c r="H12" s="24">
        <f t="shared" si="3"/>
        <v>4</v>
      </c>
      <c r="I12" s="28">
        <f>F12*$M$3+G12*$M$4+H12*$M$5</f>
        <v>2136.0000000000005</v>
      </c>
    </row>
    <row r="13" spans="1:13" x14ac:dyDescent="0.25">
      <c r="A13" s="16" t="s">
        <v>150</v>
      </c>
      <c r="B13" s="24">
        <v>8</v>
      </c>
      <c r="C13" s="24">
        <v>1</v>
      </c>
      <c r="D13" s="24">
        <f t="shared" si="0"/>
        <v>8</v>
      </c>
      <c r="E13" s="24">
        <f>Industry!E28</f>
        <v>4</v>
      </c>
      <c r="F13" s="24">
        <f t="shared" si="1"/>
        <v>32</v>
      </c>
      <c r="G13" s="24">
        <f t="shared" si="2"/>
        <v>1.6</v>
      </c>
      <c r="H13" s="24">
        <f t="shared" si="3"/>
        <v>3.2</v>
      </c>
      <c r="I13" s="28">
        <f t="shared" ref="I13:I16" si="4">F13*$M$3+G13*$M$4+H13*$M$5</f>
        <v>1708.8000000000002</v>
      </c>
    </row>
    <row r="14" spans="1:13" ht="38.25" x14ac:dyDescent="0.25">
      <c r="A14" s="16" t="s">
        <v>151</v>
      </c>
      <c r="B14" s="24">
        <v>16</v>
      </c>
      <c r="C14" s="24">
        <f>Industry!C31</f>
        <v>2</v>
      </c>
      <c r="D14" s="24">
        <f t="shared" si="0"/>
        <v>32</v>
      </c>
      <c r="E14" s="24">
        <f>Industry!E31</f>
        <v>0.4</v>
      </c>
      <c r="F14" s="24">
        <f t="shared" si="1"/>
        <v>12.8</v>
      </c>
      <c r="G14" s="24">
        <f t="shared" si="2"/>
        <v>0.64000000000000012</v>
      </c>
      <c r="H14" s="24">
        <f t="shared" si="3"/>
        <v>1.2800000000000002</v>
      </c>
      <c r="I14" s="27">
        <f t="shared" si="4"/>
        <v>683.5200000000001</v>
      </c>
    </row>
    <row r="15" spans="1:13" ht="38.25" x14ac:dyDescent="0.25">
      <c r="A15" s="16" t="s">
        <v>152</v>
      </c>
      <c r="B15" s="24">
        <v>4</v>
      </c>
      <c r="C15" s="24">
        <v>1</v>
      </c>
      <c r="D15" s="24">
        <f t="shared" si="0"/>
        <v>4</v>
      </c>
      <c r="E15" s="24">
        <f>Industry!E30</f>
        <v>1</v>
      </c>
      <c r="F15" s="24">
        <f t="shared" si="1"/>
        <v>4</v>
      </c>
      <c r="G15" s="24">
        <f t="shared" si="2"/>
        <v>0.2</v>
      </c>
      <c r="H15" s="24">
        <f t="shared" si="3"/>
        <v>0.4</v>
      </c>
      <c r="I15" s="27">
        <f t="shared" si="4"/>
        <v>213.60000000000002</v>
      </c>
    </row>
    <row r="16" spans="1:13" ht="15.75" x14ac:dyDescent="0.25">
      <c r="A16" s="16" t="s">
        <v>153</v>
      </c>
      <c r="B16" s="24">
        <v>4</v>
      </c>
      <c r="C16" s="24">
        <v>1</v>
      </c>
      <c r="D16" s="24">
        <f t="shared" si="0"/>
        <v>4</v>
      </c>
      <c r="E16" s="24">
        <v>4</v>
      </c>
      <c r="F16" s="24">
        <f t="shared" si="1"/>
        <v>16</v>
      </c>
      <c r="G16" s="24">
        <f t="shared" si="2"/>
        <v>0.8</v>
      </c>
      <c r="H16" s="24">
        <f t="shared" si="3"/>
        <v>1.6</v>
      </c>
      <c r="I16" s="27">
        <f t="shared" si="4"/>
        <v>854.40000000000009</v>
      </c>
    </row>
    <row r="17" spans="1:9" ht="15.75" x14ac:dyDescent="0.25">
      <c r="A17" s="17" t="s">
        <v>154</v>
      </c>
      <c r="B17" s="24"/>
      <c r="C17" s="24"/>
      <c r="D17" s="24"/>
      <c r="E17" s="24"/>
      <c r="F17" s="40">
        <f>ROUND(SUM(F4:H16),0)</f>
        <v>479</v>
      </c>
      <c r="G17" s="41"/>
      <c r="H17" s="42"/>
      <c r="I17" s="33">
        <f>ROUND(SUM(I4:I16),-2)</f>
        <v>22300</v>
      </c>
    </row>
    <row r="19" spans="1:9" x14ac:dyDescent="0.25">
      <c r="A19" s="36" t="s">
        <v>76</v>
      </c>
      <c r="B19" s="43"/>
    </row>
    <row r="20" spans="1:9" ht="42" customHeight="1" x14ac:dyDescent="0.25">
      <c r="A20" s="44" t="s">
        <v>104</v>
      </c>
      <c r="B20" s="44"/>
      <c r="C20" s="44"/>
      <c r="D20" s="44"/>
      <c r="E20" s="44"/>
      <c r="F20" s="44"/>
      <c r="G20" s="44"/>
      <c r="H20" s="44"/>
      <c r="I20" s="44"/>
    </row>
    <row r="21" spans="1:9" ht="39.75" customHeight="1" x14ac:dyDescent="0.25">
      <c r="A21" s="45" t="s">
        <v>158</v>
      </c>
      <c r="B21" s="45"/>
      <c r="C21" s="45"/>
      <c r="D21" s="45"/>
      <c r="E21" s="45"/>
      <c r="F21" s="45"/>
      <c r="G21" s="45"/>
      <c r="H21" s="45"/>
      <c r="I21" s="45"/>
    </row>
    <row r="22" spans="1:9" ht="27.75" customHeight="1" x14ac:dyDescent="0.25">
      <c r="A22" s="46" t="s">
        <v>162</v>
      </c>
      <c r="B22" s="46"/>
      <c r="C22" s="46"/>
      <c r="D22" s="46"/>
      <c r="E22" s="46"/>
      <c r="F22" s="46"/>
      <c r="G22" s="46"/>
      <c r="H22" s="46"/>
      <c r="I22" s="46"/>
    </row>
    <row r="23" spans="1:9" ht="15" customHeight="1" x14ac:dyDescent="0.25">
      <c r="A23" s="46" t="s">
        <v>157</v>
      </c>
      <c r="B23" s="46"/>
      <c r="C23" s="46"/>
      <c r="D23" s="46"/>
      <c r="E23" s="46"/>
      <c r="F23" s="46"/>
      <c r="G23" s="46"/>
      <c r="H23" s="46"/>
      <c r="I23" s="46"/>
    </row>
    <row r="24" spans="1:9" ht="16.5" customHeight="1" x14ac:dyDescent="0.25">
      <c r="A24" s="47" t="s">
        <v>155</v>
      </c>
      <c r="B24" s="47"/>
      <c r="C24" s="47"/>
      <c r="D24" s="47"/>
      <c r="E24" s="47"/>
      <c r="F24" s="47"/>
      <c r="G24" s="47"/>
      <c r="H24" s="47"/>
      <c r="I24" s="47"/>
    </row>
    <row r="25" spans="1:9" ht="15.75" customHeight="1" x14ac:dyDescent="0.25">
      <c r="A25" s="47" t="s">
        <v>156</v>
      </c>
      <c r="B25" s="47"/>
      <c r="C25" s="47"/>
      <c r="D25" s="47"/>
      <c r="E25" s="47"/>
      <c r="F25" s="47"/>
      <c r="G25" s="47"/>
      <c r="H25" s="47"/>
      <c r="I25" s="47"/>
    </row>
  </sheetData>
  <mergeCells count="9">
    <mergeCell ref="A23:I23"/>
    <mergeCell ref="A24:I24"/>
    <mergeCell ref="A25:I25"/>
    <mergeCell ref="A1:A2"/>
    <mergeCell ref="K1:M1"/>
    <mergeCell ref="F17:H17"/>
    <mergeCell ref="A20:I20"/>
    <mergeCell ref="A21:I21"/>
    <mergeCell ref="A22:I2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sqref="A1:F1"/>
    </sheetView>
  </sheetViews>
  <sheetFormatPr defaultRowHeight="15" x14ac:dyDescent="0.25"/>
  <cols>
    <col min="1" max="1" width="9.140625" style="25"/>
    <col min="2" max="2" width="12" style="25" customWidth="1"/>
    <col min="3" max="3" width="12.28515625" style="25" customWidth="1"/>
    <col min="4" max="4" width="14.140625" style="25" customWidth="1"/>
    <col min="5" max="5" width="14.7109375" style="25" customWidth="1"/>
    <col min="6" max="6" width="14" style="25" customWidth="1"/>
    <col min="7" max="7" width="9.140625" style="25"/>
    <col min="8" max="8" width="33.7109375" style="25" customWidth="1"/>
    <col min="9" max="9" width="11.85546875" style="25" customWidth="1"/>
    <col min="10" max="16384" width="9.140625" style="25"/>
  </cols>
  <sheetData>
    <row r="1" spans="1:12" ht="15.75" x14ac:dyDescent="0.25">
      <c r="A1" s="48" t="s">
        <v>107</v>
      </c>
      <c r="B1" s="48"/>
      <c r="C1" s="48"/>
      <c r="D1" s="48"/>
      <c r="E1" s="48"/>
      <c r="F1" s="48"/>
    </row>
    <row r="2" spans="1:12" ht="37.5" customHeight="1" x14ac:dyDescent="0.25">
      <c r="A2" s="49"/>
      <c r="B2" s="50" t="s">
        <v>108</v>
      </c>
      <c r="C2" s="50"/>
      <c r="D2" s="50" t="s">
        <v>109</v>
      </c>
      <c r="E2" s="50"/>
      <c r="F2" s="50"/>
      <c r="H2" s="51" t="s">
        <v>118</v>
      </c>
      <c r="I2" s="51"/>
      <c r="J2" s="51"/>
      <c r="K2" s="51"/>
      <c r="L2" s="51"/>
    </row>
    <row r="3" spans="1:12" ht="96.75" customHeight="1" x14ac:dyDescent="0.25">
      <c r="A3" s="52" t="s">
        <v>110</v>
      </c>
      <c r="B3" s="52" t="s">
        <v>111</v>
      </c>
      <c r="C3" s="52" t="s">
        <v>112</v>
      </c>
      <c r="D3" s="52" t="s">
        <v>113</v>
      </c>
      <c r="E3" s="52" t="s">
        <v>114</v>
      </c>
      <c r="F3" s="52" t="s">
        <v>115</v>
      </c>
      <c r="H3" s="53" t="s">
        <v>119</v>
      </c>
      <c r="I3" s="53" t="s">
        <v>120</v>
      </c>
      <c r="J3" s="53" t="s">
        <v>121</v>
      </c>
      <c r="K3" s="53" t="s">
        <v>122</v>
      </c>
      <c r="L3" s="53" t="s">
        <v>123</v>
      </c>
    </row>
    <row r="4" spans="1:12" x14ac:dyDescent="0.25">
      <c r="A4" s="54">
        <v>1</v>
      </c>
      <c r="B4" s="54">
        <v>1</v>
      </c>
      <c r="C4" s="54">
        <v>3</v>
      </c>
      <c r="D4" s="54">
        <v>0</v>
      </c>
      <c r="E4" s="54">
        <v>0</v>
      </c>
      <c r="F4" s="54">
        <f>SUM(B4:D4)-E4</f>
        <v>4</v>
      </c>
      <c r="H4" s="55" t="s">
        <v>124</v>
      </c>
      <c r="I4" s="56">
        <v>1</v>
      </c>
      <c r="J4" s="57">
        <v>1</v>
      </c>
      <c r="K4" s="57">
        <v>0</v>
      </c>
      <c r="L4" s="57">
        <f>I4*J4+K4</f>
        <v>1</v>
      </c>
    </row>
    <row r="5" spans="1:12" x14ac:dyDescent="0.25">
      <c r="A5" s="54">
        <v>2</v>
      </c>
      <c r="B5" s="54">
        <v>1</v>
      </c>
      <c r="C5" s="54">
        <f>F4</f>
        <v>4</v>
      </c>
      <c r="D5" s="54">
        <v>0</v>
      </c>
      <c r="E5" s="54">
        <v>0</v>
      </c>
      <c r="F5" s="54">
        <f t="shared" ref="F5:F6" si="0">SUM(B5:D5)-E5</f>
        <v>5</v>
      </c>
      <c r="H5" s="58" t="s">
        <v>125</v>
      </c>
      <c r="I5" s="56">
        <v>1</v>
      </c>
      <c r="J5" s="57">
        <v>1</v>
      </c>
      <c r="K5" s="54">
        <v>0</v>
      </c>
      <c r="L5" s="57">
        <f t="shared" ref="L5:L12" si="1">I5*J5+K5</f>
        <v>1</v>
      </c>
    </row>
    <row r="6" spans="1:12" x14ac:dyDescent="0.25">
      <c r="A6" s="54">
        <v>3</v>
      </c>
      <c r="B6" s="54">
        <v>1</v>
      </c>
      <c r="C6" s="54">
        <f>F5</f>
        <v>5</v>
      </c>
      <c r="D6" s="54">
        <v>0</v>
      </c>
      <c r="E6" s="54">
        <v>0</v>
      </c>
      <c r="F6" s="54">
        <f t="shared" si="0"/>
        <v>6</v>
      </c>
      <c r="H6" s="55" t="s">
        <v>126</v>
      </c>
      <c r="I6" s="56">
        <v>1</v>
      </c>
      <c r="J6" s="57">
        <v>1</v>
      </c>
      <c r="K6" s="57">
        <v>0</v>
      </c>
      <c r="L6" s="57">
        <f t="shared" si="1"/>
        <v>1</v>
      </c>
    </row>
    <row r="7" spans="1:12" x14ac:dyDescent="0.25">
      <c r="A7" s="59" t="s">
        <v>116</v>
      </c>
      <c r="B7" s="54">
        <f>AVERAGE(B4:B6)</f>
        <v>1</v>
      </c>
      <c r="C7" s="54">
        <f t="shared" ref="C7:F7" si="2">AVERAGE(C4:C6)</f>
        <v>4</v>
      </c>
      <c r="D7" s="54">
        <f t="shared" si="2"/>
        <v>0</v>
      </c>
      <c r="E7" s="54">
        <f t="shared" si="2"/>
        <v>0</v>
      </c>
      <c r="F7" s="54">
        <f t="shared" si="2"/>
        <v>5</v>
      </c>
      <c r="H7" s="55" t="s">
        <v>127</v>
      </c>
      <c r="I7" s="56">
        <v>1</v>
      </c>
      <c r="J7" s="57">
        <v>1</v>
      </c>
      <c r="K7" s="57">
        <v>0</v>
      </c>
      <c r="L7" s="57">
        <f t="shared" si="1"/>
        <v>1</v>
      </c>
    </row>
    <row r="8" spans="1:12" ht="15.75" x14ac:dyDescent="0.25">
      <c r="A8" s="60" t="s">
        <v>117</v>
      </c>
      <c r="B8" s="60"/>
      <c r="C8" s="60"/>
      <c r="D8" s="60"/>
      <c r="E8" s="60"/>
      <c r="F8" s="60"/>
      <c r="H8" s="55" t="s">
        <v>128</v>
      </c>
      <c r="I8" s="56">
        <v>1</v>
      </c>
      <c r="J8" s="57">
        <v>1</v>
      </c>
      <c r="K8" s="57">
        <v>0</v>
      </c>
      <c r="L8" s="57">
        <f t="shared" si="1"/>
        <v>1</v>
      </c>
    </row>
    <row r="9" spans="1:12" x14ac:dyDescent="0.25">
      <c r="A9" s="61" t="s">
        <v>161</v>
      </c>
      <c r="B9" s="61"/>
      <c r="C9" s="61"/>
      <c r="D9" s="61"/>
      <c r="E9" s="61"/>
      <c r="F9" s="61"/>
      <c r="H9" s="58" t="s">
        <v>129</v>
      </c>
      <c r="I9" s="56">
        <f>Industry!E28</f>
        <v>4</v>
      </c>
      <c r="J9" s="57">
        <v>1</v>
      </c>
      <c r="K9" s="54">
        <v>0</v>
      </c>
      <c r="L9" s="57">
        <f t="shared" si="1"/>
        <v>4</v>
      </c>
    </row>
    <row r="10" spans="1:12" ht="25.5" x14ac:dyDescent="0.25">
      <c r="H10" s="55" t="s">
        <v>130</v>
      </c>
      <c r="I10" s="62">
        <f>Industry!E29</f>
        <v>1</v>
      </c>
      <c r="J10" s="63">
        <v>1</v>
      </c>
      <c r="K10" s="54">
        <v>0</v>
      </c>
      <c r="L10" s="57">
        <f t="shared" si="1"/>
        <v>1</v>
      </c>
    </row>
    <row r="11" spans="1:12" ht="25.5" x14ac:dyDescent="0.25">
      <c r="H11" s="55" t="s">
        <v>131</v>
      </c>
      <c r="I11" s="62">
        <f>Industry!E30</f>
        <v>1</v>
      </c>
      <c r="J11" s="63">
        <f>Industry!C30</f>
        <v>2</v>
      </c>
      <c r="K11" s="63">
        <v>0</v>
      </c>
      <c r="L11" s="57">
        <f t="shared" si="1"/>
        <v>2</v>
      </c>
    </row>
    <row r="12" spans="1:12" x14ac:dyDescent="0.25">
      <c r="H12" s="64" t="s">
        <v>132</v>
      </c>
      <c r="I12" s="65">
        <f>Industry!E31</f>
        <v>0.4</v>
      </c>
      <c r="J12" s="63">
        <v>2</v>
      </c>
      <c r="K12" s="63">
        <v>0</v>
      </c>
      <c r="L12" s="57">
        <f t="shared" si="1"/>
        <v>0.8</v>
      </c>
    </row>
    <row r="13" spans="1:12" x14ac:dyDescent="0.25">
      <c r="H13" s="64"/>
      <c r="I13" s="66"/>
      <c r="J13" s="66"/>
      <c r="K13" s="67" t="s">
        <v>102</v>
      </c>
      <c r="L13" s="56">
        <f>SUM(L4:L12)</f>
        <v>12.8</v>
      </c>
    </row>
    <row r="14" spans="1:12" ht="15.75" x14ac:dyDescent="0.25">
      <c r="H14" s="68" t="s">
        <v>163</v>
      </c>
      <c r="I14" s="68"/>
      <c r="J14" s="68"/>
      <c r="K14" s="68"/>
      <c r="L14" s="68"/>
    </row>
    <row r="15" spans="1:12" ht="15.75" x14ac:dyDescent="0.25">
      <c r="H15" s="69" t="s">
        <v>133</v>
      </c>
      <c r="I15" s="69"/>
      <c r="J15" s="69"/>
      <c r="K15" s="69"/>
      <c r="L15" s="69"/>
    </row>
  </sheetData>
  <mergeCells count="8">
    <mergeCell ref="H14:L14"/>
    <mergeCell ref="H15:L15"/>
    <mergeCell ref="A1:F1"/>
    <mergeCell ref="B2:C2"/>
    <mergeCell ref="D2:F2"/>
    <mergeCell ref="A8:F8"/>
    <mergeCell ref="A9:F9"/>
    <mergeCell ref="H2:L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topLeftCell="A2" workbookViewId="0">
      <selection activeCell="A2" sqref="A1:XFD1048576"/>
    </sheetView>
  </sheetViews>
  <sheetFormatPr defaultRowHeight="15" x14ac:dyDescent="0.25"/>
  <cols>
    <col min="1" max="1" width="13.5703125" style="25" customWidth="1"/>
    <col min="2" max="2" width="13.140625" style="25" customWidth="1"/>
    <col min="3" max="3" width="12.140625" style="25" customWidth="1"/>
    <col min="4" max="4" width="12.5703125" style="25" customWidth="1"/>
    <col min="5" max="5" width="12" style="25" customWidth="1"/>
    <col min="6" max="6" width="11.85546875" style="25" customWidth="1"/>
    <col min="7" max="7" width="12" style="25" customWidth="1"/>
    <col min="8" max="16384" width="9.140625" style="25"/>
  </cols>
  <sheetData>
    <row r="2" spans="1:9" ht="15.75" x14ac:dyDescent="0.25">
      <c r="A2" s="70"/>
      <c r="B2" s="70"/>
      <c r="C2" s="70"/>
      <c r="D2" s="70"/>
      <c r="E2" s="70"/>
      <c r="F2" s="70"/>
      <c r="G2" s="70"/>
    </row>
    <row r="3" spans="1:9" x14ac:dyDescent="0.25">
      <c r="A3" s="24" t="s">
        <v>86</v>
      </c>
      <c r="B3" s="24" t="s">
        <v>87</v>
      </c>
      <c r="C3" s="24" t="s">
        <v>88</v>
      </c>
      <c r="D3" s="24" t="s">
        <v>89</v>
      </c>
      <c r="E3" s="24" t="s">
        <v>90</v>
      </c>
      <c r="F3" s="24" t="s">
        <v>91</v>
      </c>
      <c r="G3" s="24" t="s">
        <v>92</v>
      </c>
    </row>
    <row r="4" spans="1:9" ht="63.75" x14ac:dyDescent="0.25">
      <c r="A4" s="71" t="s">
        <v>93</v>
      </c>
      <c r="B4" s="72" t="s">
        <v>94</v>
      </c>
      <c r="C4" s="72" t="s">
        <v>95</v>
      </c>
      <c r="D4" s="72" t="s">
        <v>103</v>
      </c>
      <c r="E4" s="72" t="s">
        <v>96</v>
      </c>
      <c r="F4" s="72" t="s">
        <v>97</v>
      </c>
      <c r="G4" s="72" t="s">
        <v>98</v>
      </c>
    </row>
    <row r="5" spans="1:9" ht="16.5" x14ac:dyDescent="0.25">
      <c r="A5" s="73" t="s">
        <v>99</v>
      </c>
      <c r="B5" s="74">
        <v>226946</v>
      </c>
      <c r="C5" s="75">
        <v>1</v>
      </c>
      <c r="D5" s="74">
        <f>C5*B5</f>
        <v>226946</v>
      </c>
      <c r="E5" s="74">
        <v>81160</v>
      </c>
      <c r="F5" s="75">
        <v>4</v>
      </c>
      <c r="G5" s="74">
        <f>F5*E5</f>
        <v>324640</v>
      </c>
    </row>
    <row r="6" spans="1:9" ht="16.5" x14ac:dyDescent="0.25">
      <c r="A6" s="73" t="s">
        <v>100</v>
      </c>
      <c r="B6" s="74">
        <v>61350</v>
      </c>
      <c r="C6" s="75">
        <v>1</v>
      </c>
      <c r="D6" s="74">
        <f>C6*B6</f>
        <v>61350</v>
      </c>
      <c r="E6" s="74">
        <f>B6</f>
        <v>61350</v>
      </c>
      <c r="F6" s="75">
        <f>F5*0.33</f>
        <v>1.32</v>
      </c>
      <c r="G6" s="74">
        <f>F6*E6</f>
        <v>80982</v>
      </c>
    </row>
    <row r="7" spans="1:9" ht="16.5" x14ac:dyDescent="0.25">
      <c r="A7" s="73" t="s">
        <v>101</v>
      </c>
      <c r="B7" s="74">
        <v>100</v>
      </c>
      <c r="C7" s="75">
        <v>1</v>
      </c>
      <c r="D7" s="74">
        <f>C7*B7</f>
        <v>100</v>
      </c>
      <c r="E7" s="74"/>
      <c r="F7" s="73"/>
      <c r="G7" s="74"/>
      <c r="H7" s="25" t="s">
        <v>159</v>
      </c>
    </row>
    <row r="8" spans="1:9" x14ac:dyDescent="0.25">
      <c r="A8" s="76" t="s">
        <v>102</v>
      </c>
      <c r="B8" s="77"/>
      <c r="C8" s="76"/>
      <c r="D8" s="77">
        <f>ROUND(SUM(D5:D7), -3)</f>
        <v>288000</v>
      </c>
      <c r="E8" s="77"/>
      <c r="F8" s="76"/>
      <c r="G8" s="77">
        <f>ROUND(SUM(G5:G6), -3)</f>
        <v>406000</v>
      </c>
      <c r="H8" s="78">
        <f>SUM(G8,D8)</f>
        <v>694000</v>
      </c>
    </row>
    <row r="10" spans="1:9" ht="43.5" customHeight="1" x14ac:dyDescent="0.25">
      <c r="A10" s="44" t="s">
        <v>104</v>
      </c>
      <c r="B10" s="44"/>
      <c r="C10" s="44"/>
      <c r="D10" s="44"/>
      <c r="E10" s="44"/>
      <c r="F10" s="44"/>
      <c r="G10" s="44"/>
      <c r="H10" s="44"/>
      <c r="I10" s="44"/>
    </row>
    <row r="11" spans="1:9" x14ac:dyDescent="0.25">
      <c r="A11" s="79" t="s">
        <v>105</v>
      </c>
      <c r="B11" s="79"/>
      <c r="C11" s="79"/>
      <c r="D11" s="79"/>
      <c r="E11" s="79"/>
      <c r="F11" s="79"/>
      <c r="G11" s="79"/>
      <c r="H11" s="79"/>
      <c r="I11" s="79"/>
    </row>
    <row r="12" spans="1:9" ht="48.75" customHeight="1" x14ac:dyDescent="0.25">
      <c r="A12" s="80" t="s">
        <v>164</v>
      </c>
      <c r="B12" s="80"/>
      <c r="C12" s="80"/>
      <c r="D12" s="80"/>
      <c r="E12" s="80"/>
      <c r="F12" s="80"/>
      <c r="G12" s="80"/>
      <c r="H12" s="80"/>
      <c r="I12" s="80"/>
    </row>
    <row r="13" spans="1:9" x14ac:dyDescent="0.25">
      <c r="A13" s="79" t="s">
        <v>106</v>
      </c>
      <c r="B13" s="79"/>
      <c r="C13" s="79"/>
      <c r="D13" s="79"/>
      <c r="E13" s="79"/>
      <c r="F13" s="79"/>
      <c r="G13" s="79"/>
      <c r="H13" s="79"/>
      <c r="I13" s="79"/>
    </row>
  </sheetData>
  <mergeCells count="4">
    <mergeCell ref="A10:I10"/>
    <mergeCell ref="A11:I11"/>
    <mergeCell ref="A12:I12"/>
    <mergeCell ref="A13:I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Industry</vt:lpstr>
      <vt:lpstr>Agency</vt:lpstr>
      <vt:lpstr>Respondents</vt:lpstr>
      <vt:lpstr>Capital-Startup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Leta Kent</dc:creator>
  <cp:lastModifiedBy>Ariel Hou</cp:lastModifiedBy>
  <dcterms:created xsi:type="dcterms:W3CDTF">2017-01-05T18:08:49Z</dcterms:created>
  <dcterms:modified xsi:type="dcterms:W3CDTF">2017-01-06T15:56:22Z</dcterms:modified>
</cp:coreProperties>
</file>