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mc:AlternateContent xmlns:mc="http://schemas.openxmlformats.org/markup-compatibility/2006">
    <mc:Choice Requires="x15">
      <x15ac:absPath xmlns:x15ac="http://schemas.microsoft.com/office/spreadsheetml/2010/11/ac" url="Q:\OECA\ICR Renewals\FY2017 (WA 2-04)\Expires 2017-03\2227.05\"/>
    </mc:Choice>
  </mc:AlternateContent>
  <bookViews>
    <workbookView xWindow="0" yWindow="0" windowWidth="20490" windowHeight="7230"/>
  </bookViews>
  <sheets>
    <sheet name="Table 1" sheetId="1" r:id="rId1"/>
    <sheet name="Table 2" sheetId="3" r:id="rId2"/>
    <sheet name="Capital and O&amp;M" sheetId="4" r:id="rId3"/>
    <sheet name="Number of Sources" sheetId="2" r:id="rId4"/>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2" l="1"/>
  <c r="L21" i="1" l="1"/>
  <c r="E9" i="4"/>
  <c r="E7" i="4"/>
  <c r="E6" i="4"/>
  <c r="E5" i="4"/>
  <c r="I14" i="1" l="1"/>
  <c r="I10" i="3"/>
  <c r="F9" i="3"/>
  <c r="G9" i="3" s="1"/>
  <c r="D9" i="3"/>
  <c r="F13" i="1"/>
  <c r="G13" i="1" s="1"/>
  <c r="D13" i="1"/>
  <c r="I9" i="3" l="1"/>
  <c r="H9" i="3"/>
  <c r="H13" i="1"/>
  <c r="I13" i="1" s="1"/>
  <c r="D10" i="4"/>
  <c r="G6" i="4"/>
  <c r="G7" i="4"/>
  <c r="G8" i="4"/>
  <c r="G9" i="4"/>
  <c r="G5" i="4"/>
  <c r="I6" i="3"/>
  <c r="I7" i="3"/>
  <c r="I8" i="3"/>
  <c r="I5" i="3"/>
  <c r="H6" i="3"/>
  <c r="H7" i="3"/>
  <c r="H8" i="3"/>
  <c r="H5" i="3"/>
  <c r="G6" i="3"/>
  <c r="G7" i="3"/>
  <c r="G8" i="3"/>
  <c r="G5" i="3"/>
  <c r="F6" i="3"/>
  <c r="F7" i="3"/>
  <c r="F8" i="3"/>
  <c r="F5" i="3"/>
  <c r="G10" i="4" l="1"/>
  <c r="I22" i="1" s="1"/>
  <c r="F10" i="3"/>
  <c r="D6" i="3"/>
  <c r="D7" i="3"/>
  <c r="D8" i="3"/>
  <c r="D5" i="3"/>
  <c r="F9" i="2" l="1"/>
  <c r="C8" i="2"/>
  <c r="C9" i="2"/>
  <c r="F7" i="2"/>
  <c r="F8" i="2"/>
  <c r="C7" i="2"/>
  <c r="F18" i="1"/>
  <c r="F16" i="1"/>
  <c r="G16" i="1" s="1"/>
  <c r="H16" i="1" l="1"/>
  <c r="F20" i="1" s="1"/>
  <c r="H18" i="1"/>
  <c r="G18" i="1"/>
  <c r="I18" i="1" s="1"/>
  <c r="D11" i="1"/>
  <c r="F11" i="1" s="1"/>
  <c r="D12" i="1"/>
  <c r="F12" i="1" s="1"/>
  <c r="G12" i="1" s="1"/>
  <c r="D16" i="1"/>
  <c r="D18" i="1"/>
  <c r="D7" i="1"/>
  <c r="F7" i="1" s="1"/>
  <c r="I16" i="1" l="1"/>
  <c r="I20" i="1" s="1"/>
  <c r="H7" i="1"/>
  <c r="F14" i="1" s="1"/>
  <c r="F21" i="1" s="1"/>
  <c r="G7" i="1"/>
  <c r="G11" i="1"/>
  <c r="H11" i="1"/>
  <c r="H12" i="1"/>
  <c r="I12" i="1" s="1"/>
  <c r="I7" i="1" l="1"/>
  <c r="I11" i="1"/>
  <c r="I21" i="1"/>
  <c r="I23" i="1" s="1"/>
</calcChain>
</file>

<file path=xl/sharedStrings.xml><?xml version="1.0" encoding="utf-8"?>
<sst xmlns="http://schemas.openxmlformats.org/spreadsheetml/2006/main" count="110" uniqueCount="94">
  <si>
    <t>Burden Item</t>
  </si>
  <si>
    <t>1.  Applications</t>
  </si>
  <si>
    <t>N/A</t>
  </si>
  <si>
    <t>2.  Surveys and Studies</t>
  </si>
  <si>
    <t>3.  Reporting Requirements</t>
  </si>
  <si>
    <t>B.  Required Activities</t>
  </si>
  <si>
    <t>C.  Gather Existing Information</t>
  </si>
  <si>
    <t>See 3D</t>
  </si>
  <si>
    <t>D.  Write Report</t>
  </si>
  <si>
    <t>Subtotal for Reporting Requirements</t>
  </si>
  <si>
    <t>4.  Recordkeeping Requirements</t>
  </si>
  <si>
    <t>A.  Record Engine Maintenance</t>
  </si>
  <si>
    <t>B.  Train personnel</t>
  </si>
  <si>
    <t>C.  Recording hours in non-emergency operation</t>
  </si>
  <si>
    <t>Subtotal for recordkeeping Requirements</t>
  </si>
  <si>
    <t>Table 1: Annual Respondent Burden and Cost – NSPS for Stationary Spark Ignition Internal Combustion Engines (40 CFR Part 60, Subpart JJJJ) (Renewal)</t>
  </si>
  <si>
    <t>(A) 
Person-hours per occurrence</t>
  </si>
  <si>
    <t>(B) 
Number of occurrences per year</t>
  </si>
  <si>
    <t>(C) 
Person-hours per respondent 
(C=AxB)</t>
  </si>
  <si>
    <t>(E)
Technical person-hours (E=CxD)</t>
  </si>
  <si>
    <t>(F) 
Management person-hours (F=Ex0.05)</t>
  </si>
  <si>
    <t>(G) 
Clerical person-hours 
(G=Ex0.1)</t>
  </si>
  <si>
    <r>
      <t xml:space="preserve">(H) 
Total Cost </t>
    </r>
    <r>
      <rPr>
        <b/>
        <vertAlign val="superscript"/>
        <sz val="10"/>
        <color rgb="FF000000"/>
        <rFont val="Times New Roman"/>
        <family val="1"/>
      </rPr>
      <t>b</t>
    </r>
    <r>
      <rPr>
        <b/>
        <sz val="10"/>
        <color rgb="FF000000"/>
        <rFont val="Times New Roman"/>
        <family val="1"/>
      </rPr>
      <t xml:space="preserve"> ($)</t>
    </r>
  </si>
  <si>
    <r>
      <t xml:space="preserve">(D) 
Respondents per year </t>
    </r>
    <r>
      <rPr>
        <b/>
        <vertAlign val="superscript"/>
        <sz val="10"/>
        <color rgb="FF000000"/>
        <rFont val="Times New Roman"/>
        <family val="1"/>
      </rPr>
      <t>a</t>
    </r>
  </si>
  <si>
    <t>Assumptions:</t>
  </si>
  <si>
    <t>Number of Respondents</t>
  </si>
  <si>
    <t>Respondents That Submit Reports</t>
  </si>
  <si>
    <t>Respondents That Do Not Submit Any Reports</t>
  </si>
  <si>
    <t>Year</t>
  </si>
  <si>
    <t>(A)</t>
  </si>
  <si>
    <t>(B)</t>
  </si>
  <si>
    <t>Number of Existing Respondents</t>
  </si>
  <si>
    <t>(C)</t>
  </si>
  <si>
    <t>Number of Existing  Respondents that keep records but do not submit reports</t>
  </si>
  <si>
    <t>(D)</t>
  </si>
  <si>
    <t>Number of Existing Respondents That Are Also New Respondents</t>
  </si>
  <si>
    <t>(E)</t>
  </si>
  <si>
    <t>Average</t>
  </si>
  <si>
    <t>Number of New Respondents 1</t>
  </si>
  <si>
    <t>Number of Respondents (E=A+B+C-D)</t>
  </si>
  <si>
    <r>
      <t xml:space="preserve">b  </t>
    </r>
    <r>
      <rPr>
        <sz val="10"/>
        <color theme="1"/>
        <rFont val="Times New Roman"/>
        <family val="1"/>
      </rPr>
      <t>This ICR uses the following labor rates: $106.45 for technical, $138.43 for managerial, and $52.77 for clerical labor.  These rates are from the United States Department of Labor, Bureau of Labor Statistics, September 2015, “Table 2. Civilian Workers, by occupational and industry group.”  The rates are from column 1, “Total compensation.”  The rates have been increased by 110 percent to account for the benefit packages available to those employed by private industry.</t>
    </r>
  </si>
  <si>
    <r>
      <rPr>
        <vertAlign val="superscript"/>
        <sz val="10"/>
        <color theme="1"/>
        <rFont val="Times New Roman"/>
        <family val="1"/>
      </rPr>
      <t>a</t>
    </r>
    <r>
      <rPr>
        <sz val="10"/>
        <color theme="1"/>
        <rFont val="Times New Roman"/>
        <family val="1"/>
      </rPr>
      <t xml:space="preserve">  We assume there are an average of 18,317 existing respondents per year and an additional 253 respondents will become subject to the rule each year. The overall average number of respondents is 18,570 per year. </t>
    </r>
  </si>
  <si>
    <r>
      <t xml:space="preserve">A.  Familiarize with regulatory requirements </t>
    </r>
    <r>
      <rPr>
        <vertAlign val="superscript"/>
        <sz val="10"/>
        <color rgb="FF000000"/>
        <rFont val="Times New Roman"/>
        <family val="1"/>
      </rPr>
      <t>c</t>
    </r>
  </si>
  <si>
    <r>
      <t xml:space="preserve">c  </t>
    </r>
    <r>
      <rPr>
        <sz val="10"/>
        <color theme="1"/>
        <rFont val="Times New Roman"/>
        <family val="1"/>
      </rPr>
      <t xml:space="preserve">We assume all new and existing respondents will have to familiarize themselves with the regulatory requirements each year. </t>
    </r>
  </si>
  <si>
    <r>
      <t xml:space="preserve">d  </t>
    </r>
    <r>
      <rPr>
        <sz val="10"/>
        <color theme="1"/>
        <rFont val="Times New Roman"/>
        <family val="1"/>
      </rPr>
      <t>It is assumed that 253 non-certified new engines will become subject to the rule each year over the 3-year period.  Based on the estimated distribution of existing engines, it is assumed that 12 percent of new engines, will be rated at &gt;500 hp and require initial notification. (253 x 12% = 30.36, rounded to 30)</t>
    </r>
  </si>
  <si>
    <r>
      <t xml:space="preserve">Initial notification (&gt;500 hp non-certified engines) </t>
    </r>
    <r>
      <rPr>
        <vertAlign val="superscript"/>
        <sz val="10"/>
        <color rgb="FF000000"/>
        <rFont val="Times New Roman"/>
        <family val="1"/>
      </rPr>
      <t>d</t>
    </r>
  </si>
  <si>
    <r>
      <t>e</t>
    </r>
    <r>
      <rPr>
        <sz val="10"/>
        <color theme="1"/>
        <rFont val="Times New Roman"/>
        <family val="1"/>
      </rPr>
      <t xml:space="preserve">  Previously certified engines &gt; 500-hp are required to conduct subsequent performance tests either after 3 years or 8,760 hours of operation after the initial performance test.  It is assumed that 12 percent of existing engines will be rated at &gt; 500 hp and have previously had an initial performance test conducted and are now required to conduct a subsequent test over the next 3-year period. (18570 x 12% = 2228.4, rounded to 2228)</t>
    </r>
  </si>
  <si>
    <r>
      <t xml:space="preserve">Subsequent Performance Test (&gt;500 hp certified engines) </t>
    </r>
    <r>
      <rPr>
        <vertAlign val="superscript"/>
        <sz val="10"/>
        <color rgb="FF000000"/>
        <rFont val="Times New Roman"/>
        <family val="1"/>
      </rPr>
      <t>e</t>
    </r>
  </si>
  <si>
    <t xml:space="preserve">Table 2: Average Annual EPA Burden – NSPS for Stationary Spark Ignition Internal Combustion Engines 
(40 CFR Part 60, Subpart JJJJ) (Renewal)
</t>
  </si>
  <si>
    <t>Activity</t>
  </si>
  <si>
    <t>(F)</t>
  </si>
  <si>
    <t>Report Review</t>
  </si>
  <si>
    <t xml:space="preserve">3.  Engine Certification from nonroad to stationary </t>
  </si>
  <si>
    <t>(A)
EPA person-hours per occurrence</t>
  </si>
  <si>
    <r>
      <t xml:space="preserve">b  </t>
    </r>
    <r>
      <rPr>
        <sz val="10"/>
        <color theme="1"/>
        <rFont val="Times New Roman"/>
        <family val="1"/>
      </rPr>
      <t>This ICR uses the following labor rates: $47.63 for technical, $64.16 for managerial, and $25.76 for clerical labor.  These rates are from the Office of Personnel Management (OPM), 2016 General Schedule, which excludes locality rates of pay.  The rates have been increased by 60 percent to account for the benefit packages available to government employees.</t>
    </r>
  </si>
  <si>
    <r>
      <t>c</t>
    </r>
    <r>
      <rPr>
        <sz val="10"/>
        <color theme="1"/>
        <rFont val="Times New Roman"/>
        <family val="1"/>
      </rPr>
      <t xml:space="preserve"> After full implementation, existing sources are no longer subject to these activities.  It is assumed that 253 non-certified new engines will become subject to the rule each year over the 3-year period.  Based on the estimated distribution of existing engines, it is assumed that 12 percent of new engines, will be rated at &gt;500 hp and require initial notification.  Additionally, previously certified engines &gt; 500-hp are required to conduct subsequent performance tests either after 3 years or 8,760 hours of operation after the initial performance test.  It is assumed that 12 percent of existing engines will be rated at &gt; 500 hp and have previously had an initial performance test conducted and are now required to conduct a subsequent test over the next 3-year period.  The agency is expected to experience burden from evaluating these new sources and subsequent testing of existing sources &gt; 500 hp.</t>
    </r>
  </si>
  <si>
    <r>
      <t>1.  Initial notification (&gt;500 hp non-certified engines)</t>
    </r>
    <r>
      <rPr>
        <vertAlign val="superscript"/>
        <sz val="10"/>
        <color theme="1"/>
        <rFont val="Times New Roman"/>
        <family val="1"/>
      </rPr>
      <t xml:space="preserve">c </t>
    </r>
  </si>
  <si>
    <r>
      <t xml:space="preserve">2.  Engine Certification for Non-certified Engine </t>
    </r>
    <r>
      <rPr>
        <vertAlign val="superscript"/>
        <sz val="10"/>
        <color theme="1"/>
        <rFont val="Times New Roman"/>
        <family val="1"/>
      </rPr>
      <t>c</t>
    </r>
  </si>
  <si>
    <r>
      <t xml:space="preserve">4.  Performance Tests </t>
    </r>
    <r>
      <rPr>
        <vertAlign val="superscript"/>
        <sz val="10"/>
        <color theme="1"/>
        <rFont val="Times New Roman"/>
        <family val="1"/>
      </rPr>
      <t>c</t>
    </r>
  </si>
  <si>
    <t>(B) 
Number of occurences per year</t>
  </si>
  <si>
    <t>(C) 
EPA Person-hours per plant 
(C=AxB)</t>
  </si>
  <si>
    <r>
      <t xml:space="preserve">(D) 
Plants per year </t>
    </r>
    <r>
      <rPr>
        <b/>
        <vertAlign val="superscript"/>
        <sz val="10"/>
        <color rgb="FF000000"/>
        <rFont val="Times New Roman"/>
        <family val="1"/>
      </rPr>
      <t>a</t>
    </r>
  </si>
  <si>
    <t>Capital/Startup vs. Operation and Maintenance (O&amp;M) Costs</t>
  </si>
  <si>
    <t>Burden</t>
  </si>
  <si>
    <t>Capital/Startup Cost for One Respondent</t>
  </si>
  <si>
    <t>Number of New Respondents</t>
  </si>
  <si>
    <t>Total Capital/Startup Cost,  (B X C)</t>
  </si>
  <si>
    <r>
      <t xml:space="preserve">Annual O&amp;M Costs for One Respondent </t>
    </r>
    <r>
      <rPr>
        <vertAlign val="superscript"/>
        <sz val="10"/>
        <color rgb="FF000000"/>
        <rFont val="Times New Roman"/>
        <family val="1"/>
      </rPr>
      <t>a</t>
    </r>
  </si>
  <si>
    <t>Number of Respondents  with O&amp;M</t>
  </si>
  <si>
    <t>(G)</t>
  </si>
  <si>
    <r>
      <t xml:space="preserve">Engine Certification for Stationary Use </t>
    </r>
    <r>
      <rPr>
        <vertAlign val="superscript"/>
        <sz val="10"/>
        <color rgb="FF000000"/>
        <rFont val="Times New Roman"/>
        <family val="1"/>
      </rPr>
      <t>b</t>
    </r>
  </si>
  <si>
    <t xml:space="preserve">        - 25-300 hp </t>
  </si>
  <si>
    <t xml:space="preserve">        - 300-600 hp</t>
  </si>
  <si>
    <t xml:space="preserve">        - &gt;600 hp</t>
  </si>
  <si>
    <t>Initial Test for Engines not Certified</t>
  </si>
  <si>
    <r>
      <t xml:space="preserve">Subsequent Performance Test for Engines &gt; 500 hp </t>
    </r>
    <r>
      <rPr>
        <vertAlign val="superscript"/>
        <sz val="10"/>
        <color rgb="FF000000"/>
        <rFont val="Times New Roman"/>
        <family val="1"/>
      </rPr>
      <t>c</t>
    </r>
  </si>
  <si>
    <t>Total  (rounded)</t>
  </si>
  <si>
    <t>Total O&amp;M, (ExF)</t>
  </si>
  <si>
    <r>
      <t>b</t>
    </r>
    <r>
      <rPr>
        <sz val="10"/>
        <color theme="1"/>
        <rFont val="Times New Roman"/>
        <family val="1"/>
      </rPr>
      <t xml:space="preserve"> The distribution of new engine types is based on the same distribution from the previously approved ICR.</t>
    </r>
  </si>
  <si>
    <r>
      <t>c</t>
    </r>
    <r>
      <rPr>
        <sz val="10"/>
        <color theme="1"/>
        <rFont val="Times New Roman"/>
        <family val="1"/>
      </rPr>
      <t xml:space="preserve"> Previously certified engines &gt; 500-hp are required to conduct subsequent performance tests either after 3-years or 8,760 hours of operation after the initial performance test.  It is assumed that 12 percent of existing engines, or 2,107 existing engines, will be rated at &gt; 500 hp, have previously had an initial performance test conducted, and are now required to conduct a subsequent test over the next 3-year period.</t>
    </r>
  </si>
  <si>
    <t>D.  Records of initial notification, manufacturer's certifications, and performance tests</t>
  </si>
  <si>
    <r>
      <t xml:space="preserve">GRAND TOTAL (rounded) </t>
    </r>
    <r>
      <rPr>
        <b/>
        <vertAlign val="superscript"/>
        <sz val="10"/>
        <color rgb="FF000000"/>
        <rFont val="Times New Roman"/>
        <family val="1"/>
      </rPr>
      <t>g</t>
    </r>
  </si>
  <si>
    <r>
      <t xml:space="preserve">TOTAL LABOR BURDEN AND COST (rounded) </t>
    </r>
    <r>
      <rPr>
        <b/>
        <vertAlign val="superscript"/>
        <sz val="10"/>
        <color rgb="FF000000"/>
        <rFont val="Times New Roman"/>
        <family val="1"/>
      </rPr>
      <t>g</t>
    </r>
  </si>
  <si>
    <r>
      <t xml:space="preserve">TOTAL CAPITAL AND O&amp;M COST (rounded) </t>
    </r>
    <r>
      <rPr>
        <b/>
        <vertAlign val="superscript"/>
        <sz val="10"/>
        <color rgb="FF000000"/>
        <rFont val="Times New Roman"/>
        <family val="1"/>
      </rPr>
      <t>g</t>
    </r>
  </si>
  <si>
    <r>
      <t xml:space="preserve">g  </t>
    </r>
    <r>
      <rPr>
        <sz val="10"/>
        <color theme="1"/>
        <rFont val="Times New Roman"/>
        <family val="1"/>
      </rPr>
      <t>Totals have been rounded to 3 significant figures. Figures may not added exactly due to rounding.</t>
    </r>
  </si>
  <si>
    <r>
      <t xml:space="preserve">Annual report for emergency stationary SI ICE </t>
    </r>
    <r>
      <rPr>
        <vertAlign val="superscript"/>
        <sz val="10"/>
        <color rgb="FF000000"/>
        <rFont val="Times New Roman"/>
        <family val="1"/>
      </rPr>
      <t>f</t>
    </r>
  </si>
  <si>
    <r>
      <t xml:space="preserve">5.  Annual reports for emergency stationary SI ICE </t>
    </r>
    <r>
      <rPr>
        <vertAlign val="superscript"/>
        <sz val="10"/>
        <color theme="1"/>
        <rFont val="Times New Roman"/>
        <family val="1"/>
      </rPr>
      <t>d</t>
    </r>
  </si>
  <si>
    <r>
      <t xml:space="preserve">e  </t>
    </r>
    <r>
      <rPr>
        <sz val="10"/>
        <color theme="1"/>
        <rFont val="Times New Roman"/>
        <family val="1"/>
      </rPr>
      <t>Totals have been rounded to 3 significant figures. Figures may not added exactly due to rounding.</t>
    </r>
  </si>
  <si>
    <r>
      <t xml:space="preserve">TOTAL LABOR BURDEN AND COST (rounded) </t>
    </r>
    <r>
      <rPr>
        <b/>
        <vertAlign val="superscript"/>
        <sz val="10"/>
        <color rgb="FF000000"/>
        <rFont val="Times New Roman"/>
        <family val="1"/>
      </rPr>
      <t>e</t>
    </r>
  </si>
  <si>
    <r>
      <t xml:space="preserve"> a  </t>
    </r>
    <r>
      <rPr>
        <sz val="10"/>
        <color theme="1"/>
        <rFont val="Times New Roman"/>
        <family val="1"/>
      </rPr>
      <t>O&amp;M cost per occurrence for certifications for stationary was increased by 1.33 percent from the previous ICR to account for the increase in the average annual consumer price index (https://www.bls.gov/cpi/#data).  The original certification costs were estimated in Table 5.2.1-4 of the document, “Final Regulatory Support Document: Control of Emissions from Unregulated Non-road Engines.”</t>
    </r>
  </si>
  <si>
    <t>responses</t>
  </si>
  <si>
    <t>hr/response</t>
  </si>
  <si>
    <r>
      <t xml:space="preserve">d  </t>
    </r>
    <r>
      <rPr>
        <sz val="10"/>
        <color theme="1"/>
        <rFont val="Times New Roman"/>
        <family val="1"/>
      </rPr>
      <t>We assume it will take 2 hours to review each annual report based on ICR 1975.06 (NESHAP For Stationary Reciprocating Internal Combustion Engines 40 CFR Part 63, Subpart ZZZZ). Based on the 2015 reporting data, 3 of the estimated 427 emergency stationary SI ICE reported under Subpart JJJJ for the purposes specified in  §60.4243(d)(3)(i). Based on this reporting, approximately 0.70% of emergency stationary SI ICE submitted an annual report. The NSPS for Stationary Compression Ignition Internal Combustion Engines (40 CFR Part 60, Subpart IIII) estimated 5% of emergency stationary CI ICE will submit annual reports. Because there is only 1 year of available reporting data, it is unclear if the number of engines that reported in 2015 is representative of a typical reporting year. Therefore, the we assume 5% of emergency stationary SI ICE will be required to report to conservatively estimate respondent burden for this activity. (427 x 5% = 21.35, rounded to 21)</t>
    </r>
  </si>
  <si>
    <r>
      <t xml:space="preserve">f  </t>
    </r>
    <r>
      <rPr>
        <sz val="10"/>
        <color theme="1"/>
        <rFont val="Times New Roman"/>
        <family val="1"/>
      </rPr>
      <t>We assume it will take 16 hours per annual report based on ICR 1975.06 (NESHAP For Stationary Reciprocating Internal Combustion Engines 40 CFR Part 63, Subpart ZZZZ). Based on the 2015 reporting data, 3 of the estimated 427 emergency stationary SI ICE reported under Subpart JJJJ for the purposes specified in  §60.4243(d)(3)(i). Based on this reporting, approximately 0.70% of emergency stationary SI ICE submitted an annual report. The NSPS for Stationary Compression Ignition Internal Combustion Engines (40 CFR Part 60, Subpart IIII) estimated 5% of emergency stationary CI ICE will submit annual reports. Because there is only 1 year of available reporting data, it is unclear if the number of engines that reported in 2015 is representative of a typical reporting year. Therefore, the we assume 5% of emergency stationary SI ICE will be required to report to conservatively estimate respondent burden for this activity. (427 x 5% = 21.35, rounded to 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</si>
</sst>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8" formatCode="&quot;$&quot;#,##0.00_);[Red]\(&quot;$&quot;#,##0.00\)"/>
    <numFmt numFmtId="164" formatCode="0.0"/>
  </numFmts>
  <fonts count="11" x14ac:knownFonts="1">
    <font>
      <sz val="11"/>
      <color theme="1"/>
      <name val="Calibri"/>
      <family val="2"/>
      <scheme val="minor"/>
    </font>
    <font>
      <b/>
      <sz val="11"/>
      <color theme="1"/>
      <name val="Calibri"/>
      <family val="2"/>
      <scheme val="minor"/>
    </font>
    <font>
      <sz val="10"/>
      <color theme="1"/>
      <name val="Times New Roman"/>
      <family val="1"/>
    </font>
    <font>
      <b/>
      <sz val="10"/>
      <color rgb="FF000000"/>
      <name val="Times New Roman"/>
      <family val="1"/>
    </font>
    <font>
      <sz val="10"/>
      <color rgb="FF000000"/>
      <name val="Times New Roman"/>
      <family val="1"/>
    </font>
    <font>
      <vertAlign val="superscript"/>
      <sz val="10"/>
      <color rgb="FF000000"/>
      <name val="Times New Roman"/>
      <family val="1"/>
    </font>
    <font>
      <b/>
      <vertAlign val="superscript"/>
      <sz val="10"/>
      <color rgb="FF000000"/>
      <name val="Times New Roman"/>
      <family val="1"/>
    </font>
    <font>
      <b/>
      <sz val="10"/>
      <color theme="1"/>
      <name val="Times New Roman"/>
      <family val="1"/>
    </font>
    <font>
      <vertAlign val="superscript"/>
      <sz val="10"/>
      <color theme="1"/>
      <name val="Times New Roman"/>
      <family val="1"/>
    </font>
    <font>
      <sz val="10"/>
      <color theme="1"/>
      <name val="Calibri"/>
      <family val="2"/>
      <scheme val="minor"/>
    </font>
    <font>
      <b/>
      <sz val="12"/>
      <color rgb="FF000000"/>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s>
  <cellStyleXfs count="1">
    <xf numFmtId="0" fontId="0" fillId="0" borderId="0"/>
  </cellStyleXfs>
  <cellXfs count="64">
    <xf numFmtId="0" fontId="0" fillId="0" borderId="0" xfId="0"/>
    <xf numFmtId="3" fontId="0" fillId="0" borderId="0" xfId="0" applyNumberFormat="1"/>
    <xf numFmtId="0" fontId="0" fillId="0" borderId="0" xfId="0" applyAlignment="1">
      <alignment wrapText="1"/>
    </xf>
    <xf numFmtId="0" fontId="1" fillId="0" borderId="0" xfId="0" applyFont="1" applyAlignment="1"/>
    <xf numFmtId="0" fontId="3" fillId="0" borderId="1" xfId="0"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8" fontId="4" fillId="0" borderId="1" xfId="0" applyNumberFormat="1" applyFont="1" applyBorder="1" applyAlignment="1">
      <alignment horizontal="right" vertical="center"/>
    </xf>
    <xf numFmtId="0" fontId="4" fillId="0" borderId="1" xfId="0" applyFont="1" applyBorder="1" applyAlignment="1">
      <alignment horizontal="right" vertical="center"/>
    </xf>
    <xf numFmtId="0" fontId="3" fillId="0" borderId="1" xfId="0" applyFont="1" applyBorder="1" applyAlignment="1">
      <alignment vertical="center"/>
    </xf>
    <xf numFmtId="0" fontId="3" fillId="0" borderId="1" xfId="0" applyFont="1" applyBorder="1" applyAlignment="1">
      <alignment horizontal="center" vertical="center"/>
    </xf>
    <xf numFmtId="3" fontId="4" fillId="0" borderId="1" xfId="0" applyNumberFormat="1" applyFont="1" applyBorder="1" applyAlignment="1">
      <alignment horizontal="center" vertical="center"/>
    </xf>
    <xf numFmtId="6" fontId="3" fillId="0" borderId="1" xfId="0" applyNumberFormat="1" applyFont="1" applyBorder="1" applyAlignment="1">
      <alignment horizontal="right" vertical="center"/>
    </xf>
    <xf numFmtId="0" fontId="4" fillId="0" borderId="1" xfId="0" applyNumberFormat="1" applyFont="1" applyBorder="1" applyAlignment="1">
      <alignment horizontal="center" vertical="center"/>
    </xf>
    <xf numFmtId="0" fontId="4" fillId="0" borderId="1" xfId="0" applyFont="1" applyBorder="1" applyAlignment="1">
      <alignment horizontal="left" vertical="center" indent="1"/>
    </xf>
    <xf numFmtId="0" fontId="4" fillId="0" borderId="1" xfId="0" applyFont="1" applyBorder="1" applyAlignment="1">
      <alignment horizontal="left" vertical="center" indent="2"/>
    </xf>
    <xf numFmtId="2"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0" fontId="0" fillId="0" borderId="1" xfId="0" applyBorder="1"/>
    <xf numFmtId="0" fontId="7" fillId="0" borderId="0" xfId="0" applyFont="1" applyAlignment="1">
      <alignment vertical="center"/>
    </xf>
    <xf numFmtId="0" fontId="8" fillId="0" borderId="0" xfId="0" applyFont="1" applyAlignment="1">
      <alignment vertical="center"/>
    </xf>
    <xf numFmtId="0" fontId="2" fillId="0" borderId="0" xfId="0" applyFont="1" applyAlignment="1">
      <alignment vertical="center"/>
    </xf>
    <xf numFmtId="1" fontId="4"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xf>
    <xf numFmtId="3" fontId="2"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9" fillId="0" borderId="1" xfId="0" applyFont="1" applyBorder="1"/>
    <xf numFmtId="0" fontId="2" fillId="0" borderId="1" xfId="0" applyFont="1" applyBorder="1" applyAlignment="1">
      <alignment horizontal="left" vertical="center" indent="1"/>
    </xf>
    <xf numFmtId="0" fontId="8" fillId="0" borderId="0" xfId="0" applyFont="1" applyAlignment="1">
      <alignment horizontal="left" vertical="center"/>
    </xf>
    <xf numFmtId="6" fontId="4" fillId="0" borderId="1" xfId="0" applyNumberFormat="1" applyFont="1" applyBorder="1" applyAlignment="1">
      <alignment horizontal="righ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8" fontId="4" fillId="0" borderId="1" xfId="0" applyNumberFormat="1" applyFont="1" applyBorder="1" applyAlignment="1">
      <alignment horizontal="center" vertical="center" wrapText="1"/>
    </xf>
    <xf numFmtId="8" fontId="4" fillId="0" borderId="1" xfId="0" applyNumberFormat="1" applyFont="1" applyBorder="1" applyAlignment="1">
      <alignment horizontal="right" vertical="center" wrapText="1"/>
    </xf>
    <xf numFmtId="6" fontId="4"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3" fillId="0" borderId="1" xfId="0" applyFont="1" applyBorder="1" applyAlignment="1">
      <alignment vertical="center" wrapText="1"/>
    </xf>
    <xf numFmtId="6" fontId="3" fillId="0" borderId="1" xfId="0" applyNumberFormat="1" applyFont="1" applyBorder="1" applyAlignment="1">
      <alignment horizontal="center" vertical="center" wrapText="1"/>
    </xf>
    <xf numFmtId="6" fontId="3" fillId="0" borderId="1" xfId="0" applyNumberFormat="1" applyFont="1" applyBorder="1" applyAlignment="1">
      <alignment horizontal="right" vertical="center" wrapText="1"/>
    </xf>
    <xf numFmtId="6" fontId="4" fillId="0" borderId="1" xfId="0" applyNumberFormat="1" applyFont="1" applyBorder="1" applyAlignment="1">
      <alignment horizontal="right" vertical="center" wrapText="1"/>
    </xf>
    <xf numFmtId="0" fontId="4" fillId="0" borderId="1" xfId="0" applyFont="1" applyBorder="1" applyAlignment="1">
      <alignment horizontal="left" vertical="center" wrapText="1" indent="1"/>
    </xf>
    <xf numFmtId="0" fontId="4" fillId="0" borderId="1" xfId="0" applyFont="1" applyFill="1" applyBorder="1" applyAlignment="1">
      <alignment horizontal="left" vertical="center" indent="2"/>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3" fontId="4" fillId="0" borderId="1" xfId="0" applyNumberFormat="1" applyFont="1" applyFill="1" applyBorder="1" applyAlignment="1">
      <alignment horizontal="center" vertical="center"/>
    </xf>
    <xf numFmtId="164" fontId="4" fillId="0" borderId="1" xfId="0" applyNumberFormat="1" applyFont="1" applyFill="1" applyBorder="1" applyAlignment="1">
      <alignment horizontal="center" vertical="center"/>
    </xf>
    <xf numFmtId="8" fontId="4" fillId="0" borderId="1" xfId="0" applyNumberFormat="1" applyFont="1" applyFill="1" applyBorder="1" applyAlignment="1">
      <alignment horizontal="right" vertical="center"/>
    </xf>
    <xf numFmtId="0" fontId="8" fillId="0" borderId="0" xfId="0" applyFont="1" applyFill="1" applyAlignment="1">
      <alignment vertical="center"/>
    </xf>
    <xf numFmtId="0" fontId="2" fillId="0" borderId="1" xfId="0" applyFont="1" applyFill="1" applyBorder="1" applyAlignment="1">
      <alignment horizontal="left" vertical="center" indent="1"/>
    </xf>
    <xf numFmtId="0" fontId="2" fillId="0" borderId="1" xfId="0" applyFont="1" applyFill="1" applyBorder="1" applyAlignment="1">
      <alignment horizontal="center" vertical="center"/>
    </xf>
    <xf numFmtId="3" fontId="2" fillId="0" borderId="1"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xf>
    <xf numFmtId="3" fontId="3" fillId="0" borderId="1" xfId="0" applyNumberFormat="1" applyFont="1" applyBorder="1" applyAlignment="1">
      <alignment horizontal="center" vertical="center"/>
    </xf>
    <xf numFmtId="3" fontId="7" fillId="0" borderId="2" xfId="0" applyNumberFormat="1" applyFont="1" applyBorder="1" applyAlignment="1">
      <alignment horizontal="center" vertical="center"/>
    </xf>
    <xf numFmtId="3" fontId="7" fillId="0" borderId="3" xfId="0" applyNumberFormat="1" applyFont="1" applyBorder="1" applyAlignment="1">
      <alignment horizontal="center" vertical="center"/>
    </xf>
    <xf numFmtId="3" fontId="7" fillId="0" borderId="4" xfId="0" applyNumberFormat="1" applyFont="1" applyBorder="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1"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tabSelected="1" zoomScaleNormal="100" workbookViewId="0"/>
  </sheetViews>
  <sheetFormatPr defaultRowHeight="15" x14ac:dyDescent="0.25"/>
  <cols>
    <col min="1" max="1" width="52.42578125" customWidth="1"/>
    <col min="2" max="2" width="10.42578125" customWidth="1"/>
    <col min="4" max="4" width="10.28515625" customWidth="1"/>
    <col min="5" max="5" width="13.42578125" customWidth="1"/>
    <col min="9" max="9" width="12" customWidth="1"/>
    <col min="11" max="11" width="12.28515625" customWidth="1"/>
    <col min="12" max="12" width="12.85546875" customWidth="1"/>
    <col min="13" max="13" width="10.28515625" customWidth="1"/>
    <col min="15" max="15" width="10" customWidth="1"/>
  </cols>
  <sheetData>
    <row r="1" spans="1:9" x14ac:dyDescent="0.25">
      <c r="A1" s="3" t="s">
        <v>15</v>
      </c>
    </row>
    <row r="2" spans="1:9" x14ac:dyDescent="0.25">
      <c r="F2">
        <v>106.45</v>
      </c>
      <c r="G2">
        <v>138.43</v>
      </c>
      <c r="H2">
        <v>52.77</v>
      </c>
    </row>
    <row r="3" spans="1:9" ht="76.5" x14ac:dyDescent="0.25">
      <c r="A3" s="4" t="s">
        <v>0</v>
      </c>
      <c r="B3" s="4" t="s">
        <v>16</v>
      </c>
      <c r="C3" s="4" t="s">
        <v>17</v>
      </c>
      <c r="D3" s="4" t="s">
        <v>18</v>
      </c>
      <c r="E3" s="4" t="s">
        <v>23</v>
      </c>
      <c r="F3" s="4" t="s">
        <v>19</v>
      </c>
      <c r="G3" s="4" t="s">
        <v>20</v>
      </c>
      <c r="H3" s="4" t="s">
        <v>21</v>
      </c>
      <c r="I3" s="4" t="s">
        <v>22</v>
      </c>
    </row>
    <row r="4" spans="1:9" x14ac:dyDescent="0.25">
      <c r="A4" s="5" t="s">
        <v>1</v>
      </c>
      <c r="B4" s="6" t="s">
        <v>2</v>
      </c>
      <c r="C4" s="6"/>
      <c r="D4" s="6"/>
      <c r="E4" s="6"/>
      <c r="F4" s="6"/>
      <c r="G4" s="6"/>
      <c r="H4" s="6"/>
      <c r="I4" s="6"/>
    </row>
    <row r="5" spans="1:9" x14ac:dyDescent="0.25">
      <c r="A5" s="5" t="s">
        <v>3</v>
      </c>
      <c r="B5" s="6" t="s">
        <v>2</v>
      </c>
      <c r="C5" s="6"/>
      <c r="D5" s="6"/>
      <c r="E5" s="6"/>
      <c r="F5" s="6"/>
      <c r="G5" s="6"/>
      <c r="H5" s="6"/>
      <c r="I5" s="6"/>
    </row>
    <row r="6" spans="1:9" x14ac:dyDescent="0.25">
      <c r="A6" s="5" t="s">
        <v>4</v>
      </c>
      <c r="B6" s="6"/>
      <c r="C6" s="6"/>
      <c r="D6" s="6"/>
      <c r="E6" s="6"/>
      <c r="F6" s="6"/>
      <c r="G6" s="6"/>
      <c r="H6" s="6"/>
      <c r="I6" s="6"/>
    </row>
    <row r="7" spans="1:9" ht="15.75" x14ac:dyDescent="0.25">
      <c r="A7" s="14" t="s">
        <v>42</v>
      </c>
      <c r="B7" s="6">
        <v>0.5</v>
      </c>
      <c r="C7" s="6">
        <v>1</v>
      </c>
      <c r="D7" s="6">
        <f>B7*C7</f>
        <v>0.5</v>
      </c>
      <c r="E7" s="11">
        <v>18570</v>
      </c>
      <c r="F7" s="11">
        <f>D7*E7</f>
        <v>9285</v>
      </c>
      <c r="G7" s="16">
        <f>F7*0.05</f>
        <v>464.25</v>
      </c>
      <c r="H7" s="6">
        <f>F7*0.1</f>
        <v>928.5</v>
      </c>
      <c r="I7" s="7">
        <f>$F$2*F7+$G$2*G7+$H$2*H7</f>
        <v>1101651.3225</v>
      </c>
    </row>
    <row r="8" spans="1:9" x14ac:dyDescent="0.25">
      <c r="A8" s="14" t="s">
        <v>5</v>
      </c>
      <c r="B8" s="6" t="s">
        <v>2</v>
      </c>
      <c r="C8" s="6"/>
      <c r="D8" s="6"/>
      <c r="E8" s="6"/>
      <c r="F8" s="6"/>
      <c r="G8" s="16"/>
      <c r="H8" s="6"/>
      <c r="I8" s="7"/>
    </row>
    <row r="9" spans="1:9" x14ac:dyDescent="0.25">
      <c r="A9" s="14" t="s">
        <v>6</v>
      </c>
      <c r="B9" s="6" t="s">
        <v>7</v>
      </c>
      <c r="C9" s="6"/>
      <c r="D9" s="6"/>
      <c r="E9" s="6"/>
      <c r="F9" s="6"/>
      <c r="G9" s="16"/>
      <c r="H9" s="6"/>
      <c r="I9" s="7"/>
    </row>
    <row r="10" spans="1:9" x14ac:dyDescent="0.25">
      <c r="A10" s="14" t="s">
        <v>8</v>
      </c>
      <c r="B10" s="6"/>
      <c r="C10" s="6"/>
      <c r="D10" s="6"/>
      <c r="E10" s="6"/>
      <c r="F10" s="6"/>
      <c r="G10" s="16"/>
      <c r="H10" s="6"/>
      <c r="I10" s="7"/>
    </row>
    <row r="11" spans="1:9" ht="15.75" x14ac:dyDescent="0.25">
      <c r="A11" s="15" t="s">
        <v>45</v>
      </c>
      <c r="B11" s="13">
        <v>1</v>
      </c>
      <c r="C11" s="6">
        <v>1</v>
      </c>
      <c r="D11" s="6">
        <f>B11*C11</f>
        <v>1</v>
      </c>
      <c r="E11" s="6">
        <v>30</v>
      </c>
      <c r="F11" s="6">
        <f>D11*E11</f>
        <v>30</v>
      </c>
      <c r="G11" s="17">
        <f>F11*0.05</f>
        <v>1.5</v>
      </c>
      <c r="H11" s="22">
        <f>F11*0.1</f>
        <v>3</v>
      </c>
      <c r="I11" s="7">
        <f>$F$2*F11+$G$2*G11+$H$2*H11</f>
        <v>3559.4549999999999</v>
      </c>
    </row>
    <row r="12" spans="1:9" ht="15.75" x14ac:dyDescent="0.25">
      <c r="A12" s="15" t="s">
        <v>47</v>
      </c>
      <c r="B12" s="13">
        <v>1</v>
      </c>
      <c r="C12" s="6">
        <v>1</v>
      </c>
      <c r="D12" s="6">
        <f>B12*C12</f>
        <v>1</v>
      </c>
      <c r="E12" s="11">
        <v>2228</v>
      </c>
      <c r="F12" s="11">
        <f>D12*E12</f>
        <v>2228</v>
      </c>
      <c r="G12" s="17">
        <f>F12*0.05</f>
        <v>111.4</v>
      </c>
      <c r="H12" s="17">
        <f>F12*0.1</f>
        <v>222.8</v>
      </c>
      <c r="I12" s="7">
        <f>$F$2*F12+$G$2*G12+$H$2*H12</f>
        <v>264348.85800000001</v>
      </c>
    </row>
    <row r="13" spans="1:9" ht="15.75" x14ac:dyDescent="0.25">
      <c r="A13" s="45" t="s">
        <v>85</v>
      </c>
      <c r="B13" s="46">
        <v>16</v>
      </c>
      <c r="C13" s="47">
        <v>1</v>
      </c>
      <c r="D13" s="47">
        <f>B13*C13</f>
        <v>16</v>
      </c>
      <c r="E13" s="48">
        <v>21</v>
      </c>
      <c r="F13" s="48">
        <f>D13*E13</f>
        <v>336</v>
      </c>
      <c r="G13" s="49">
        <f>F13*0.05</f>
        <v>16.8</v>
      </c>
      <c r="H13" s="49">
        <f>F13*0.1</f>
        <v>33.6</v>
      </c>
      <c r="I13" s="50">
        <f>$F$2*F13+$G$2*G13+$H$2*H13</f>
        <v>39865.896000000008</v>
      </c>
    </row>
    <row r="14" spans="1:9" x14ac:dyDescent="0.25">
      <c r="A14" s="9" t="s">
        <v>9</v>
      </c>
      <c r="B14" s="10"/>
      <c r="C14" s="10"/>
      <c r="D14" s="6"/>
      <c r="E14" s="10"/>
      <c r="F14" s="56">
        <f>SUM(F7:H12)</f>
        <v>13274.449999999999</v>
      </c>
      <c r="G14" s="56"/>
      <c r="H14" s="56"/>
      <c r="I14" s="12">
        <f>SUM(I4:I13)</f>
        <v>1409425.5315</v>
      </c>
    </row>
    <row r="15" spans="1:9" x14ac:dyDescent="0.25">
      <c r="A15" s="5" t="s">
        <v>10</v>
      </c>
      <c r="B15" s="6"/>
      <c r="C15" s="6"/>
      <c r="D15" s="6"/>
      <c r="E15" s="6"/>
      <c r="F15" s="6"/>
      <c r="G15" s="6"/>
      <c r="H15" s="6"/>
      <c r="I15" s="8"/>
    </row>
    <row r="16" spans="1:9" x14ac:dyDescent="0.25">
      <c r="A16" s="14" t="s">
        <v>11</v>
      </c>
      <c r="B16" s="6">
        <v>1</v>
      </c>
      <c r="C16" s="6">
        <v>1</v>
      </c>
      <c r="D16" s="6">
        <f>B16*C16</f>
        <v>1</v>
      </c>
      <c r="E16" s="11">
        <v>18570</v>
      </c>
      <c r="F16" s="11">
        <f>D16*E16</f>
        <v>18570</v>
      </c>
      <c r="G16" s="17">
        <f>F16*0.05</f>
        <v>928.5</v>
      </c>
      <c r="H16" s="11">
        <f>F16*0.1</f>
        <v>1857</v>
      </c>
      <c r="I16" s="7">
        <f>$F$2*F16+$G$2*G16+$H$2*H16</f>
        <v>2203302.645</v>
      </c>
    </row>
    <row r="17" spans="1:12" x14ac:dyDescent="0.25">
      <c r="A17" s="14" t="s">
        <v>12</v>
      </c>
      <c r="B17" s="6" t="s">
        <v>2</v>
      </c>
      <c r="C17" s="6"/>
      <c r="D17" s="6"/>
      <c r="E17" s="6"/>
      <c r="F17" s="6"/>
      <c r="G17" s="6"/>
      <c r="H17" s="6"/>
      <c r="I17" s="8"/>
    </row>
    <row r="18" spans="1:12" x14ac:dyDescent="0.25">
      <c r="A18" s="14" t="s">
        <v>13</v>
      </c>
      <c r="B18" s="6">
        <v>1</v>
      </c>
      <c r="C18" s="6">
        <v>1</v>
      </c>
      <c r="D18" s="6">
        <f>B18*C18</f>
        <v>1</v>
      </c>
      <c r="E18" s="6">
        <v>427</v>
      </c>
      <c r="F18" s="11">
        <f>D18*E18</f>
        <v>427</v>
      </c>
      <c r="G18" s="16">
        <f>F18*0.05</f>
        <v>21.35</v>
      </c>
      <c r="H18" s="17">
        <f>F18*0.1</f>
        <v>42.7</v>
      </c>
      <c r="I18" s="7">
        <f>$F$2*F18+$G$2*G18+$H$2*H18</f>
        <v>50662.909500000002</v>
      </c>
    </row>
    <row r="19" spans="1:12" ht="25.5" x14ac:dyDescent="0.25">
      <c r="A19" s="44" t="s">
        <v>80</v>
      </c>
      <c r="B19" s="6" t="s">
        <v>7</v>
      </c>
      <c r="C19" s="6"/>
      <c r="D19" s="6"/>
      <c r="E19" s="6"/>
      <c r="F19" s="11"/>
      <c r="G19" s="16"/>
      <c r="H19" s="17"/>
      <c r="I19" s="7"/>
    </row>
    <row r="20" spans="1:12" x14ac:dyDescent="0.25">
      <c r="A20" s="9" t="s">
        <v>14</v>
      </c>
      <c r="B20" s="10"/>
      <c r="C20" s="10"/>
      <c r="D20" s="10"/>
      <c r="E20" s="10"/>
      <c r="F20" s="56">
        <f>SUM(F15:H18)</f>
        <v>21846.55</v>
      </c>
      <c r="G20" s="56"/>
      <c r="H20" s="56"/>
      <c r="I20" s="12">
        <f>SUM(I15:I18)</f>
        <v>2253965.5545000001</v>
      </c>
      <c r="K20" t="s">
        <v>90</v>
      </c>
      <c r="L20" t="s">
        <v>91</v>
      </c>
    </row>
    <row r="21" spans="1:12" ht="15.75" x14ac:dyDescent="0.25">
      <c r="A21" s="9" t="s">
        <v>82</v>
      </c>
      <c r="B21" s="10"/>
      <c r="C21" s="10"/>
      <c r="D21" s="10"/>
      <c r="E21" s="10"/>
      <c r="F21" s="56">
        <f>ROUND(F14+F20,-2)</f>
        <v>35100</v>
      </c>
      <c r="G21" s="56"/>
      <c r="H21" s="56"/>
      <c r="I21" s="12">
        <f>ROUND(I14+I20,-4)</f>
        <v>3660000</v>
      </c>
      <c r="K21">
        <v>19048</v>
      </c>
      <c r="L21" s="63">
        <f>+F21/K21</f>
        <v>1.8427131457370853</v>
      </c>
    </row>
    <row r="22" spans="1:12" ht="15.75" x14ac:dyDescent="0.25">
      <c r="A22" s="9" t="s">
        <v>83</v>
      </c>
      <c r="B22" s="18"/>
      <c r="C22" s="18"/>
      <c r="D22" s="18"/>
      <c r="E22" s="18"/>
      <c r="F22" s="18"/>
      <c r="G22" s="18"/>
      <c r="H22" s="18"/>
      <c r="I22" s="12">
        <f>ROUND('Capital and O&amp;M'!G10+'Capital and O&amp;M'!D10,-4)</f>
        <v>2480000</v>
      </c>
    </row>
    <row r="23" spans="1:12" ht="15.75" x14ac:dyDescent="0.25">
      <c r="A23" s="9" t="s">
        <v>81</v>
      </c>
      <c r="B23" s="18"/>
      <c r="C23" s="18"/>
      <c r="D23" s="18"/>
      <c r="E23" s="18"/>
      <c r="F23" s="18"/>
      <c r="G23" s="18"/>
      <c r="H23" s="18"/>
      <c r="I23" s="12">
        <f>+ROUND(I21+I22,-4)</f>
        <v>6140000</v>
      </c>
    </row>
    <row r="25" spans="1:12" x14ac:dyDescent="0.25">
      <c r="A25" s="19" t="s">
        <v>24</v>
      </c>
    </row>
    <row r="26" spans="1:12" ht="15.75" x14ac:dyDescent="0.25">
      <c r="A26" s="21" t="s">
        <v>41</v>
      </c>
    </row>
    <row r="27" spans="1:12" ht="15.75" x14ac:dyDescent="0.25">
      <c r="A27" s="20" t="s">
        <v>40</v>
      </c>
    </row>
    <row r="28" spans="1:12" ht="15.75" x14ac:dyDescent="0.25">
      <c r="A28" s="20" t="s">
        <v>43</v>
      </c>
    </row>
    <row r="29" spans="1:12" ht="15.75" x14ac:dyDescent="0.25">
      <c r="A29" s="20" t="s">
        <v>44</v>
      </c>
    </row>
    <row r="30" spans="1:12" ht="15.75" x14ac:dyDescent="0.25">
      <c r="A30" s="20" t="s">
        <v>46</v>
      </c>
    </row>
    <row r="31" spans="1:12" ht="15.75" x14ac:dyDescent="0.25">
      <c r="A31" s="51" t="s">
        <v>93</v>
      </c>
    </row>
    <row r="32" spans="1:12" ht="15.75" x14ac:dyDescent="0.25">
      <c r="A32" s="20" t="s">
        <v>84</v>
      </c>
    </row>
  </sheetData>
  <mergeCells count="3">
    <mergeCell ref="F14:H14"/>
    <mergeCell ref="F20:H20"/>
    <mergeCell ref="F21:H2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I9" sqref="I9"/>
    </sheetView>
  </sheetViews>
  <sheetFormatPr defaultRowHeight="15" x14ac:dyDescent="0.25"/>
  <cols>
    <col min="1" max="1" width="43.28515625" customWidth="1"/>
    <col min="2" max="2" width="10.28515625" customWidth="1"/>
    <col min="3" max="3" width="10.140625" customWidth="1"/>
    <col min="4" max="4" width="9.85546875" customWidth="1"/>
    <col min="5" max="5" width="10.7109375" customWidth="1"/>
    <col min="9" max="9" width="11.5703125" customWidth="1"/>
  </cols>
  <sheetData>
    <row r="1" spans="1:9" x14ac:dyDescent="0.25">
      <c r="A1" s="3" t="s">
        <v>48</v>
      </c>
    </row>
    <row r="2" spans="1:9" x14ac:dyDescent="0.25">
      <c r="F2">
        <v>47.63</v>
      </c>
      <c r="G2">
        <v>64.16</v>
      </c>
      <c r="H2">
        <v>25.76</v>
      </c>
    </row>
    <row r="3" spans="1:9" ht="76.5" x14ac:dyDescent="0.25">
      <c r="A3" s="26" t="s">
        <v>49</v>
      </c>
      <c r="B3" s="27" t="s">
        <v>53</v>
      </c>
      <c r="C3" s="27" t="s">
        <v>59</v>
      </c>
      <c r="D3" s="4" t="s">
        <v>60</v>
      </c>
      <c r="E3" s="4" t="s">
        <v>61</v>
      </c>
      <c r="F3" s="4" t="s">
        <v>19</v>
      </c>
      <c r="G3" s="4" t="s">
        <v>20</v>
      </c>
      <c r="H3" s="4" t="s">
        <v>21</v>
      </c>
      <c r="I3" s="4" t="s">
        <v>22</v>
      </c>
    </row>
    <row r="4" spans="1:9" x14ac:dyDescent="0.25">
      <c r="A4" s="24" t="s">
        <v>51</v>
      </c>
      <c r="B4" s="24"/>
      <c r="C4" s="24"/>
      <c r="D4" s="24"/>
      <c r="E4" s="28"/>
      <c r="F4" s="28"/>
      <c r="G4" s="24"/>
      <c r="H4" s="24"/>
      <c r="I4" s="24"/>
    </row>
    <row r="5" spans="1:9" ht="15.75" x14ac:dyDescent="0.25">
      <c r="A5" s="29" t="s">
        <v>56</v>
      </c>
      <c r="B5" s="23">
        <v>2</v>
      </c>
      <c r="C5" s="23">
        <v>1</v>
      </c>
      <c r="D5" s="23">
        <f>B5*C5</f>
        <v>2</v>
      </c>
      <c r="E5" s="23">
        <v>30</v>
      </c>
      <c r="F5" s="23">
        <f>D5*E5</f>
        <v>60</v>
      </c>
      <c r="G5" s="23">
        <f>F5*0.05</f>
        <v>3</v>
      </c>
      <c r="H5" s="23">
        <f>F5*0.1</f>
        <v>6</v>
      </c>
      <c r="I5" s="7">
        <f>$F$2*F5+$G$2*G5+$H$2*H5</f>
        <v>3204.84</v>
      </c>
    </row>
    <row r="6" spans="1:9" ht="15.75" x14ac:dyDescent="0.25">
      <c r="A6" s="29" t="s">
        <v>57</v>
      </c>
      <c r="B6" s="23">
        <v>2</v>
      </c>
      <c r="C6" s="23">
        <v>1</v>
      </c>
      <c r="D6" s="23">
        <f t="shared" ref="D6:D9" si="0">B6*C6</f>
        <v>2</v>
      </c>
      <c r="E6" s="23">
        <v>253</v>
      </c>
      <c r="F6" s="23">
        <f t="shared" ref="F6:F9" si="1">D6*E6</f>
        <v>506</v>
      </c>
      <c r="G6" s="23">
        <f t="shared" ref="G6:G9" si="2">F6*0.05</f>
        <v>25.3</v>
      </c>
      <c r="H6" s="23">
        <f t="shared" ref="H6:H9" si="3">F6*0.1</f>
        <v>50.6</v>
      </c>
      <c r="I6" s="7">
        <f t="shared" ref="I6:I9" si="4">$F$2*F6+$G$2*G6+$H$2*H6</f>
        <v>27027.484000000004</v>
      </c>
    </row>
    <row r="7" spans="1:9" x14ac:dyDescent="0.25">
      <c r="A7" s="29" t="s">
        <v>52</v>
      </c>
      <c r="B7" s="23">
        <v>1</v>
      </c>
      <c r="C7" s="23">
        <v>1</v>
      </c>
      <c r="D7" s="23">
        <f t="shared" si="0"/>
        <v>1</v>
      </c>
      <c r="E7" s="23">
        <v>0</v>
      </c>
      <c r="F7" s="23">
        <f t="shared" si="1"/>
        <v>0</v>
      </c>
      <c r="G7" s="23">
        <f t="shared" si="2"/>
        <v>0</v>
      </c>
      <c r="H7" s="23">
        <f t="shared" si="3"/>
        <v>0</v>
      </c>
      <c r="I7" s="31">
        <f t="shared" si="4"/>
        <v>0</v>
      </c>
    </row>
    <row r="8" spans="1:9" ht="15.75" x14ac:dyDescent="0.25">
      <c r="A8" s="29" t="s">
        <v>58</v>
      </c>
      <c r="B8" s="23">
        <v>2</v>
      </c>
      <c r="C8" s="25">
        <v>1</v>
      </c>
      <c r="D8" s="25">
        <f t="shared" si="0"/>
        <v>2</v>
      </c>
      <c r="E8" s="25">
        <v>2228</v>
      </c>
      <c r="F8" s="25">
        <f t="shared" si="1"/>
        <v>4456</v>
      </c>
      <c r="G8" s="23">
        <f t="shared" si="2"/>
        <v>222.8</v>
      </c>
      <c r="H8" s="23">
        <f t="shared" si="3"/>
        <v>445.6</v>
      </c>
      <c r="I8" s="7">
        <f t="shared" si="4"/>
        <v>238012.78399999999</v>
      </c>
    </row>
    <row r="9" spans="1:9" ht="15.75" x14ac:dyDescent="0.25">
      <c r="A9" s="52" t="s">
        <v>86</v>
      </c>
      <c r="B9" s="53">
        <v>2</v>
      </c>
      <c r="C9" s="54">
        <v>1</v>
      </c>
      <c r="D9" s="54">
        <f t="shared" si="0"/>
        <v>2</v>
      </c>
      <c r="E9" s="54">
        <v>21</v>
      </c>
      <c r="F9" s="54">
        <f t="shared" si="1"/>
        <v>42</v>
      </c>
      <c r="G9" s="55">
        <f t="shared" si="2"/>
        <v>2.1</v>
      </c>
      <c r="H9" s="53">
        <f t="shared" si="3"/>
        <v>4.2</v>
      </c>
      <c r="I9" s="50">
        <f t="shared" si="4"/>
        <v>2243.3879999999999</v>
      </c>
    </row>
    <row r="10" spans="1:9" ht="15.75" x14ac:dyDescent="0.25">
      <c r="A10" s="9" t="s">
        <v>88</v>
      </c>
      <c r="B10" s="23"/>
      <c r="C10" s="23"/>
      <c r="D10" s="18"/>
      <c r="E10" s="23"/>
      <c r="F10" s="57">
        <f>ROUND(SUM(F5:H8),-1)</f>
        <v>5780</v>
      </c>
      <c r="G10" s="58"/>
      <c r="H10" s="59"/>
      <c r="I10" s="12">
        <f>ROUND(SUM(I5:I9),-3)</f>
        <v>270000</v>
      </c>
    </row>
    <row r="12" spans="1:9" x14ac:dyDescent="0.25">
      <c r="A12" s="19" t="s">
        <v>24</v>
      </c>
    </row>
    <row r="13" spans="1:9" ht="15.75" x14ac:dyDescent="0.25">
      <c r="A13" s="21" t="s">
        <v>41</v>
      </c>
    </row>
    <row r="14" spans="1:9" ht="15.75" x14ac:dyDescent="0.25">
      <c r="A14" s="30" t="s">
        <v>54</v>
      </c>
    </row>
    <row r="15" spans="1:9" ht="15.75" x14ac:dyDescent="0.25">
      <c r="A15" s="20" t="s">
        <v>55</v>
      </c>
    </row>
    <row r="16" spans="1:9" ht="15.75" x14ac:dyDescent="0.25">
      <c r="A16" s="51" t="s">
        <v>92</v>
      </c>
    </row>
    <row r="17" spans="1:1" ht="15.75" x14ac:dyDescent="0.25">
      <c r="A17" s="20" t="s">
        <v>87</v>
      </c>
    </row>
  </sheetData>
  <mergeCells count="1">
    <mergeCell ref="F10:H10"/>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A22" sqref="A22"/>
    </sheetView>
  </sheetViews>
  <sheetFormatPr defaultRowHeight="15" x14ac:dyDescent="0.25"/>
  <cols>
    <col min="1" max="1" width="44.42578125" customWidth="1"/>
    <col min="2" max="2" width="10.42578125" customWidth="1"/>
    <col min="5" max="5" width="11.140625" customWidth="1"/>
    <col min="7" max="7" width="11" customWidth="1"/>
  </cols>
  <sheetData>
    <row r="1" spans="1:7" ht="16.5" thickBot="1" x14ac:dyDescent="0.3">
      <c r="A1" s="60" t="s">
        <v>62</v>
      </c>
      <c r="B1" s="61"/>
      <c r="C1" s="61"/>
      <c r="D1" s="61"/>
      <c r="E1" s="61"/>
      <c r="F1" s="61"/>
      <c r="G1" s="62"/>
    </row>
    <row r="2" spans="1:7" x14ac:dyDescent="0.25">
      <c r="A2" s="32" t="s">
        <v>29</v>
      </c>
      <c r="B2" s="33" t="s">
        <v>30</v>
      </c>
      <c r="C2" s="33" t="s">
        <v>32</v>
      </c>
      <c r="D2" s="33" t="s">
        <v>34</v>
      </c>
      <c r="E2" s="33" t="s">
        <v>36</v>
      </c>
      <c r="F2" s="33" t="s">
        <v>50</v>
      </c>
      <c r="G2" s="33" t="s">
        <v>69</v>
      </c>
    </row>
    <row r="3" spans="1:7" ht="79.5" x14ac:dyDescent="0.25">
      <c r="A3" s="32" t="s">
        <v>63</v>
      </c>
      <c r="B3" s="33" t="s">
        <v>64</v>
      </c>
      <c r="C3" s="33" t="s">
        <v>65</v>
      </c>
      <c r="D3" s="33" t="s">
        <v>66</v>
      </c>
      <c r="E3" s="33" t="s">
        <v>67</v>
      </c>
      <c r="F3" s="33" t="s">
        <v>68</v>
      </c>
      <c r="G3" s="33" t="s">
        <v>77</v>
      </c>
    </row>
    <row r="4" spans="1:7" ht="15.75" x14ac:dyDescent="0.25">
      <c r="A4" s="34" t="s">
        <v>70</v>
      </c>
      <c r="B4" s="34"/>
      <c r="C4" s="34"/>
      <c r="D4" s="34"/>
      <c r="E4" s="34"/>
      <c r="F4" s="34"/>
      <c r="G4" s="34"/>
    </row>
    <row r="5" spans="1:7" x14ac:dyDescent="0.25">
      <c r="A5" s="34" t="s">
        <v>71</v>
      </c>
      <c r="B5" s="35"/>
      <c r="C5" s="35"/>
      <c r="D5" s="35"/>
      <c r="E5" s="36">
        <f>14.9*1.0133</f>
        <v>15.098170000000001</v>
      </c>
      <c r="F5" s="35">
        <v>91</v>
      </c>
      <c r="G5" s="37">
        <f>E5*F5</f>
        <v>1373.9334700000002</v>
      </c>
    </row>
    <row r="6" spans="1:7" x14ac:dyDescent="0.25">
      <c r="A6" s="34" t="s">
        <v>72</v>
      </c>
      <c r="B6" s="35"/>
      <c r="C6" s="35"/>
      <c r="D6" s="35"/>
      <c r="E6" s="36">
        <f>36.69*1.0133</f>
        <v>37.177976999999998</v>
      </c>
      <c r="F6" s="35">
        <v>9</v>
      </c>
      <c r="G6" s="37">
        <f t="shared" ref="G6:G9" si="0">E6*F6</f>
        <v>334.60179299999999</v>
      </c>
    </row>
    <row r="7" spans="1:7" x14ac:dyDescent="0.25">
      <c r="A7" s="34" t="s">
        <v>73</v>
      </c>
      <c r="B7" s="35"/>
      <c r="C7" s="35"/>
      <c r="D7" s="35"/>
      <c r="E7" s="38">
        <f>175+1.0133</f>
        <v>176.01329999999999</v>
      </c>
      <c r="F7" s="35">
        <v>14</v>
      </c>
      <c r="G7" s="43">
        <f t="shared" si="0"/>
        <v>2464.1861999999996</v>
      </c>
    </row>
    <row r="8" spans="1:7" x14ac:dyDescent="0.25">
      <c r="A8" s="34" t="s">
        <v>74</v>
      </c>
      <c r="B8" s="38">
        <v>1000</v>
      </c>
      <c r="C8" s="35">
        <v>253</v>
      </c>
      <c r="D8" s="38">
        <v>253000</v>
      </c>
      <c r="E8" s="38">
        <v>0</v>
      </c>
      <c r="F8" s="35">
        <v>0</v>
      </c>
      <c r="G8" s="43">
        <f t="shared" si="0"/>
        <v>0</v>
      </c>
    </row>
    <row r="9" spans="1:7" ht="15.75" x14ac:dyDescent="0.25">
      <c r="A9" s="34" t="s">
        <v>75</v>
      </c>
      <c r="B9" s="35"/>
      <c r="C9" s="35"/>
      <c r="D9" s="35"/>
      <c r="E9" s="38">
        <f>1000+1.0133</f>
        <v>1001.0133</v>
      </c>
      <c r="F9" s="39">
        <v>2228</v>
      </c>
      <c r="G9" s="43">
        <f t="shared" si="0"/>
        <v>2230257.6324</v>
      </c>
    </row>
    <row r="10" spans="1:7" x14ac:dyDescent="0.25">
      <c r="A10" s="40" t="s">
        <v>76</v>
      </c>
      <c r="B10" s="4"/>
      <c r="C10" s="4"/>
      <c r="D10" s="41">
        <f>SUM(D4:D9)</f>
        <v>253000</v>
      </c>
      <c r="E10" s="4"/>
      <c r="F10" s="4"/>
      <c r="G10" s="42">
        <f>ROUND(SUM(G4:G9),-4)</f>
        <v>2230000</v>
      </c>
    </row>
    <row r="11" spans="1:7" ht="15.75" x14ac:dyDescent="0.25">
      <c r="A11" s="20" t="s">
        <v>89</v>
      </c>
    </row>
    <row r="12" spans="1:7" ht="15.75" x14ac:dyDescent="0.25">
      <c r="A12" s="20" t="s">
        <v>78</v>
      </c>
    </row>
    <row r="13" spans="1:7" ht="15.75" x14ac:dyDescent="0.25">
      <c r="A13" s="20" t="s">
        <v>79</v>
      </c>
    </row>
    <row r="14" spans="1:7" ht="15.75" x14ac:dyDescent="0.25">
      <c r="A14" s="20" t="s">
        <v>79</v>
      </c>
    </row>
  </sheetData>
  <mergeCells count="1">
    <mergeCell ref="A1: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9"/>
  <sheetViews>
    <sheetView workbookViewId="0">
      <selection activeCell="D12" sqref="D12"/>
    </sheetView>
  </sheetViews>
  <sheetFormatPr defaultRowHeight="15" x14ac:dyDescent="0.25"/>
  <cols>
    <col min="2" max="2" width="14.5703125" customWidth="1"/>
    <col min="3" max="3" width="13.140625" customWidth="1"/>
    <col min="4" max="4" width="23.28515625" customWidth="1"/>
    <col min="5" max="5" width="22.7109375" customWidth="1"/>
    <col min="6" max="6" width="14.5703125" customWidth="1"/>
  </cols>
  <sheetData>
    <row r="2" spans="1:6" x14ac:dyDescent="0.25">
      <c r="A2" t="s">
        <v>25</v>
      </c>
    </row>
    <row r="3" spans="1:6" x14ac:dyDescent="0.25">
      <c r="B3" t="s">
        <v>26</v>
      </c>
      <c r="D3" t="s">
        <v>27</v>
      </c>
    </row>
    <row r="4" spans="1:6" x14ac:dyDescent="0.25">
      <c r="B4" t="s">
        <v>29</v>
      </c>
      <c r="C4" t="s">
        <v>30</v>
      </c>
      <c r="D4" t="s">
        <v>32</v>
      </c>
      <c r="E4" t="s">
        <v>34</v>
      </c>
      <c r="F4" t="s">
        <v>36</v>
      </c>
    </row>
    <row r="5" spans="1:6" ht="60" x14ac:dyDescent="0.25">
      <c r="A5" t="s">
        <v>28</v>
      </c>
      <c r="B5" s="2" t="s">
        <v>38</v>
      </c>
      <c r="C5" s="2" t="s">
        <v>31</v>
      </c>
      <c r="D5" s="2" t="s">
        <v>33</v>
      </c>
      <c r="E5" s="2" t="s">
        <v>35</v>
      </c>
      <c r="F5" s="2" t="s">
        <v>39</v>
      </c>
    </row>
    <row r="6" spans="1:6" x14ac:dyDescent="0.25">
      <c r="A6">
        <v>1</v>
      </c>
      <c r="B6">
        <v>253</v>
      </c>
      <c r="C6" s="1">
        <v>18064</v>
      </c>
      <c r="D6">
        <v>0</v>
      </c>
      <c r="E6">
        <v>0</v>
      </c>
      <c r="F6" s="1">
        <f>+B6+C6+D6-E6</f>
        <v>18317</v>
      </c>
    </row>
    <row r="7" spans="1:6" x14ac:dyDescent="0.25">
      <c r="A7">
        <v>2</v>
      </c>
      <c r="B7">
        <v>253</v>
      </c>
      <c r="C7" s="1">
        <f>F6</f>
        <v>18317</v>
      </c>
      <c r="D7">
        <v>0</v>
      </c>
      <c r="E7">
        <v>0</v>
      </c>
      <c r="F7" s="1">
        <f t="shared" ref="F7:F8" si="0">+B7+C7+D7-E7</f>
        <v>18570</v>
      </c>
    </row>
    <row r="8" spans="1:6" x14ac:dyDescent="0.25">
      <c r="A8">
        <v>3</v>
      </c>
      <c r="B8">
        <v>253</v>
      </c>
      <c r="C8" s="1">
        <f>F7</f>
        <v>18570</v>
      </c>
      <c r="D8">
        <v>0</v>
      </c>
      <c r="E8">
        <v>0</v>
      </c>
      <c r="F8" s="1">
        <f t="shared" si="0"/>
        <v>18823</v>
      </c>
    </row>
    <row r="9" spans="1:6" x14ac:dyDescent="0.25">
      <c r="A9" t="s">
        <v>37</v>
      </c>
      <c r="B9">
        <v>253</v>
      </c>
      <c r="C9" s="1">
        <f>AVERAGE(C6:C8)</f>
        <v>18317</v>
      </c>
      <c r="D9">
        <v>0</v>
      </c>
      <c r="E9">
        <v>0</v>
      </c>
      <c r="F9" s="1">
        <f>AVERAGE(F6:F8)</f>
        <v>18570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1</vt:lpstr>
      <vt:lpstr>Table 2</vt:lpstr>
      <vt:lpstr>Capital and O&amp;M</vt:lpstr>
      <vt:lpstr>Number of Sources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Ariel Hou</cp:lastModifiedBy>
  <dcterms:created xsi:type="dcterms:W3CDTF">2016-10-18T13:02:41Z</dcterms:created>
  <dcterms:modified xsi:type="dcterms:W3CDTF">2016-12-28T15:53:48Z</dcterms:modified>
</cp:coreProperties>
</file>