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495" yWindow="-60" windowWidth="24240" windowHeight="12405" tabRatio="640" activeTab="4"/>
  </bookViews>
  <sheets>
    <sheet name="Reporting" sheetId="27" r:id="rId1"/>
    <sheet name="RecordKeeping" sheetId="8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PublicNotification!$A$3:$N$16</definedName>
    <definedName name="_xlnm._FilterDatabase" localSheetId="1" hidden="1">RecordKeeping!$A$3:$N$21</definedName>
    <definedName name="_xlnm._FilterDatabase" localSheetId="0" hidden="1">Reporting!$A$3:$N$41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PublicNotification!$A$1:$N$23</definedName>
    <definedName name="_xlnm.Print_Area" localSheetId="1">RecordKeeping!$A$1:$N$29</definedName>
    <definedName name="_xlnm.Print_Area" localSheetId="0">Reporting!$A$1:$N$49</definedName>
  </definedNames>
  <calcPr calcId="145621"/>
</workbook>
</file>

<file path=xl/calcChain.xml><?xml version="1.0" encoding="utf-8"?>
<calcChain xmlns="http://schemas.openxmlformats.org/spreadsheetml/2006/main">
  <c r="C30" i="4" l="1"/>
  <c r="C31" i="4" s="1"/>
  <c r="B30" i="4"/>
  <c r="B31" i="4" s="1"/>
  <c r="C26" i="4"/>
  <c r="E26" i="4"/>
  <c r="F26" i="4"/>
  <c r="D26" i="4"/>
  <c r="B26" i="4"/>
  <c r="E25" i="4"/>
  <c r="E24" i="4"/>
  <c r="C25" i="4"/>
  <c r="C24" i="4"/>
  <c r="F25" i="4"/>
  <c r="F24" i="4"/>
  <c r="D25" i="4"/>
  <c r="D24" i="4"/>
  <c r="B25" i="4"/>
  <c r="B24" i="4"/>
  <c r="L16" i="8" l="1"/>
  <c r="L13" i="8"/>
  <c r="L14" i="8"/>
  <c r="G7" i="8"/>
  <c r="I7" i="8" s="1"/>
  <c r="L7" i="8" s="1"/>
  <c r="N7" i="8" s="1"/>
  <c r="G25" i="27"/>
  <c r="I25" i="27" s="1"/>
  <c r="L25" i="27" s="1"/>
  <c r="N25" i="27" s="1"/>
  <c r="I6" i="31"/>
  <c r="L6" i="31" s="1"/>
  <c r="N6" i="31" s="1"/>
  <c r="F6" i="31"/>
  <c r="G9" i="27"/>
  <c r="I9" i="27" s="1"/>
  <c r="L9" i="27" s="1"/>
  <c r="N9" i="27" s="1"/>
  <c r="M16" i="8"/>
  <c r="K16" i="8"/>
  <c r="J16" i="8"/>
  <c r="G15" i="8"/>
  <c r="I15" i="8" s="1"/>
  <c r="L15" i="8" s="1"/>
  <c r="N15" i="8" s="1"/>
  <c r="I24" i="27"/>
  <c r="L24" i="27" s="1"/>
  <c r="N24" i="27" s="1"/>
  <c r="F24" i="27"/>
  <c r="I23" i="27"/>
  <c r="L23" i="27" s="1"/>
  <c r="N23" i="27" s="1"/>
  <c r="F23" i="27"/>
  <c r="E35" i="27" l="1"/>
  <c r="G35" i="27"/>
  <c r="F35" i="27" s="1"/>
  <c r="I35" i="27"/>
  <c r="H35" i="27" s="1"/>
  <c r="J35" i="27"/>
  <c r="K35" i="27"/>
  <c r="L35" i="27"/>
  <c r="M35" i="27"/>
  <c r="N35" i="27"/>
  <c r="G8" i="27" l="1"/>
  <c r="I8" i="27" s="1"/>
  <c r="N8" i="27" s="1"/>
  <c r="G26" i="27" l="1"/>
  <c r="G22" i="27"/>
  <c r="I22" i="27" s="1"/>
  <c r="N22" i="27" s="1"/>
  <c r="M22" i="27" s="1"/>
  <c r="G21" i="27"/>
  <c r="I21" i="27" s="1"/>
  <c r="N21" i="27" s="1"/>
  <c r="M21" i="27" s="1"/>
  <c r="G12" i="27"/>
  <c r="I12" i="27" s="1"/>
  <c r="N12" i="27" s="1"/>
  <c r="I26" i="27" l="1"/>
  <c r="N26" i="27" s="1"/>
  <c r="M26" i="27" s="1"/>
  <c r="G10" i="27"/>
  <c r="I10" i="27" s="1"/>
  <c r="N10" i="27" s="1"/>
  <c r="M10" i="27" s="1"/>
  <c r="G11" i="27"/>
  <c r="I11" i="27" s="1"/>
  <c r="N11" i="27" s="1"/>
  <c r="G20" i="27" l="1"/>
  <c r="I20" i="27" s="1"/>
  <c r="N20" i="27" s="1"/>
  <c r="M20" i="27" s="1"/>
  <c r="G29" i="27" l="1"/>
  <c r="I29" i="27" s="1"/>
  <c r="N29" i="27" s="1"/>
  <c r="L29" i="27" s="1"/>
  <c r="G28" i="27"/>
  <c r="I28" i="27" s="1"/>
  <c r="N28" i="27" s="1"/>
  <c r="L28" i="27" s="1"/>
  <c r="G27" i="27"/>
  <c r="I27" i="27" s="1"/>
  <c r="N27" i="27" s="1"/>
  <c r="L27" i="27" s="1"/>
  <c r="G6" i="8"/>
  <c r="I6" i="8" s="1"/>
  <c r="N6" i="8" s="1"/>
  <c r="L6" i="8" s="1"/>
  <c r="L23" i="8" l="1"/>
  <c r="D32" i="8"/>
  <c r="D31" i="8"/>
  <c r="D30" i="8"/>
  <c r="D29" i="8"/>
  <c r="D28" i="8"/>
  <c r="D27" i="8"/>
  <c r="D26" i="8"/>
  <c r="D50" i="27"/>
  <c r="G7" i="27"/>
  <c r="I7" i="27" s="1"/>
  <c r="N7" i="27" s="1"/>
  <c r="L7" i="27" s="1"/>
  <c r="D24" i="31"/>
  <c r="D23" i="31"/>
  <c r="D22" i="31"/>
  <c r="D21" i="31"/>
  <c r="D20" i="31"/>
  <c r="M24" i="31" s="1"/>
  <c r="D19" i="31"/>
  <c r="M19" i="31" s="1"/>
  <c r="G5" i="31"/>
  <c r="I5" i="31" s="1"/>
  <c r="L24" i="31" l="1"/>
  <c r="M20" i="31"/>
  <c r="M21" i="31"/>
  <c r="K23" i="31"/>
  <c r="K21" i="31"/>
  <c r="L22" i="31"/>
  <c r="M23" i="31"/>
  <c r="E19" i="31"/>
  <c r="L21" i="31"/>
  <c r="M22" i="31"/>
  <c r="K24" i="31"/>
  <c r="K22" i="31"/>
  <c r="L23" i="31"/>
  <c r="N24" i="31"/>
  <c r="L19" i="31"/>
  <c r="N18" i="31"/>
  <c r="M18" i="31"/>
  <c r="L18" i="31"/>
  <c r="K18" i="31"/>
  <c r="J18" i="31"/>
  <c r="I18" i="31"/>
  <c r="H18" i="31"/>
  <c r="G18" i="31"/>
  <c r="F18" i="31"/>
  <c r="E18" i="31"/>
  <c r="D18" i="31"/>
  <c r="N15" i="31"/>
  <c r="M15" i="31"/>
  <c r="L15" i="31"/>
  <c r="K15" i="31"/>
  <c r="J15" i="31"/>
  <c r="I15" i="31"/>
  <c r="F17" i="4" s="1"/>
  <c r="G15" i="31"/>
  <c r="F15" i="31"/>
  <c r="C17" i="4" s="1"/>
  <c r="E15" i="31"/>
  <c r="B17" i="4" s="1"/>
  <c r="M12" i="31"/>
  <c r="L12" i="31"/>
  <c r="K12" i="31"/>
  <c r="J12" i="31"/>
  <c r="E12" i="31"/>
  <c r="B16" i="4" s="1"/>
  <c r="G11" i="31"/>
  <c r="G10" i="31"/>
  <c r="I10" i="31" s="1"/>
  <c r="N10" i="31" s="1"/>
  <c r="M8" i="31"/>
  <c r="K8" i="31"/>
  <c r="J8" i="31"/>
  <c r="E8" i="31"/>
  <c r="B15" i="4" s="1"/>
  <c r="G7" i="31"/>
  <c r="I7" i="31" s="1"/>
  <c r="N7" i="31" s="1"/>
  <c r="N23" i="31" l="1"/>
  <c r="L7" i="31"/>
  <c r="L8" i="31" s="1"/>
  <c r="H15" i="31"/>
  <c r="E17" i="4" s="1"/>
  <c r="D17" i="4"/>
  <c r="B18" i="4"/>
  <c r="L16" i="31"/>
  <c r="E16" i="31"/>
  <c r="M16" i="31"/>
  <c r="J16" i="31"/>
  <c r="K16" i="31"/>
  <c r="N22" i="31"/>
  <c r="J20" i="31"/>
  <c r="K19" i="31"/>
  <c r="K20" i="31"/>
  <c r="M25" i="31"/>
  <c r="N20" i="31"/>
  <c r="J19" i="31"/>
  <c r="G20" i="31"/>
  <c r="H20" i="31" s="1"/>
  <c r="N21" i="31"/>
  <c r="G12" i="31"/>
  <c r="D16" i="4" s="1"/>
  <c r="G8" i="31"/>
  <c r="N5" i="31"/>
  <c r="G19" i="31"/>
  <c r="I11" i="31"/>
  <c r="N11" i="31" s="1"/>
  <c r="N12" i="31" s="1"/>
  <c r="L20" i="31"/>
  <c r="L25" i="31" s="1"/>
  <c r="E21" i="31"/>
  <c r="I21" i="31"/>
  <c r="E22" i="31"/>
  <c r="I22" i="31"/>
  <c r="E23" i="31"/>
  <c r="I23" i="31"/>
  <c r="E24" i="31"/>
  <c r="F24" i="31" s="1"/>
  <c r="I24" i="31"/>
  <c r="E20" i="31"/>
  <c r="F20" i="31" s="1"/>
  <c r="I20" i="31"/>
  <c r="J21" i="31"/>
  <c r="J22" i="31"/>
  <c r="J23" i="31"/>
  <c r="J24" i="31"/>
  <c r="G21" i="31"/>
  <c r="H21" i="31" s="1"/>
  <c r="G22" i="31"/>
  <c r="G23" i="31"/>
  <c r="G24" i="31"/>
  <c r="M11" i="8"/>
  <c r="L11" i="8"/>
  <c r="K11" i="8"/>
  <c r="E11" i="8"/>
  <c r="K32" i="27"/>
  <c r="L14" i="27"/>
  <c r="K14" i="27"/>
  <c r="E14" i="27"/>
  <c r="E32" i="27"/>
  <c r="J32" i="27"/>
  <c r="G31" i="27"/>
  <c r="I31" i="27" s="1"/>
  <c r="N31" i="27" s="1"/>
  <c r="M31" i="27" s="1"/>
  <c r="J14" i="27"/>
  <c r="J11" i="8"/>
  <c r="G10" i="8"/>
  <c r="H23" i="31" l="1"/>
  <c r="F23" i="31"/>
  <c r="F8" i="31"/>
  <c r="C15" i="4" s="1"/>
  <c r="D15" i="4"/>
  <c r="I10" i="8"/>
  <c r="H24" i="31"/>
  <c r="F12" i="31"/>
  <c r="C16" i="4" s="1"/>
  <c r="G16" i="31"/>
  <c r="F16" i="31" s="1"/>
  <c r="K25" i="31"/>
  <c r="F19" i="31"/>
  <c r="I8" i="31"/>
  <c r="H22" i="31"/>
  <c r="J25" i="31"/>
  <c r="E25" i="31"/>
  <c r="N8" i="31"/>
  <c r="N16" i="31" s="1"/>
  <c r="N19" i="31"/>
  <c r="N25" i="31" s="1"/>
  <c r="F22" i="31"/>
  <c r="G25" i="31"/>
  <c r="I12" i="31"/>
  <c r="F21" i="31"/>
  <c r="I19" i="31"/>
  <c r="I25" i="31" s="1"/>
  <c r="G16" i="27"/>
  <c r="D49" i="27"/>
  <c r="L32" i="8"/>
  <c r="L31" i="8"/>
  <c r="K30" i="8"/>
  <c r="K29" i="8"/>
  <c r="M28" i="8"/>
  <c r="L27" i="8"/>
  <c r="D18" i="4" l="1"/>
  <c r="C18" i="4" s="1"/>
  <c r="H12" i="31"/>
  <c r="E16" i="4" s="1"/>
  <c r="F16" i="4"/>
  <c r="H8" i="31"/>
  <c r="E15" i="4" s="1"/>
  <c r="F15" i="4"/>
  <c r="N10" i="8"/>
  <c r="I16" i="27"/>
  <c r="I16" i="31"/>
  <c r="H16" i="31" s="1"/>
  <c r="F25" i="31"/>
  <c r="H19" i="31"/>
  <c r="H25" i="31" s="1"/>
  <c r="K28" i="8"/>
  <c r="L30" i="8"/>
  <c r="M27" i="8"/>
  <c r="M31" i="8"/>
  <c r="M32" i="8"/>
  <c r="K27" i="8"/>
  <c r="K31" i="8"/>
  <c r="K32" i="8"/>
  <c r="L29" i="8"/>
  <c r="M30" i="8"/>
  <c r="L28" i="8"/>
  <c r="M29" i="8"/>
  <c r="G9" i="8"/>
  <c r="I9" i="8" s="1"/>
  <c r="N9" i="8" s="1"/>
  <c r="E16" i="8"/>
  <c r="G14" i="8"/>
  <c r="I14" i="8" s="1"/>
  <c r="G18" i="27"/>
  <c r="N16" i="27" l="1"/>
  <c r="L16" i="27"/>
  <c r="N14" i="8"/>
  <c r="N16" i="8" s="1"/>
  <c r="I16" i="8"/>
  <c r="F18" i="4"/>
  <c r="E18" i="4" s="1"/>
  <c r="L26" i="8"/>
  <c r="K26" i="8"/>
  <c r="M26" i="8"/>
  <c r="G5" i="8"/>
  <c r="I5" i="8" s="1"/>
  <c r="L40" i="27"/>
  <c r="K40" i="27"/>
  <c r="J40" i="27"/>
  <c r="G38" i="27"/>
  <c r="I38" i="27" s="1"/>
  <c r="N38" i="27" s="1"/>
  <c r="M38" i="27" s="1"/>
  <c r="G39" i="27"/>
  <c r="I39" i="27" s="1"/>
  <c r="N39" i="27" s="1"/>
  <c r="M39" i="27" s="1"/>
  <c r="G37" i="27"/>
  <c r="I37" i="27" s="1"/>
  <c r="N37" i="27" s="1"/>
  <c r="M37" i="27" s="1"/>
  <c r="I18" i="27"/>
  <c r="N18" i="27" s="1"/>
  <c r="M18" i="27" s="1"/>
  <c r="G19" i="27"/>
  <c r="I19" i="27" s="1"/>
  <c r="N19" i="27" s="1"/>
  <c r="M19" i="27" s="1"/>
  <c r="G17" i="27"/>
  <c r="M40" i="27" l="1"/>
  <c r="N5" i="8"/>
  <c r="I17" i="27"/>
  <c r="N40" i="27"/>
  <c r="I40" i="27"/>
  <c r="N17" i="27" l="1"/>
  <c r="M17" i="27" s="1"/>
  <c r="E40" i="27"/>
  <c r="C3" i="28" s="1"/>
  <c r="G13" i="8"/>
  <c r="G16" i="8" s="1"/>
  <c r="G8" i="8"/>
  <c r="G11" i="8" s="1"/>
  <c r="G30" i="27"/>
  <c r="I30" i="27" s="1"/>
  <c r="E44" i="27" l="1"/>
  <c r="G32" i="27"/>
  <c r="F32" i="27" s="1"/>
  <c r="I32" i="27"/>
  <c r="I8" i="8"/>
  <c r="N8" i="8" s="1"/>
  <c r="I13" i="8"/>
  <c r="E41" i="27"/>
  <c r="G5" i="27"/>
  <c r="I5" i="27" s="1"/>
  <c r="G6" i="27"/>
  <c r="I6" i="27" s="1"/>
  <c r="H32" i="27" l="1"/>
  <c r="N11" i="8"/>
  <c r="I11" i="8"/>
  <c r="H11" i="8" s="1"/>
  <c r="F16" i="8"/>
  <c r="F11" i="8"/>
  <c r="I14" i="27"/>
  <c r="I41" i="27" s="1"/>
  <c r="G14" i="27"/>
  <c r="F14" i="27" s="1"/>
  <c r="N13" i="8"/>
  <c r="H16" i="8"/>
  <c r="N5" i="27"/>
  <c r="M5" i="27" s="1"/>
  <c r="N6" i="27"/>
  <c r="M6" i="27" s="1"/>
  <c r="J50" i="27"/>
  <c r="J49" i="27"/>
  <c r="D48" i="27"/>
  <c r="J48" i="27" s="1"/>
  <c r="D47" i="27"/>
  <c r="J47" i="27" s="1"/>
  <c r="D46" i="27"/>
  <c r="D45" i="27"/>
  <c r="D44" i="27"/>
  <c r="N43" i="27"/>
  <c r="M43" i="27"/>
  <c r="L43" i="27"/>
  <c r="K43" i="27"/>
  <c r="J43" i="27"/>
  <c r="I43" i="27"/>
  <c r="H43" i="27"/>
  <c r="G43" i="27"/>
  <c r="F43" i="27"/>
  <c r="E43" i="27"/>
  <c r="D43" i="27"/>
  <c r="N30" i="27"/>
  <c r="J41" i="27"/>
  <c r="D23" i="8"/>
  <c r="E23" i="8"/>
  <c r="E32" i="8"/>
  <c r="F32" i="8" s="1"/>
  <c r="E30" i="8"/>
  <c r="F30" i="8" s="1"/>
  <c r="E31" i="8"/>
  <c r="F31" i="8" s="1"/>
  <c r="H23" i="8"/>
  <c r="E29" i="8"/>
  <c r="D25" i="8"/>
  <c r="E27" i="8"/>
  <c r="D24" i="8"/>
  <c r="F23" i="8"/>
  <c r="G23" i="8"/>
  <c r="I23" i="8"/>
  <c r="J23" i="8"/>
  <c r="K23" i="8"/>
  <c r="M23" i="8"/>
  <c r="N23" i="8"/>
  <c r="E20" i="8"/>
  <c r="E24" i="8" s="1"/>
  <c r="J20" i="8"/>
  <c r="M20" i="8"/>
  <c r="L20" i="8"/>
  <c r="K20" i="8"/>
  <c r="H20" i="8"/>
  <c r="E7" i="4" s="1"/>
  <c r="B6" i="4"/>
  <c r="B5" i="4"/>
  <c r="G18" i="8"/>
  <c r="I18" i="8" s="1"/>
  <c r="N18" i="8" s="1"/>
  <c r="G19" i="8"/>
  <c r="I19" i="8" s="1"/>
  <c r="N19" i="8" s="1"/>
  <c r="M13" i="8" l="1"/>
  <c r="L32" i="27"/>
  <c r="M30" i="27"/>
  <c r="M32" i="27" s="1"/>
  <c r="F20" i="8"/>
  <c r="C7" i="4" s="1"/>
  <c r="N32" i="27"/>
  <c r="H14" i="27"/>
  <c r="K24" i="8"/>
  <c r="L24" i="8"/>
  <c r="K25" i="8"/>
  <c r="M25" i="8"/>
  <c r="J25" i="8"/>
  <c r="L25" i="8"/>
  <c r="N25" i="8"/>
  <c r="J45" i="27"/>
  <c r="M45" i="27"/>
  <c r="L45" i="27"/>
  <c r="K45" i="27"/>
  <c r="M24" i="8"/>
  <c r="B7" i="4"/>
  <c r="B8" i="4" s="1"/>
  <c r="G44" i="27"/>
  <c r="K44" i="27"/>
  <c r="L44" i="27"/>
  <c r="E11" i="4"/>
  <c r="G40" i="27"/>
  <c r="F40" i="27" s="1"/>
  <c r="J46" i="27"/>
  <c r="E46" i="27"/>
  <c r="C11" i="4"/>
  <c r="B11" i="4"/>
  <c r="C6" i="4"/>
  <c r="E21" i="8"/>
  <c r="E6" i="4"/>
  <c r="I31" i="8"/>
  <c r="J30" i="8"/>
  <c r="G24" i="8"/>
  <c r="G25" i="8"/>
  <c r="I24" i="8"/>
  <c r="I25" i="8"/>
  <c r="J26" i="8"/>
  <c r="L21" i="8"/>
  <c r="J21" i="8"/>
  <c r="C8" i="28" s="1"/>
  <c r="G26" i="8"/>
  <c r="I26" i="8"/>
  <c r="J24" i="8"/>
  <c r="N26" i="8"/>
  <c r="N31" i="8"/>
  <c r="G31" i="8"/>
  <c r="H31" i="8" s="1"/>
  <c r="N30" i="8"/>
  <c r="J32" i="8"/>
  <c r="G29" i="8"/>
  <c r="I30" i="8"/>
  <c r="G30" i="8"/>
  <c r="H30" i="8" s="1"/>
  <c r="J31" i="8"/>
  <c r="I29" i="8"/>
  <c r="J29" i="8"/>
  <c r="N29" i="8"/>
  <c r="J28" i="8"/>
  <c r="G28" i="8"/>
  <c r="H28" i="8" s="1"/>
  <c r="I28" i="8"/>
  <c r="N28" i="8"/>
  <c r="G27" i="8"/>
  <c r="F27" i="8" s="1"/>
  <c r="I27" i="8"/>
  <c r="J27" i="8"/>
  <c r="N27" i="8"/>
  <c r="B10" i="4"/>
  <c r="F11" i="4"/>
  <c r="D11" i="4"/>
  <c r="J44" i="27"/>
  <c r="E45" i="27"/>
  <c r="F45" i="27" s="1"/>
  <c r="G45" i="27"/>
  <c r="H45" i="27" s="1"/>
  <c r="I45" i="27"/>
  <c r="G46" i="27"/>
  <c r="I46" i="27"/>
  <c r="N46" i="27"/>
  <c r="E47" i="27"/>
  <c r="G47" i="27"/>
  <c r="I47" i="27"/>
  <c r="N47" i="27"/>
  <c r="E48" i="27"/>
  <c r="G48" i="27"/>
  <c r="I48" i="27"/>
  <c r="N48" i="27"/>
  <c r="E49" i="27"/>
  <c r="F49" i="27" s="1"/>
  <c r="G49" i="27"/>
  <c r="H49" i="27" s="1"/>
  <c r="I49" i="27"/>
  <c r="N49" i="27"/>
  <c r="E50" i="27"/>
  <c r="F50" i="27" s="1"/>
  <c r="G50" i="27"/>
  <c r="H50" i="27" s="1"/>
  <c r="I50" i="27"/>
  <c r="N50" i="27"/>
  <c r="N32" i="8"/>
  <c r="I32" i="8"/>
  <c r="G32" i="8"/>
  <c r="H32" i="8" s="1"/>
  <c r="M21" i="8"/>
  <c r="K21" i="8"/>
  <c r="E28" i="8"/>
  <c r="F28" i="8" s="1"/>
  <c r="E26" i="8"/>
  <c r="F26" i="8" s="1"/>
  <c r="E25" i="8"/>
  <c r="F6" i="4"/>
  <c r="D6" i="4"/>
  <c r="N20" i="8"/>
  <c r="G20" i="8"/>
  <c r="D7" i="4" s="1"/>
  <c r="I20" i="8"/>
  <c r="F7" i="4" s="1"/>
  <c r="M33" i="8" l="1"/>
  <c r="N14" i="27"/>
  <c r="F48" i="27"/>
  <c r="H48" i="27"/>
  <c r="H29" i="8"/>
  <c r="F29" i="8"/>
  <c r="K33" i="8"/>
  <c r="H25" i="8"/>
  <c r="H24" i="8"/>
  <c r="F24" i="8"/>
  <c r="H27" i="8"/>
  <c r="H47" i="27"/>
  <c r="H46" i="27"/>
  <c r="F46" i="27"/>
  <c r="F47" i="27"/>
  <c r="H26" i="8"/>
  <c r="L33" i="8"/>
  <c r="L51" i="27"/>
  <c r="K51" i="27"/>
  <c r="F44" i="27"/>
  <c r="F25" i="8"/>
  <c r="D5" i="4"/>
  <c r="D8" i="4" s="1"/>
  <c r="F5" i="4"/>
  <c r="F8" i="4" s="1"/>
  <c r="J51" i="27"/>
  <c r="G51" i="27"/>
  <c r="C10" i="4"/>
  <c r="H40" i="27"/>
  <c r="D10" i="4"/>
  <c r="G41" i="27"/>
  <c r="N24" i="8"/>
  <c r="N33" i="8" s="1"/>
  <c r="I33" i="8"/>
  <c r="G33" i="8"/>
  <c r="J33" i="8"/>
  <c r="E33" i="8"/>
  <c r="E51" i="27"/>
  <c r="I44" i="27"/>
  <c r="H44" i="27" s="1"/>
  <c r="I21" i="8"/>
  <c r="N21" i="8"/>
  <c r="G21" i="8"/>
  <c r="F41" i="27" l="1"/>
  <c r="C5" i="28"/>
  <c r="M14" i="27"/>
  <c r="M41" i="27" s="1"/>
  <c r="M44" i="27"/>
  <c r="M51" i="27" s="1"/>
  <c r="F33" i="8"/>
  <c r="C8" i="4"/>
  <c r="F21" i="8"/>
  <c r="F51" i="27"/>
  <c r="H33" i="8"/>
  <c r="E8" i="4"/>
  <c r="H21" i="8"/>
  <c r="C5" i="4"/>
  <c r="E5" i="4"/>
  <c r="H51" i="27"/>
  <c r="I51" i="27"/>
  <c r="E10" i="4"/>
  <c r="F10" i="4"/>
  <c r="H41" i="27"/>
  <c r="N44" i="27"/>
  <c r="N45" i="27"/>
  <c r="C7" i="28" l="1"/>
  <c r="N41" i="27"/>
  <c r="C9" i="28" s="1"/>
  <c r="N51" i="27"/>
  <c r="E12" i="4"/>
  <c r="L41" i="27"/>
  <c r="K41" i="27"/>
  <c r="D12" i="4"/>
  <c r="D13" i="4" l="1"/>
  <c r="C12" i="4"/>
  <c r="F12" i="4"/>
  <c r="C4" i="28"/>
  <c r="B12" i="4"/>
  <c r="B13" i="4" l="1"/>
  <c r="C13" i="4" s="1"/>
  <c r="B19" i="4"/>
  <c r="D19" i="4"/>
  <c r="F13" i="4"/>
  <c r="C6" i="28"/>
  <c r="E13" i="4" l="1"/>
  <c r="F19" i="4"/>
  <c r="E19" i="4" s="1"/>
  <c r="C19" i="4"/>
</calcChain>
</file>

<file path=xl/comments1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E10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E16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FNS-742 reports 5.39 million household applications approvd for free or reduced price meals.</t>
        </r>
      </text>
    </comment>
    <comment ref="E17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FNS-742 reports 11.2 million students; estimate 5.1 million households</t>
        </r>
      </text>
    </comment>
    <comment ref="E18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3% of houshold applications (about 8 out of 270).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FNS-742 reports 5,800 provision 2/3 schools.  If avg 5 schools per SFA, then estimate 1160 SFAs on provision 2/3.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Once every 4 years or less.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FNS-742 reports 14,000 schools on CEP.  If avg 5 schools per LEA, then estimate 2800 LEAs on CEP.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9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
(Puerto Rico + Virgin Islands are exempt from applications)</t>
        </r>
      </text>
    </comment>
    <comment ref="E13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</commentList>
</comments>
</file>

<file path=xl/comments3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50 states + DC + Guam + add'l SAs in AR &amp; OK = 54 
Puerto Rico &amp; Virgin Islands are exempt from this requirement in 245.4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<sst xmlns="http://schemas.openxmlformats.org/spreadsheetml/2006/main" count="286" uniqueCount="166">
  <si>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</si>
  <si>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</si>
  <si>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</si>
  <si>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</si>
  <si>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</si>
  <si>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</si>
  <si>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</si>
  <si>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</si>
  <si>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</si>
  <si>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</si>
  <si>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</si>
  <si>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</si>
  <si>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</si>
  <si>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</si>
  <si>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</si>
  <si>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</si>
  <si>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</si>
  <si>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</si>
  <si>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</si>
  <si>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</si>
  <si>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</si>
  <si>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</si>
  <si>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</si>
  <si>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</si>
  <si>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</si>
  <si>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</si>
  <si>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</si>
  <si>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</si>
  <si>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</si>
  <si>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</si>
  <si>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</si>
  <si>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</si>
  <si>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</si>
  <si>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</si>
  <si>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</si>
  <si>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</si>
  <si>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</si>
  <si>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</si>
  <si>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</si>
  <si>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</si>
  <si>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</si>
  <si>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</si>
  <si>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</si>
  <si>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</si>
  <si>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</si>
  <si>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</si>
  <si>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</si>
  <si>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</si>
  <si>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</si>
  <si>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245.6(i)</t>
  </si>
  <si>
    <t>245.6(j)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</si>
  <si>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</si>
  <si>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</si>
  <si>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</si>
  <si>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</si>
  <si>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</si>
  <si>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</si>
  <si>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</si>
  <si>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</si>
  <si>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</si>
  <si>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This is a DRAFT of the Burden doc using the redesigned template</t>
  </si>
  <si>
    <t>Due to Authorizing Statute</t>
  </si>
  <si>
    <t>Program Rule</t>
  </si>
  <si>
    <t>F/R Eligibility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</si>
  <si>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</si>
  <si>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</si>
  <si>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</si>
  <si>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</si>
  <si>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</si>
  <si>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 xml:space="preserve">245.6(b)(1)(iv) </t>
  </si>
  <si>
    <t>CURRENT OMB INVENTORY FOR PART 245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</si>
  <si>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</si>
  <si>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</si>
  <si>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</si>
  <si>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</si>
  <si>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Ready for submssion to PRAB</t>
  </si>
  <si>
    <t>TOTAL BURDEN</t>
  </si>
  <si>
    <t>LEAs notify households of approval of meal benefit applications.</t>
  </si>
  <si>
    <t>LEAs must notify households in writing that children are eligible for free meals based on direct certification and that no application is required.</t>
  </si>
  <si>
    <t>LEAs provide written notice to each household of denied benefits.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</si>
  <si>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</si>
  <si>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</si>
  <si>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</si>
  <si>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</si>
  <si>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</si>
  <si>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</si>
  <si>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</si>
  <si>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LEAs must maintain documentation substantiating eligibility determinations for 3 years after the end of the fiscal year.</t>
  </si>
  <si>
    <t xml:space="preserve">TOTAL BURDEN HOURS FOR PART 245 WITH REVISIONS </t>
  </si>
  <si>
    <t>DIFFERENCE (BURDEN REVISIONS REQUESTED)</t>
  </si>
  <si>
    <t>State agencies that fail to meet the direct certification benchmark must maintain a Continuous Improvement Plan.</t>
  </si>
  <si>
    <t>CIP</t>
  </si>
  <si>
    <t>Ind. Review of Apps</t>
  </si>
  <si>
    <t>245.9(f)(4)(ii)</t>
  </si>
  <si>
    <t>CEP</t>
  </si>
  <si>
    <t>Each SA shall by July 1 announce family-size income standards to be used by LEAs in making eligibility determinations for free or reduced price meals and for free milk.</t>
  </si>
  <si>
    <t>245.7(a)(2)(i)</t>
  </si>
  <si>
    <t>LEAs publicly announce method to make an oral or written request for a hearing.</t>
  </si>
  <si>
    <t>245.3(a) &amp; 245.12(a)(2)</t>
  </si>
  <si>
    <t>Public Notification</t>
  </si>
  <si>
    <t>245.12(g)</t>
  </si>
  <si>
    <r>
      <t xml:space="preserve">SAs submit to FNS </t>
    </r>
    <r>
      <rPr>
        <i/>
        <u/>
        <sz val="11"/>
        <rFont val="Calibri"/>
        <family val="2"/>
      </rPr>
      <t>upon request</t>
    </r>
    <r>
      <rPr>
        <sz val="11"/>
        <rFont val="Calibri"/>
        <family val="2"/>
      </rPr>
      <t>, the number of schools on Provision 1, Provision 2 or Provision 3 and extensions.</t>
    </r>
  </si>
  <si>
    <t>245.12(h)(4)</t>
  </si>
  <si>
    <t>245.13(e)</t>
  </si>
  <si>
    <t>SUMMARY OF BURDEN RECORDKEEPING &amp; REPORTING &amp; PUBLIC NOTIFICATION</t>
  </si>
  <si>
    <t>Draft being prepared for submission to PRAO</t>
  </si>
  <si>
    <t>Public Notification Total</t>
  </si>
  <si>
    <t>245.5 &amp; 245.9 &amp; 245.3(b)</t>
  </si>
  <si>
    <t>245.6(e)</t>
  </si>
  <si>
    <t>245.12(i)</t>
  </si>
  <si>
    <t>245.9(f)(7)</t>
  </si>
  <si>
    <t>245.9(h)(3)</t>
  </si>
  <si>
    <t>245.9(f)(6)</t>
  </si>
  <si>
    <t>SA must make publically available the names of LEAs and schools receiving notifications.</t>
  </si>
  <si>
    <t>245.9(f)(4)(i)</t>
  </si>
  <si>
    <t>245.9(f)(5)</t>
  </si>
  <si>
    <t>245.9(g)(1)</t>
  </si>
  <si>
    <t>245.6(c)(6)(i)</t>
  </si>
  <si>
    <t>245.6(c)(6)(ii)</t>
  </si>
  <si>
    <t>245.6a (j)</t>
  </si>
  <si>
    <t xml:space="preserve">Household Level </t>
  </si>
  <si>
    <t>LEAs submit to SA documentation demonstrating that the LEA or school meets the identified student percentage by June 30.</t>
  </si>
  <si>
    <t>LEAs submit to SA a list of schools identified at potentially eligible by April 15.</t>
  </si>
  <si>
    <t>SAs must notify LEAs of their community eligibility status by April 15.</t>
  </si>
  <si>
    <r>
      <t xml:space="preserve">SAs that fail to meet the direct certification benchmark must develop and submit a </t>
    </r>
    <r>
      <rPr>
        <i/>
        <sz val="10"/>
        <color theme="1"/>
        <rFont val="Times New Roman"/>
        <family val="1"/>
      </rPr>
      <t>Continuous Improvement Plan</t>
    </r>
    <r>
      <rPr>
        <sz val="10"/>
        <color theme="1"/>
        <rFont val="Times New Roman"/>
        <family val="1"/>
      </rPr>
      <t xml:space="preserve"> within 90 days of notification.</t>
    </r>
  </si>
  <si>
    <t>State Agency (SA) Level</t>
  </si>
  <si>
    <t>Local Educational Agency (LEA) / School Food Authority Level (SFA)</t>
  </si>
  <si>
    <t>LEAs that elect to participate in a Provision must amend their Free and Reduced Price Policy Statement</t>
  </si>
  <si>
    <t>SA maintains annual October data on number of schools on Provisions 1, 2, or 3 and extensions granted.</t>
  </si>
  <si>
    <t>SA confirms LEA eligibility to participate in CEP.</t>
  </si>
  <si>
    <t>SA maintains annual verification data collected from SFAs (for FNS-742).</t>
  </si>
  <si>
    <t>Due to Program Change (Final Rule)</t>
  </si>
  <si>
    <t>Due to Program Change - Final Rule</t>
  </si>
  <si>
    <t>Local Educational Agency Level</t>
  </si>
  <si>
    <t>Draft notice sent to PRAO</t>
  </si>
  <si>
    <t>Burden revised to remove CEP (since final rule might not precede the renewal)</t>
  </si>
  <si>
    <t>7 CFR 245.13(g)</t>
  </si>
  <si>
    <t>245.9(g)&amp;(h)</t>
  </si>
  <si>
    <t>SAs notify FNS when there is a change in the State’s TANF Program that would no longer make households automatically eligible for free meals.</t>
  </si>
  <si>
    <t>LEAs must provide households that failed to confirm eligibility with 10 days notice for receiving a reduction or termination of benefits.</t>
  </si>
  <si>
    <t>SA reporting burden for electronic reports accounted  for in the Food Program Reporting System (FPRS) ICR #0584-0594.</t>
  </si>
  <si>
    <t>FNS-742, FNS-874</t>
  </si>
  <si>
    <t>245.6a (h) 245.11(b)(2) 245.11(c)(3) 245.11(i)</t>
  </si>
  <si>
    <t>Households assemble written evidence for verification of eligibility and send to LEA.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</si>
  <si>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</si>
  <si>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</si>
  <si>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SFA must have a written agreement with an agency to disclose children's free and reduced price eligibility information.</t>
  </si>
  <si>
    <t>SFAs must retain records of schools implementing Provision 1, 2 or 3 for 3 years after submission of the last Claim for Reimbursement.</t>
  </si>
  <si>
    <t>Community Eligibility</t>
  </si>
  <si>
    <t xml:space="preserve">State agency to  notity LEAs of their community eligibility status as applicable </t>
  </si>
  <si>
    <t xml:space="preserve">State agency to make publically available the names of LEAs and schools receiving notifications </t>
  </si>
  <si>
    <t>LEAs to submit to  State agency documentation of acceptable identified student percentage of LEA/school electing the provision</t>
  </si>
  <si>
    <t>LEA to submit to the State agency for publication a list of eligible and potentially eligible schools and their eligibility status; unless otherwise exempted by State agency</t>
  </si>
  <si>
    <t>LEAs to amend free and reduced policy statement and certify that schools meet eligibility criteria</t>
  </si>
  <si>
    <t>Community eligibility</t>
  </si>
  <si>
    <t>State Agency to review and confirm LEAs eligibility to participate in provision</t>
  </si>
  <si>
    <t>LEA to maintain documentation  related to methodology used to calculate the identified student percentage and determine eligibility</t>
  </si>
  <si>
    <t>245.9(g)</t>
  </si>
  <si>
    <t>SLT Subtotal</t>
  </si>
  <si>
    <t>I/H Subtotal</t>
  </si>
  <si>
    <t>Total</t>
  </si>
  <si>
    <t>Currently Approved Burden</t>
  </si>
  <si>
    <t>Responses</t>
  </si>
  <si>
    <t>Hours</t>
  </si>
  <si>
    <t>Requested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</si>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</sst>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_);\(#,##0.000\)"/>
    <numFmt numFmtId="173" formatCode="0.0"/>
    <numFmt numFmtId="174" formatCode="0.0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u/>
      <sz val="11"/>
      <name val="Calibri"/>
      <family val="2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63377788628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372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5" fontId="5" fillId="10" borderId="1" xfId="3" applyNumberFormat="1" applyFont="1" applyFill="1" applyBorder="1" applyAlignment="1" applyProtection="1">
      <alignment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1" fillId="0" borderId="0" xfId="0" applyFont="1"/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1" applyFont="1" applyBorder="1" applyAlignment="1">
      <alignment vertical="center"/>
    </xf>
    <xf numFmtId="0" fontId="30" fillId="0" borderId="1" xfId="1" applyFont="1" applyBorder="1"/>
    <xf numFmtId="3" fontId="30" fillId="0" borderId="1" xfId="1" applyNumberFormat="1" applyFont="1" applyBorder="1" applyAlignment="1">
      <alignment vertical="center"/>
    </xf>
    <xf numFmtId="0" fontId="30" fillId="0" borderId="35" xfId="1" applyFont="1" applyBorder="1" applyAlignment="1">
      <alignment vertical="center" wrapText="1"/>
    </xf>
    <xf numFmtId="0" fontId="30" fillId="0" borderId="35" xfId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2" fontId="5" fillId="11" borderId="1" xfId="3" applyNumberFormat="1" applyFont="1" applyFill="1" applyBorder="1" applyAlignment="1" applyProtection="1">
      <alignment vertical="center"/>
    </xf>
    <xf numFmtId="3" fontId="30" fillId="0" borderId="5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2" fillId="14" borderId="1" xfId="0" applyNumberFormat="1" applyFont="1" applyFill="1" applyBorder="1" applyAlignment="1">
      <alignment vertical="center"/>
    </xf>
    <xf numFmtId="1" fontId="31" fillId="14" borderId="1" xfId="0" applyNumberFormat="1" applyFon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170" fontId="30" fillId="0" borderId="1" xfId="1" applyNumberFormat="1" applyFont="1" applyBorder="1" applyAlignment="1">
      <alignment vertical="center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  <protection locked="0"/>
    </xf>
    <xf numFmtId="2" fontId="30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1" borderId="1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" fontId="30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9" fontId="24" fillId="12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0" borderId="1" xfId="3" applyNumberFormat="1" applyFont="1" applyFill="1" applyBorder="1" applyAlignment="1" applyProtection="1">
      <alignment vertical="center"/>
    </xf>
    <xf numFmtId="170" fontId="24" fillId="12" borderId="0" xfId="0" applyNumberFormat="1" applyFont="1" applyFill="1" applyBorder="1"/>
    <xf numFmtId="164" fontId="5" fillId="0" borderId="1" xfId="3" applyNumberFormat="1" applyFont="1" applyFill="1" applyBorder="1" applyAlignment="1" applyProtection="1">
      <alignment vertical="center"/>
      <protection locked="0"/>
    </xf>
    <xf numFmtId="170" fontId="30" fillId="0" borderId="5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172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0" fillId="0" borderId="0" xfId="0"/>
    <xf numFmtId="0" fontId="0" fillId="8" borderId="21" xfId="0" applyFill="1" applyBorder="1"/>
    <xf numFmtId="0" fontId="30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0" fillId="0" borderId="6" xfId="1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0" fillId="0" borderId="0" xfId="0"/>
    <xf numFmtId="0" fontId="0" fillId="8" borderId="21" xfId="0" applyFill="1" applyBorder="1"/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43" fontId="6" fillId="16" borderId="11" xfId="3" applyFont="1" applyFill="1" applyBorder="1" applyAlignment="1" applyProtection="1">
      <alignment horizontal="center" vertical="center" wrapText="1"/>
      <protection locked="0"/>
    </xf>
    <xf numFmtId="0" fontId="30" fillId="16" borderId="1" xfId="0" applyFont="1" applyFill="1" applyBorder="1" applyAlignment="1">
      <alignment vertical="center" wrapText="1"/>
    </xf>
    <xf numFmtId="0" fontId="30" fillId="16" borderId="1" xfId="0" applyFont="1" applyFill="1" applyBorder="1" applyAlignment="1">
      <alignment vertical="center"/>
    </xf>
    <xf numFmtId="3" fontId="30" fillId="16" borderId="1" xfId="0" applyNumberFormat="1" applyFont="1" applyFill="1" applyBorder="1" applyAlignment="1">
      <alignment vertical="center"/>
    </xf>
    <xf numFmtId="3" fontId="24" fillId="16" borderId="1" xfId="3" applyNumberFormat="1" applyFont="1" applyFill="1" applyBorder="1" applyAlignment="1" applyProtection="1">
      <alignment vertical="center"/>
    </xf>
    <xf numFmtId="4" fontId="30" fillId="16" borderId="1" xfId="0" applyNumberFormat="1" applyFont="1" applyFill="1" applyBorder="1" applyAlignment="1">
      <alignment vertical="center"/>
    </xf>
    <xf numFmtId="3" fontId="29" fillId="16" borderId="1" xfId="0" applyNumberFormat="1" applyFont="1" applyFill="1" applyBorder="1" applyAlignment="1">
      <alignment vertical="center"/>
    </xf>
    <xf numFmtId="3" fontId="30" fillId="16" borderId="1" xfId="3" applyNumberFormat="1" applyFont="1" applyFill="1" applyBorder="1" applyAlignment="1" applyProtection="1">
      <alignment vertical="center"/>
      <protection locked="0"/>
    </xf>
    <xf numFmtId="3" fontId="30" fillId="16" borderId="12" xfId="3" applyNumberFormat="1" applyFont="1" applyFill="1" applyBorder="1" applyAlignment="1" applyProtection="1">
      <alignment vertical="center"/>
    </xf>
    <xf numFmtId="0" fontId="34" fillId="0" borderId="1" xfId="0" applyFont="1" applyFill="1" applyBorder="1" applyAlignment="1">
      <alignment vertical="center" wrapText="1"/>
    </xf>
    <xf numFmtId="0" fontId="6" fillId="17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7" borderId="2" xfId="3" applyNumberFormat="1" applyFont="1" applyFill="1" applyBorder="1" applyAlignment="1" applyProtection="1">
      <alignment vertical="center" wrapText="1"/>
      <protection locked="0"/>
    </xf>
    <xf numFmtId="0" fontId="22" fillId="17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7" borderId="1" xfId="3" applyNumberFormat="1" applyFont="1" applyFill="1" applyBorder="1" applyAlignment="1" applyProtection="1">
      <alignment horizontal="center" vertical="center"/>
      <protection locked="0"/>
    </xf>
    <xf numFmtId="1" fontId="24" fillId="17" borderId="1" xfId="3" applyNumberFormat="1" applyFont="1" applyFill="1" applyBorder="1" applyAlignment="1" applyProtection="1">
      <alignment vertical="center"/>
    </xf>
    <xf numFmtId="2" fontId="24" fillId="17" borderId="1" xfId="3" applyNumberFormat="1" applyFont="1" applyFill="1" applyBorder="1" applyAlignment="1" applyProtection="1">
      <alignment vertical="center"/>
    </xf>
    <xf numFmtId="37" fontId="24" fillId="17" borderId="1" xfId="3" applyNumberFormat="1" applyFont="1" applyFill="1" applyBorder="1" applyAlignment="1" applyProtection="1">
      <alignment vertical="center"/>
    </xf>
    <xf numFmtId="1" fontId="24" fillId="17" borderId="12" xfId="3" applyNumberFormat="1" applyFont="1" applyFill="1" applyBorder="1" applyAlignment="1" applyProtection="1">
      <alignment vertical="center"/>
    </xf>
    <xf numFmtId="0" fontId="13" fillId="19" borderId="11" xfId="1" applyFont="1" applyFill="1" applyBorder="1" applyAlignment="1" applyProtection="1">
      <alignment horizontal="center" vertical="center" wrapText="1"/>
    </xf>
    <xf numFmtId="0" fontId="13" fillId="19" borderId="1" xfId="1" applyFont="1" applyFill="1" applyBorder="1" applyAlignment="1" applyProtection="1">
      <alignment horizontal="center" vertical="center" wrapText="1"/>
    </xf>
    <xf numFmtId="0" fontId="13" fillId="19" borderId="12" xfId="1" applyFont="1" applyFill="1" applyBorder="1" applyAlignment="1" applyProtection="1">
      <alignment horizontal="center" vertical="center" wrapText="1"/>
    </xf>
    <xf numFmtId="0" fontId="25" fillId="19" borderId="27" xfId="0" applyFont="1" applyFill="1" applyBorder="1" applyAlignment="1">
      <alignment horizontal="center" vertical="center" wrapText="1"/>
    </xf>
    <xf numFmtId="0" fontId="25" fillId="19" borderId="28" xfId="0" applyFont="1" applyFill="1" applyBorder="1" applyAlignment="1">
      <alignment horizontal="center" vertical="center" wrapText="1"/>
    </xf>
    <xf numFmtId="0" fontId="25" fillId="19" borderId="29" xfId="0" applyFont="1" applyFill="1" applyBorder="1" applyAlignment="1">
      <alignment horizontal="center" vertical="center" wrapText="1"/>
    </xf>
    <xf numFmtId="0" fontId="6" fillId="17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7" borderId="1" xfId="3" applyNumberFormat="1" applyFont="1" applyFill="1" applyBorder="1" applyAlignment="1" applyProtection="1">
      <alignment vertical="center"/>
    </xf>
    <xf numFmtId="3" fontId="5" fillId="17" borderId="1" xfId="3" applyNumberFormat="1" applyFont="1" applyFill="1" applyBorder="1" applyAlignment="1" applyProtection="1">
      <alignment vertical="center"/>
      <protection locked="0"/>
    </xf>
    <xf numFmtId="3" fontId="5" fillId="17" borderId="12" xfId="3" applyNumberFormat="1" applyFont="1" applyFill="1" applyBorder="1" applyAlignment="1" applyProtection="1">
      <alignment vertical="center"/>
    </xf>
    <xf numFmtId="166" fontId="5" fillId="17" borderId="1" xfId="3" applyNumberFormat="1" applyFont="1" applyFill="1" applyBorder="1" applyAlignment="1" applyProtection="1">
      <alignment vertical="center"/>
    </xf>
    <xf numFmtId="2" fontId="5" fillId="17" borderId="1" xfId="3" applyNumberFormat="1" applyFont="1" applyFill="1" applyBorder="1" applyAlignment="1" applyProtection="1">
      <alignment vertical="center"/>
    </xf>
    <xf numFmtId="37" fontId="5" fillId="17" borderId="12" xfId="3" applyNumberFormat="1" applyFont="1" applyFill="1" applyBorder="1" applyAlignment="1" applyProtection="1">
      <alignment vertical="center"/>
    </xf>
    <xf numFmtId="170" fontId="30" fillId="0" borderId="1" xfId="1" applyNumberFormat="1" applyFont="1" applyFill="1" applyBorder="1" applyAlignment="1">
      <alignment vertical="center"/>
    </xf>
    <xf numFmtId="166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17" borderId="0" xfId="3" applyNumberFormat="1" applyFont="1" applyFill="1" applyBorder="1" applyAlignment="1">
      <alignment vertical="center"/>
    </xf>
    <xf numFmtId="166" fontId="11" fillId="18" borderId="0" xfId="3" applyNumberFormat="1" applyFont="1" applyFill="1" applyBorder="1" applyAlignment="1">
      <alignment vertical="center"/>
    </xf>
    <xf numFmtId="172" fontId="11" fillId="18" borderId="0" xfId="3" applyNumberFormat="1" applyFont="1" applyFill="1" applyBorder="1" applyAlignment="1">
      <alignment vertical="center"/>
    </xf>
    <xf numFmtId="0" fontId="21" fillId="18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5" borderId="0" xfId="3" applyNumberFormat="1" applyFont="1" applyFill="1" applyBorder="1" applyAlignment="1">
      <alignment vertical="center"/>
    </xf>
    <xf numFmtId="0" fontId="11" fillId="15" borderId="0" xfId="0" applyFont="1" applyFill="1" applyBorder="1" applyAlignment="1">
      <alignment horizontal="left" vertical="center"/>
    </xf>
    <xf numFmtId="0" fontId="11" fillId="17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0" fontId="3" fillId="0" borderId="0" xfId="4" applyFill="1"/>
    <xf numFmtId="43" fontId="11" fillId="17" borderId="0" xfId="3" applyNumberFormat="1" applyFont="1" applyFill="1" applyBorder="1" applyAlignment="1">
      <alignment vertical="center"/>
    </xf>
    <xf numFmtId="166" fontId="0" fillId="0" borderId="0" xfId="0" applyNumberFormat="1" applyFill="1"/>
    <xf numFmtId="2" fontId="24" fillId="0" borderId="1" xfId="3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16" borderId="1" xfId="1" applyFont="1" applyFill="1" applyBorder="1" applyAlignment="1">
      <alignment vertical="center" wrapText="1"/>
    </xf>
    <xf numFmtId="0" fontId="30" fillId="16" borderId="35" xfId="1" applyFont="1" applyFill="1" applyBorder="1" applyAlignment="1">
      <alignment vertical="center" wrapText="1"/>
    </xf>
    <xf numFmtId="37" fontId="24" fillId="16" borderId="1" xfId="3" applyNumberFormat="1" applyFont="1" applyFill="1" applyBorder="1" applyAlignment="1" applyProtection="1">
      <alignment vertical="center"/>
      <protection locked="0"/>
    </xf>
    <xf numFmtId="1" fontId="5" fillId="16" borderId="1" xfId="3" applyNumberFormat="1" applyFont="1" applyFill="1" applyBorder="1" applyAlignment="1" applyProtection="1">
      <alignment vertical="center"/>
      <protection locked="0"/>
    </xf>
    <xf numFmtId="37" fontId="30" fillId="16" borderId="1" xfId="3" applyNumberFormat="1" applyFont="1" applyFill="1" applyBorder="1" applyAlignment="1" applyProtection="1">
      <alignment vertical="center"/>
    </xf>
    <xf numFmtId="39" fontId="24" fillId="16" borderId="1" xfId="3" applyNumberFormat="1" applyFont="1" applyFill="1" applyBorder="1" applyAlignment="1" applyProtection="1">
      <alignment vertical="center"/>
      <protection locked="0"/>
    </xf>
    <xf numFmtId="170" fontId="30" fillId="16" borderId="5" xfId="3" applyNumberFormat="1" applyFont="1" applyFill="1" applyBorder="1" applyAlignment="1" applyProtection="1">
      <alignment vertical="center"/>
    </xf>
    <xf numFmtId="170" fontId="30" fillId="16" borderId="1" xfId="1" applyNumberFormat="1" applyFont="1" applyFill="1" applyBorder="1" applyAlignment="1">
      <alignment vertical="center"/>
    </xf>
    <xf numFmtId="1" fontId="24" fillId="16" borderId="12" xfId="3" applyNumberFormat="1" applyFont="1" applyFill="1" applyBorder="1" applyAlignment="1" applyProtection="1">
      <alignment vertical="center"/>
    </xf>
    <xf numFmtId="0" fontId="30" fillId="16" borderId="1" xfId="1" applyFont="1" applyFill="1" applyBorder="1" applyAlignment="1">
      <alignment vertical="center"/>
    </xf>
    <xf numFmtId="3" fontId="30" fillId="16" borderId="1" xfId="1" applyNumberFormat="1" applyFont="1" applyFill="1" applyBorder="1" applyAlignment="1">
      <alignment vertical="center"/>
    </xf>
    <xf numFmtId="37" fontId="24" fillId="16" borderId="1" xfId="3" applyNumberFormat="1" applyFont="1" applyFill="1" applyBorder="1" applyAlignment="1" applyProtection="1">
      <alignment vertical="center"/>
    </xf>
    <xf numFmtId="3" fontId="30" fillId="16" borderId="5" xfId="3" applyNumberFormat="1" applyFont="1" applyFill="1" applyBorder="1" applyAlignment="1" applyProtection="1">
      <alignment vertical="center"/>
    </xf>
    <xf numFmtId="0" fontId="30" fillId="0" borderId="35" xfId="1" applyFont="1" applyFill="1" applyBorder="1" applyAlignment="1">
      <alignment vertical="center"/>
    </xf>
    <xf numFmtId="173" fontId="30" fillId="0" borderId="5" xfId="3" applyNumberFormat="1" applyFont="1" applyFill="1" applyBorder="1" applyAlignment="1" applyProtection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19" fillId="21" borderId="0" xfId="0" applyFont="1" applyFill="1" applyBorder="1" applyAlignment="1">
      <alignment horizontal="right" vertical="center"/>
    </xf>
    <xf numFmtId="166" fontId="11" fillId="21" borderId="0" xfId="3" applyNumberFormat="1" applyFont="1" applyFill="1" applyBorder="1" applyAlignment="1">
      <alignment vertical="center"/>
    </xf>
    <xf numFmtId="43" fontId="11" fillId="21" borderId="0" xfId="3" applyNumberFormat="1" applyFont="1" applyFill="1" applyBorder="1" applyAlignment="1">
      <alignment vertical="center"/>
    </xf>
    <xf numFmtId="0" fontId="11" fillId="21" borderId="0" xfId="0" applyFont="1" applyFill="1" applyBorder="1" applyAlignment="1">
      <alignment horizontal="left" vertical="center"/>
    </xf>
    <xf numFmtId="0" fontId="44" fillId="0" borderId="0" xfId="0" applyFont="1"/>
    <xf numFmtId="0" fontId="30" fillId="0" borderId="34" xfId="1" applyFont="1" applyFill="1" applyBorder="1" applyAlignment="1">
      <alignment vertical="center"/>
    </xf>
    <xf numFmtId="0" fontId="30" fillId="0" borderId="34" xfId="1" applyFont="1" applyFill="1" applyBorder="1" applyAlignment="1">
      <alignment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left" vertical="center" wrapText="1"/>
    </xf>
    <xf numFmtId="0" fontId="45" fillId="20" borderId="1" xfId="1" applyFont="1" applyFill="1" applyBorder="1" applyAlignment="1">
      <alignment vertical="center"/>
    </xf>
    <xf numFmtId="37" fontId="27" fillId="20" borderId="1" xfId="15" applyNumberFormat="1" applyFont="1" applyFill="1" applyBorder="1" applyAlignment="1" applyProtection="1">
      <alignment horizontal="right" vertical="center"/>
      <protection locked="0"/>
    </xf>
    <xf numFmtId="1" fontId="1" fillId="20" borderId="1" xfId="0" applyNumberFormat="1" applyFont="1" applyFill="1" applyBorder="1" applyAlignment="1">
      <alignment horizontal="right" vertical="center"/>
    </xf>
    <xf numFmtId="0" fontId="1" fillId="20" borderId="1" xfId="0" applyFont="1" applyFill="1" applyBorder="1" applyAlignment="1">
      <alignment horizontal="right" vertical="center"/>
    </xf>
    <xf numFmtId="168" fontId="1" fillId="20" borderId="1" xfId="0" applyNumberFormat="1" applyFont="1" applyFill="1" applyBorder="1" applyAlignment="1">
      <alignment horizontal="right" vertical="center"/>
    </xf>
    <xf numFmtId="2" fontId="1" fillId="20" borderId="1" xfId="0" applyNumberFormat="1" applyFont="1" applyFill="1" applyBorder="1" applyAlignment="1">
      <alignment horizontal="right" vertical="center"/>
    </xf>
    <xf numFmtId="4" fontId="1" fillId="20" borderId="1" xfId="0" applyNumberFormat="1" applyFont="1" applyFill="1" applyBorder="1" applyAlignment="1">
      <alignment horizontal="right" vertical="center"/>
    </xf>
    <xf numFmtId="2" fontId="27" fillId="20" borderId="1" xfId="0" applyNumberFormat="1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73" fontId="0" fillId="0" borderId="1" xfId="0" applyNumberFormat="1" applyFill="1" applyBorder="1" applyAlignment="1">
      <alignment vertical="center"/>
    </xf>
    <xf numFmtId="173" fontId="24" fillId="0" borderId="12" xfId="3" applyNumberFormat="1" applyFont="1" applyFill="1" applyBorder="1" applyAlignment="1" applyProtection="1">
      <alignment vertical="center"/>
    </xf>
    <xf numFmtId="1" fontId="0" fillId="0" borderId="34" xfId="0" applyNumberFormat="1" applyFill="1" applyBorder="1" applyAlignment="1">
      <alignment vertical="center"/>
    </xf>
    <xf numFmtId="173" fontId="0" fillId="0" borderId="34" xfId="0" applyNumberFormat="1" applyFill="1" applyBorder="1" applyAlignment="1">
      <alignment vertical="center"/>
    </xf>
    <xf numFmtId="0" fontId="30" fillId="0" borderId="2" xfId="1" applyFont="1" applyFill="1" applyBorder="1" applyAlignment="1">
      <alignment horizontal="left" vertical="center" wrapText="1"/>
    </xf>
    <xf numFmtId="1" fontId="27" fillId="20" borderId="12" xfId="3" applyNumberFormat="1" applyFont="1" applyFill="1" applyBorder="1" applyAlignment="1" applyProtection="1">
      <alignment vertical="center"/>
    </xf>
    <xf numFmtId="0" fontId="30" fillId="0" borderId="1" xfId="1" applyFont="1" applyFill="1" applyBorder="1"/>
    <xf numFmtId="2" fontId="30" fillId="0" borderId="1" xfId="1" applyNumberFormat="1" applyFont="1" applyFill="1" applyBorder="1" applyAlignment="1">
      <alignment vertical="center"/>
    </xf>
    <xf numFmtId="1" fontId="30" fillId="0" borderId="1" xfId="1" applyNumberFormat="1" applyFont="1" applyFill="1" applyBorder="1" applyAlignment="1">
      <alignment vertical="center"/>
    </xf>
    <xf numFmtId="0" fontId="27" fillId="20" borderId="1" xfId="15" applyNumberFormat="1" applyFont="1" applyFill="1" applyBorder="1" applyAlignment="1" applyProtection="1">
      <alignment horizontal="center" vertical="center" wrapText="1"/>
      <protection locked="0"/>
    </xf>
    <xf numFmtId="0" fontId="27" fillId="20" borderId="1" xfId="1" applyFont="1" applyFill="1" applyBorder="1" applyAlignment="1">
      <alignment vertical="center"/>
    </xf>
    <xf numFmtId="174" fontId="1" fillId="20" borderId="1" xfId="0" applyNumberFormat="1" applyFont="1" applyFill="1" applyBorder="1" applyAlignment="1">
      <alignment horizontal="right" vertical="center"/>
    </xf>
    <xf numFmtId="4" fontId="1" fillId="20" borderId="1" xfId="0" applyNumberFormat="1" applyFont="1" applyFill="1" applyBorder="1" applyAlignment="1">
      <alignment horizontal="right"/>
    </xf>
    <xf numFmtId="2" fontId="1" fillId="20" borderId="1" xfId="0" applyNumberFormat="1" applyFont="1" applyFill="1" applyBorder="1" applyAlignment="1">
      <alignment horizontal="right"/>
    </xf>
    <xf numFmtId="3" fontId="27" fillId="20" borderId="1" xfId="26" applyNumberFormat="1" applyFont="1" applyFill="1" applyBorder="1" applyAlignment="1">
      <alignment horizontal="right" vertical="center"/>
    </xf>
    <xf numFmtId="0" fontId="1" fillId="20" borderId="1" xfId="0" applyFont="1" applyFill="1" applyBorder="1" applyAlignment="1">
      <alignment wrapText="1"/>
    </xf>
    <xf numFmtId="3" fontId="6" fillId="20" borderId="12" xfId="3" applyNumberFormat="1" applyFont="1" applyFill="1" applyBorder="1" applyAlignment="1" applyProtection="1">
      <alignment vertical="center"/>
    </xf>
    <xf numFmtId="43" fontId="6" fillId="20" borderId="11" xfId="3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71" fontId="0" fillId="0" borderId="1" xfId="0" applyNumberFormat="1" applyFill="1" applyBorder="1" applyAlignment="1">
      <alignment vertical="center" wrapText="1"/>
    </xf>
    <xf numFmtId="43" fontId="6" fillId="20" borderId="11" xfId="15" applyFont="1" applyFill="1" applyBorder="1" applyAlignment="1" applyProtection="1">
      <alignment horizontal="center" vertical="center" wrapText="1"/>
      <protection locked="0"/>
    </xf>
    <xf numFmtId="0" fontId="46" fillId="20" borderId="1" xfId="0" applyFont="1" applyFill="1" applyBorder="1" applyAlignment="1">
      <alignment horizontal="left" vertical="center" wrapText="1"/>
    </xf>
    <xf numFmtId="0" fontId="47" fillId="20" borderId="1" xfId="0" applyFont="1" applyFill="1" applyBorder="1" applyAlignment="1">
      <alignment vertical="center"/>
    </xf>
    <xf numFmtId="0" fontId="46" fillId="20" borderId="1" xfId="0" applyFont="1" applyFill="1" applyBorder="1" applyAlignment="1">
      <alignment horizontal="right" vertical="center"/>
    </xf>
    <xf numFmtId="3" fontId="46" fillId="20" borderId="1" xfId="0" applyNumberFormat="1" applyFont="1" applyFill="1" applyBorder="1" applyAlignment="1">
      <alignment horizontal="right" vertical="center"/>
    </xf>
    <xf numFmtId="3" fontId="45" fillId="20" borderId="1" xfId="15" applyNumberFormat="1" applyFont="1" applyFill="1" applyBorder="1" applyAlignment="1" applyProtection="1">
      <alignment vertical="center"/>
      <protection locked="0"/>
    </xf>
    <xf numFmtId="3" fontId="45" fillId="20" borderId="12" xfId="3" applyNumberFormat="1" applyFont="1" applyFill="1" applyBorder="1" applyAlignment="1" applyProtection="1">
      <alignment vertical="center"/>
    </xf>
    <xf numFmtId="0" fontId="22" fillId="20" borderId="1" xfId="0" applyFont="1" applyFill="1" applyBorder="1" applyAlignment="1">
      <alignment horizontal="left" vertical="center"/>
    </xf>
    <xf numFmtId="0" fontId="46" fillId="20" borderId="1" xfId="0" applyFont="1" applyFill="1" applyBorder="1" applyAlignment="1">
      <alignment vertical="center" wrapText="1"/>
    </xf>
    <xf numFmtId="4" fontId="46" fillId="20" borderId="1" xfId="0" applyNumberFormat="1" applyFont="1" applyFill="1" applyBorder="1" applyAlignment="1">
      <alignment horizontal="right" vertical="center" wrapText="1"/>
    </xf>
    <xf numFmtId="166" fontId="45" fillId="20" borderId="12" xfId="3" applyNumberFormat="1" applyFont="1" applyFill="1" applyBorder="1" applyAlignment="1" applyProtection="1">
      <alignment vertical="center"/>
    </xf>
    <xf numFmtId="0" fontId="6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45" fillId="20" borderId="1" xfId="1" applyFont="1" applyFill="1" applyBorder="1" applyAlignment="1">
      <alignment vertical="center" wrapText="1"/>
    </xf>
    <xf numFmtId="0" fontId="45" fillId="20" borderId="1" xfId="1" applyFont="1" applyFill="1" applyBorder="1"/>
    <xf numFmtId="3" fontId="45" fillId="20" borderId="1" xfId="1" applyNumberFormat="1" applyFont="1" applyFill="1" applyBorder="1" applyAlignment="1">
      <alignment vertical="center"/>
    </xf>
    <xf numFmtId="1" fontId="6" fillId="20" borderId="1" xfId="3" applyNumberFormat="1" applyFont="1" applyFill="1" applyBorder="1" applyAlignment="1" applyProtection="1">
      <alignment vertical="center"/>
      <protection locked="0"/>
    </xf>
    <xf numFmtId="3" fontId="6" fillId="20" borderId="1" xfId="3" applyNumberFormat="1" applyFont="1" applyFill="1" applyBorder="1" applyAlignment="1" applyProtection="1">
      <alignment vertical="center"/>
    </xf>
    <xf numFmtId="4" fontId="6" fillId="20" borderId="1" xfId="3" applyNumberFormat="1" applyFont="1" applyFill="1" applyBorder="1" applyAlignment="1" applyProtection="1">
      <alignment vertical="center"/>
      <protection locked="0"/>
    </xf>
    <xf numFmtId="3" fontId="6" fillId="20" borderId="1" xfId="3" applyNumberFormat="1" applyFont="1" applyFill="1" applyBorder="1" applyAlignment="1" applyProtection="1">
      <alignment vertical="center"/>
      <protection locked="0"/>
    </xf>
    <xf numFmtId="0" fontId="1" fillId="20" borderId="1" xfId="0" applyFont="1" applyFill="1" applyBorder="1" applyAlignment="1">
      <alignment vertical="center"/>
    </xf>
    <xf numFmtId="0" fontId="1" fillId="20" borderId="1" xfId="0" applyFont="1" applyFill="1" applyBorder="1" applyAlignment="1">
      <alignment vertical="center" wrapText="1"/>
    </xf>
    <xf numFmtId="3" fontId="1" fillId="20" borderId="1" xfId="0" applyNumberFormat="1" applyFont="1" applyFill="1" applyBorder="1" applyAlignment="1">
      <alignment vertical="center"/>
    </xf>
    <xf numFmtId="1" fontId="1" fillId="20" borderId="1" xfId="0" applyNumberFormat="1" applyFont="1" applyFill="1" applyBorder="1" applyAlignment="1">
      <alignment vertical="center"/>
    </xf>
    <xf numFmtId="2" fontId="6" fillId="20" borderId="1" xfId="3" applyNumberFormat="1" applyFont="1" applyFill="1" applyBorder="1" applyAlignment="1" applyProtection="1">
      <alignment vertical="center"/>
      <protection locked="0"/>
    </xf>
    <xf numFmtId="0" fontId="4" fillId="20" borderId="1" xfId="0" applyFont="1" applyFill="1" applyBorder="1" applyAlignment="1">
      <alignment vertical="center" wrapText="1"/>
    </xf>
    <xf numFmtId="44" fontId="0" fillId="0" borderId="0" xfId="27" applyFont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9" fillId="0" borderId="19" xfId="0" applyFont="1" applyFill="1" applyBorder="1" applyAlignment="1">
      <alignment horizontal="center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6" fontId="0" fillId="0" borderId="1" xfId="0" applyNumberFormat="1" applyBorder="1"/>
    <xf numFmtId="0" fontId="0" fillId="0" borderId="1" xfId="0" applyBorder="1"/>
    <xf numFmtId="0" fontId="1" fillId="0" borderId="27" xfId="0" applyFont="1" applyBorder="1"/>
    <xf numFmtId="166" fontId="0" fillId="0" borderId="28" xfId="0" applyNumberFormat="1" applyBorder="1"/>
    <xf numFmtId="0" fontId="0" fillId="0" borderId="28" xfId="0" applyBorder="1"/>
    <xf numFmtId="166" fontId="0" fillId="0" borderId="29" xfId="0" applyNumberFormat="1" applyBorder="1"/>
    <xf numFmtId="0" fontId="1" fillId="0" borderId="13" xfId="0" applyFont="1" applyBorder="1"/>
    <xf numFmtId="166" fontId="0" fillId="0" borderId="15" xfId="0" applyNumberFormat="1" applyBorder="1"/>
    <xf numFmtId="0" fontId="0" fillId="0" borderId="15" xfId="0" applyBorder="1"/>
    <xf numFmtId="166" fontId="0" fillId="0" borderId="16" xfId="0" applyNumberFormat="1" applyBorder="1"/>
    <xf numFmtId="0" fontId="1" fillId="0" borderId="11" xfId="0" applyFont="1" applyBorder="1"/>
    <xf numFmtId="166" fontId="0" fillId="0" borderId="12" xfId="0" applyNumberFormat="1" applyBorder="1"/>
    <xf numFmtId="166" fontId="0" fillId="0" borderId="0" xfId="26" applyNumberFormat="1" applyFont="1"/>
    <xf numFmtId="166" fontId="0" fillId="0" borderId="1" xfId="26" applyNumberFormat="1" applyFont="1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1" fillId="0" borderId="11" xfId="0" applyFont="1" applyFill="1" applyBorder="1"/>
    <xf numFmtId="166" fontId="0" fillId="0" borderId="12" xfId="26" applyNumberFormat="1" applyFont="1" applyBorder="1"/>
    <xf numFmtId="0" fontId="1" fillId="0" borderId="13" xfId="0" applyFont="1" applyFill="1" applyBorder="1"/>
  </cellXfs>
  <cellStyles count="28">
    <cellStyle name="Comma" xfId="26" builtinId="3"/>
    <cellStyle name="Comma 2" xfId="3"/>
    <cellStyle name="Comma 2 2" xfId="15"/>
    <cellStyle name="Comma 2 3" xfId="12"/>
    <cellStyle name="Comma 2 4" xfId="9"/>
    <cellStyle name="Comma 2 5" xfId="6"/>
    <cellStyle name="Comma 3" xfId="2"/>
    <cellStyle name="Comma 3 2" xfId="14"/>
    <cellStyle name="Comma 3 3" xfId="11"/>
    <cellStyle name="Comma 3 4" xfId="8"/>
    <cellStyle name="Comma 3 5" xfId="5"/>
    <cellStyle name="Currency" xfId="27" builtinId="4"/>
    <cellStyle name="Currency 2" xfId="18"/>
    <cellStyle name="Normal" xfId="0" builtinId="0"/>
    <cellStyle name="Normal 2" xfId="1"/>
    <cellStyle name="Normal 2 2" xfId="17"/>
    <cellStyle name="Normal 3" xfId="4"/>
    <cellStyle name="Normal 3 2" xfId="19"/>
    <cellStyle name="Normal 3 3" xfId="16"/>
    <cellStyle name="Normal 3 4" xfId="13"/>
    <cellStyle name="Normal 3 5" xfId="10"/>
    <cellStyle name="Normal 3 6" xfId="7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8"/>
  <sheetViews>
    <sheetView zoomScale="80" zoomScaleNormal="80" workbookViewId="0">
      <pane xSplit="15" ySplit="4" topLeftCell="P22" activePane="bottomRight" state="frozen"/>
      <selection pane="topRight" activeCell="R1" sqref="R1"/>
      <selection pane="bottomLeft" activeCell="A5" sqref="A5"/>
      <selection pane="bottomRight" activeCell="E60" sqref="E60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38" t="s">
        <v>30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40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5" t="s">
        <v>62</v>
      </c>
      <c r="B3" s="26" t="s">
        <v>0</v>
      </c>
      <c r="C3" s="26" t="s">
        <v>1</v>
      </c>
      <c r="D3" s="26" t="s">
        <v>2</v>
      </c>
      <c r="E3" s="26" t="s">
        <v>21</v>
      </c>
      <c r="F3" s="26" t="s">
        <v>27</v>
      </c>
      <c r="G3" s="26" t="s">
        <v>5</v>
      </c>
      <c r="H3" s="26" t="s">
        <v>24</v>
      </c>
      <c r="I3" s="26" t="s">
        <v>7</v>
      </c>
      <c r="J3" s="26" t="s">
        <v>43</v>
      </c>
      <c r="K3" s="26" t="s">
        <v>61</v>
      </c>
      <c r="L3" s="26" t="s">
        <v>131</v>
      </c>
      <c r="M3" s="26" t="s">
        <v>8</v>
      </c>
      <c r="N3" s="27" t="s">
        <v>9</v>
      </c>
      <c r="O3" s="17" t="s">
        <v>10</v>
      </c>
      <c r="P3" s="1"/>
      <c r="Q3" s="48" t="s">
        <v>26</v>
      </c>
    </row>
    <row r="4" spans="1:17" ht="18.75" x14ac:dyDescent="0.25">
      <c r="A4" s="341" t="s">
        <v>125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  <c r="O4" s="54"/>
      <c r="P4" s="1"/>
      <c r="Q4" s="48"/>
    </row>
    <row r="5" spans="1:17" ht="60" x14ac:dyDescent="0.25">
      <c r="A5" s="120" t="s">
        <v>63</v>
      </c>
      <c r="B5" s="100" t="s">
        <v>49</v>
      </c>
      <c r="C5" s="105" t="s">
        <v>85</v>
      </c>
      <c r="D5" s="100"/>
      <c r="E5" s="151">
        <v>54</v>
      </c>
      <c r="F5" s="151">
        <v>1</v>
      </c>
      <c r="G5" s="110">
        <f>+E5*F5</f>
        <v>54</v>
      </c>
      <c r="H5" s="156">
        <v>0.25</v>
      </c>
      <c r="I5" s="262">
        <f>+G5*H5</f>
        <v>13.5</v>
      </c>
      <c r="J5" s="190">
        <v>13.5</v>
      </c>
      <c r="K5" s="112"/>
      <c r="L5" s="290"/>
      <c r="M5" s="291">
        <f>N5</f>
        <v>0</v>
      </c>
      <c r="N5" s="292">
        <f>+I5-J5</f>
        <v>0</v>
      </c>
      <c r="Q5" s="51" t="s">
        <v>73</v>
      </c>
    </row>
    <row r="6" spans="1:17" ht="45" x14ac:dyDescent="0.25">
      <c r="A6" s="120" t="s">
        <v>63</v>
      </c>
      <c r="B6" s="100" t="s">
        <v>50</v>
      </c>
      <c r="C6" s="105" t="s">
        <v>86</v>
      </c>
      <c r="D6" s="100"/>
      <c r="E6" s="151">
        <v>54</v>
      </c>
      <c r="F6" s="151">
        <v>1</v>
      </c>
      <c r="G6" s="110">
        <f>+E6*F6</f>
        <v>54</v>
      </c>
      <c r="H6" s="156">
        <v>0.25</v>
      </c>
      <c r="I6" s="262">
        <f>+G6*H6</f>
        <v>13.5</v>
      </c>
      <c r="J6" s="190">
        <v>13.5</v>
      </c>
      <c r="K6" s="112"/>
      <c r="L6" s="293"/>
      <c r="M6" s="294">
        <f>N6</f>
        <v>0</v>
      </c>
      <c r="N6" s="292">
        <f>+I6-J6</f>
        <v>0</v>
      </c>
      <c r="Q6" s="51" t="s">
        <v>91</v>
      </c>
    </row>
    <row r="7" spans="1:17" ht="28.9" hidden="1" x14ac:dyDescent="0.3">
      <c r="A7" s="247" t="s">
        <v>94</v>
      </c>
      <c r="B7" s="248" t="s">
        <v>112</v>
      </c>
      <c r="C7" s="249" t="s">
        <v>123</v>
      </c>
      <c r="D7" s="257"/>
      <c r="E7" s="250">
        <v>54</v>
      </c>
      <c r="F7" s="250"/>
      <c r="G7" s="259">
        <f>+E7*F7</f>
        <v>0</v>
      </c>
      <c r="H7" s="253"/>
      <c r="I7" s="260">
        <f>+G7*H7</f>
        <v>0</v>
      </c>
      <c r="J7" s="258"/>
      <c r="K7" s="251"/>
      <c r="L7" s="251">
        <f>N7</f>
        <v>0</v>
      </c>
      <c r="M7" s="251"/>
      <c r="N7" s="256">
        <f>+I7-J7</f>
        <v>0</v>
      </c>
      <c r="Q7" s="51" t="s">
        <v>92</v>
      </c>
    </row>
    <row r="8" spans="1:17" ht="14.45" hidden="1" x14ac:dyDescent="0.3">
      <c r="A8" s="120"/>
      <c r="B8" s="202"/>
      <c r="C8" s="202"/>
      <c r="D8" s="191"/>
      <c r="E8" s="151"/>
      <c r="F8" s="151"/>
      <c r="G8" s="155">
        <f>+E8*F8</f>
        <v>0</v>
      </c>
      <c r="H8" s="156"/>
      <c r="I8" s="109">
        <f>+G8*H8</f>
        <v>0</v>
      </c>
      <c r="J8" s="192"/>
      <c r="K8" s="115"/>
      <c r="L8" s="115"/>
      <c r="M8" s="115"/>
      <c r="N8" s="157">
        <f>+I8-J8</f>
        <v>0</v>
      </c>
      <c r="Q8" s="51" t="s">
        <v>94</v>
      </c>
    </row>
    <row r="9" spans="1:17" s="188" customFormat="1" ht="30" x14ac:dyDescent="0.25">
      <c r="A9" s="280" t="s">
        <v>148</v>
      </c>
      <c r="B9" s="281" t="s">
        <v>112</v>
      </c>
      <c r="C9" s="281" t="s">
        <v>149</v>
      </c>
      <c r="D9" s="282"/>
      <c r="E9" s="283">
        <v>54</v>
      </c>
      <c r="F9" s="284">
        <v>85</v>
      </c>
      <c r="G9" s="285">
        <f>+E9*F9</f>
        <v>4590</v>
      </c>
      <c r="H9" s="286">
        <v>0.05</v>
      </c>
      <c r="I9" s="287">
        <f>G9*H9</f>
        <v>229.5</v>
      </c>
      <c r="J9" s="288">
        <v>0</v>
      </c>
      <c r="K9" s="287">
        <v>0</v>
      </c>
      <c r="L9" s="289">
        <f>+I9-J9</f>
        <v>229.5</v>
      </c>
      <c r="M9" s="284">
        <v>0</v>
      </c>
      <c r="N9" s="296">
        <f>+L9</f>
        <v>229.5</v>
      </c>
      <c r="Q9" s="51"/>
    </row>
    <row r="10" spans="1:17" ht="60" x14ac:dyDescent="0.25">
      <c r="A10" s="120" t="s">
        <v>63</v>
      </c>
      <c r="B10" s="278" t="s">
        <v>100</v>
      </c>
      <c r="C10" s="279" t="s">
        <v>138</v>
      </c>
      <c r="D10" s="98"/>
      <c r="E10" s="151">
        <v>54</v>
      </c>
      <c r="F10" s="151">
        <v>1</v>
      </c>
      <c r="G10" s="110">
        <f t="shared" ref="G10" si="0">+E10*F10</f>
        <v>54</v>
      </c>
      <c r="H10" s="156">
        <v>0.1</v>
      </c>
      <c r="I10" s="178">
        <f>+G10*H10</f>
        <v>5.4</v>
      </c>
      <c r="J10" s="224">
        <v>5.4</v>
      </c>
      <c r="K10" s="115"/>
      <c r="L10" s="115"/>
      <c r="M10" s="294">
        <f>N10</f>
        <v>0</v>
      </c>
      <c r="N10" s="292">
        <f>+I10-J10</f>
        <v>0</v>
      </c>
      <c r="Q10" s="49"/>
    </row>
    <row r="11" spans="1:17" ht="45" x14ac:dyDescent="0.25">
      <c r="A11" s="120" t="s">
        <v>63</v>
      </c>
      <c r="B11" s="191" t="s">
        <v>102</v>
      </c>
      <c r="C11" s="105" t="s">
        <v>101</v>
      </c>
      <c r="D11" s="191"/>
      <c r="E11" s="151">
        <v>43</v>
      </c>
      <c r="F11" s="151">
        <v>1</v>
      </c>
      <c r="G11" s="155">
        <f>+E11*F11</f>
        <v>43</v>
      </c>
      <c r="H11" s="156">
        <v>1.5</v>
      </c>
      <c r="I11" s="178">
        <f>+G11*H11</f>
        <v>64.5</v>
      </c>
      <c r="J11" s="123">
        <v>64.5</v>
      </c>
      <c r="K11" s="115"/>
      <c r="L11" s="115"/>
      <c r="M11" s="115"/>
      <c r="N11" s="157">
        <f>+I11-J11</f>
        <v>0</v>
      </c>
      <c r="Q11" s="49"/>
    </row>
    <row r="12" spans="1:17" s="182" customFormat="1" ht="51" customHeight="1" x14ac:dyDescent="0.25">
      <c r="A12" s="120" t="s">
        <v>91</v>
      </c>
      <c r="B12" s="186" t="s">
        <v>103</v>
      </c>
      <c r="C12" s="187" t="s">
        <v>124</v>
      </c>
      <c r="D12" s="191"/>
      <c r="E12" s="151">
        <v>18</v>
      </c>
      <c r="F12" s="151">
        <v>1</v>
      </c>
      <c r="G12" s="155">
        <f>+E12*F12</f>
        <v>18</v>
      </c>
      <c r="H12" s="156">
        <v>3</v>
      </c>
      <c r="I12" s="109">
        <f t="shared" ref="I12" si="1">+G12*H12</f>
        <v>54</v>
      </c>
      <c r="J12" s="192">
        <v>54</v>
      </c>
      <c r="K12" s="115"/>
      <c r="L12" s="115"/>
      <c r="M12" s="115"/>
      <c r="N12" s="157">
        <f t="shared" ref="N12" si="2">+I12-J12</f>
        <v>0</v>
      </c>
      <c r="Q12" s="183"/>
    </row>
    <row r="13" spans="1:17" s="182" customFormat="1" ht="60" x14ac:dyDescent="0.25">
      <c r="A13" s="120"/>
      <c r="B13" s="295" t="s">
        <v>142</v>
      </c>
      <c r="C13" s="99" t="s">
        <v>140</v>
      </c>
      <c r="D13" s="99" t="s">
        <v>141</v>
      </c>
      <c r="E13" s="151"/>
      <c r="F13" s="151"/>
      <c r="G13" s="110"/>
      <c r="H13" s="156"/>
      <c r="I13" s="178"/>
      <c r="J13" s="224"/>
      <c r="K13" s="115"/>
      <c r="L13" s="115"/>
      <c r="M13" s="115"/>
      <c r="N13" s="157"/>
      <c r="Q13" s="183"/>
    </row>
    <row r="14" spans="1:17" ht="15.6" x14ac:dyDescent="0.3">
      <c r="A14" s="118"/>
      <c r="B14" s="119"/>
      <c r="C14" s="117" t="s">
        <v>32</v>
      </c>
      <c r="D14" s="122"/>
      <c r="E14" s="152">
        <f>+MAX(E5:E13)</f>
        <v>54</v>
      </c>
      <c r="F14" s="153">
        <f>IF(E14=0,"",G14/E14)</f>
        <v>89.129629629629633</v>
      </c>
      <c r="G14" s="152">
        <f>SUM(G5:G13)</f>
        <v>4813</v>
      </c>
      <c r="H14" s="153">
        <f>IF(G14=0,"",I14/G14)</f>
        <v>7.9035944317473503E-2</v>
      </c>
      <c r="I14" s="152">
        <f t="shared" ref="I14:N14" si="3">SUM(I5:I13)</f>
        <v>380.4</v>
      </c>
      <c r="J14" s="152">
        <f t="shared" si="3"/>
        <v>150.9</v>
      </c>
      <c r="K14" s="154">
        <f t="shared" si="3"/>
        <v>0</v>
      </c>
      <c r="L14" s="154">
        <f t="shared" si="3"/>
        <v>229.5</v>
      </c>
      <c r="M14" s="154">
        <f t="shared" si="3"/>
        <v>0</v>
      </c>
      <c r="N14" s="165">
        <f t="shared" si="3"/>
        <v>229.5</v>
      </c>
      <c r="Q14" s="49"/>
    </row>
    <row r="15" spans="1:17" ht="18.75" customHeight="1" x14ac:dyDescent="0.3">
      <c r="A15" s="341" t="s">
        <v>126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3"/>
      <c r="O15" s="54"/>
      <c r="P15" s="1"/>
      <c r="Q15" s="49"/>
    </row>
    <row r="16" spans="1:17" ht="36" customHeight="1" x14ac:dyDescent="0.25">
      <c r="A16" s="323" t="s">
        <v>94</v>
      </c>
      <c r="B16" s="282" t="s">
        <v>117</v>
      </c>
      <c r="C16" s="324" t="s">
        <v>77</v>
      </c>
      <c r="D16" s="325"/>
      <c r="E16" s="326">
        <v>19600</v>
      </c>
      <c r="F16" s="327">
        <v>271</v>
      </c>
      <c r="G16" s="328">
        <f t="shared" ref="G16" si="4">+E16*F16</f>
        <v>5311600</v>
      </c>
      <c r="H16" s="329">
        <v>0.02</v>
      </c>
      <c r="I16" s="328">
        <f>+G16*H16</f>
        <v>106232</v>
      </c>
      <c r="J16" s="326">
        <v>107800</v>
      </c>
      <c r="K16" s="330"/>
      <c r="L16" s="330">
        <f>+I16-J16</f>
        <v>-1568</v>
      </c>
      <c r="M16" s="330">
        <v>0</v>
      </c>
      <c r="N16" s="307">
        <f>+I16-J16</f>
        <v>-1568</v>
      </c>
      <c r="O16" s="54"/>
      <c r="P16" s="1"/>
      <c r="Q16" s="49"/>
    </row>
    <row r="17" spans="1:17" ht="62.25" customHeight="1" x14ac:dyDescent="0.25">
      <c r="A17" s="308" t="s">
        <v>94</v>
      </c>
      <c r="B17" s="282" t="s">
        <v>118</v>
      </c>
      <c r="C17" s="324" t="s">
        <v>78</v>
      </c>
      <c r="D17" s="282"/>
      <c r="E17" s="326">
        <v>19600</v>
      </c>
      <c r="F17" s="327">
        <v>250</v>
      </c>
      <c r="G17" s="328">
        <f t="shared" ref="G17:G31" si="5">+E17*F17</f>
        <v>4900000</v>
      </c>
      <c r="H17" s="329">
        <v>0.02</v>
      </c>
      <c r="I17" s="328">
        <f t="shared" ref="I17:I20" si="6">+G17*H17</f>
        <v>98000</v>
      </c>
      <c r="J17" s="326">
        <v>101920</v>
      </c>
      <c r="K17" s="330"/>
      <c r="L17" s="330"/>
      <c r="M17" s="330">
        <f t="shared" ref="M17:M20" si="7">N17</f>
        <v>-3920</v>
      </c>
      <c r="N17" s="307">
        <f>+I17-J17</f>
        <v>-3920</v>
      </c>
      <c r="Q17" s="49"/>
    </row>
    <row r="18" spans="1:17" ht="30" x14ac:dyDescent="0.25">
      <c r="A18" s="23" t="s">
        <v>63</v>
      </c>
      <c r="B18" s="261" t="s">
        <v>66</v>
      </c>
      <c r="C18" s="99" t="s">
        <v>79</v>
      </c>
      <c r="D18" s="98"/>
      <c r="E18" s="190">
        <v>19600</v>
      </c>
      <c r="F18" s="115">
        <v>10</v>
      </c>
      <c r="G18" s="125">
        <f>+E18*F18</f>
        <v>196000</v>
      </c>
      <c r="H18" s="179">
        <v>0.02</v>
      </c>
      <c r="I18" s="125">
        <f t="shared" si="6"/>
        <v>3920</v>
      </c>
      <c r="J18" s="190">
        <v>3920</v>
      </c>
      <c r="K18" s="126"/>
      <c r="L18" s="126"/>
      <c r="M18" s="126">
        <f t="shared" si="7"/>
        <v>0</v>
      </c>
      <c r="N18" s="129">
        <f>+I18-J18</f>
        <v>0</v>
      </c>
      <c r="Q18" s="49"/>
    </row>
    <row r="19" spans="1:17" ht="50.25" customHeight="1" x14ac:dyDescent="0.25">
      <c r="A19" s="120" t="s">
        <v>63</v>
      </c>
      <c r="B19" s="98" t="s">
        <v>50</v>
      </c>
      <c r="C19" s="99" t="s">
        <v>146</v>
      </c>
      <c r="D19" s="297"/>
      <c r="E19" s="190">
        <v>2000</v>
      </c>
      <c r="F19" s="115">
        <v>1</v>
      </c>
      <c r="G19" s="125">
        <f t="shared" ref="G19:G20" si="8">+E19*F19</f>
        <v>2000</v>
      </c>
      <c r="H19" s="177">
        <v>0.5</v>
      </c>
      <c r="I19" s="125">
        <f t="shared" si="6"/>
        <v>1000</v>
      </c>
      <c r="J19" s="190">
        <v>1000</v>
      </c>
      <c r="K19" s="126"/>
      <c r="L19" s="126"/>
      <c r="M19" s="126">
        <f t="shared" si="7"/>
        <v>0</v>
      </c>
      <c r="N19" s="129">
        <f t="shared" ref="N19:N20" si="9">+I19-J19</f>
        <v>0</v>
      </c>
      <c r="Q19" s="49"/>
    </row>
    <row r="20" spans="1:17" ht="30" x14ac:dyDescent="0.25">
      <c r="A20" s="120" t="s">
        <v>63</v>
      </c>
      <c r="B20" s="98" t="s">
        <v>64</v>
      </c>
      <c r="C20" s="99" t="s">
        <v>80</v>
      </c>
      <c r="D20" s="98"/>
      <c r="E20" s="190">
        <v>19600</v>
      </c>
      <c r="F20" s="115">
        <v>8</v>
      </c>
      <c r="G20" s="125">
        <f t="shared" si="8"/>
        <v>156800</v>
      </c>
      <c r="H20" s="128">
        <v>0.25</v>
      </c>
      <c r="I20" s="125">
        <f t="shared" si="6"/>
        <v>39200</v>
      </c>
      <c r="J20" s="190">
        <v>39200</v>
      </c>
      <c r="K20" s="126"/>
      <c r="L20" s="126"/>
      <c r="M20" s="126">
        <f t="shared" si="7"/>
        <v>0</v>
      </c>
      <c r="N20" s="129">
        <f t="shared" si="9"/>
        <v>0</v>
      </c>
      <c r="Q20" s="49"/>
    </row>
    <row r="21" spans="1:17" ht="60" x14ac:dyDescent="0.25">
      <c r="A21" s="120" t="s">
        <v>63</v>
      </c>
      <c r="B21" s="98" t="s">
        <v>119</v>
      </c>
      <c r="C21" s="99" t="s">
        <v>139</v>
      </c>
      <c r="D21" s="98"/>
      <c r="E21" s="190">
        <v>19600</v>
      </c>
      <c r="F21" s="115">
        <v>2</v>
      </c>
      <c r="G21" s="125">
        <f t="shared" ref="G21:G26" si="10">+E21*F21</f>
        <v>39200</v>
      </c>
      <c r="H21" s="128">
        <v>0.1</v>
      </c>
      <c r="I21" s="125">
        <f t="shared" ref="I21:I22" si="11">+G21*H21</f>
        <v>3920</v>
      </c>
      <c r="J21" s="190">
        <v>3920</v>
      </c>
      <c r="K21" s="126"/>
      <c r="L21" s="126"/>
      <c r="M21" s="126">
        <f t="shared" ref="M21:M22" si="12">N21</f>
        <v>0</v>
      </c>
      <c r="N21" s="129">
        <f t="shared" ref="N21:N26" si="13">+I21-J21</f>
        <v>0</v>
      </c>
      <c r="Q21" s="49"/>
    </row>
    <row r="22" spans="1:17" ht="78.75" customHeight="1" x14ac:dyDescent="0.25">
      <c r="A22" s="120" t="s">
        <v>63</v>
      </c>
      <c r="B22" s="98" t="s">
        <v>65</v>
      </c>
      <c r="C22" s="99" t="s">
        <v>81</v>
      </c>
      <c r="D22" s="98"/>
      <c r="E22" s="190">
        <v>1160</v>
      </c>
      <c r="F22" s="115">
        <v>1</v>
      </c>
      <c r="G22" s="125">
        <f t="shared" si="10"/>
        <v>1160</v>
      </c>
      <c r="H22" s="128">
        <v>0.25</v>
      </c>
      <c r="I22" s="125">
        <f t="shared" si="11"/>
        <v>290</v>
      </c>
      <c r="J22" s="190">
        <v>290</v>
      </c>
      <c r="K22" s="126"/>
      <c r="L22" s="126"/>
      <c r="M22" s="126">
        <f t="shared" si="12"/>
        <v>0</v>
      </c>
      <c r="N22" s="129">
        <f t="shared" si="13"/>
        <v>0</v>
      </c>
      <c r="Q22" s="49"/>
    </row>
    <row r="23" spans="1:17" s="188" customFormat="1" ht="42" customHeight="1" x14ac:dyDescent="0.25">
      <c r="A23" s="300" t="s">
        <v>148</v>
      </c>
      <c r="B23" s="281" t="s">
        <v>114</v>
      </c>
      <c r="C23" s="281" t="s">
        <v>151</v>
      </c>
      <c r="D23" s="301"/>
      <c r="E23" s="285">
        <v>2000</v>
      </c>
      <c r="F23" s="285">
        <f>G23/E23</f>
        <v>0.25</v>
      </c>
      <c r="G23" s="285">
        <v>500</v>
      </c>
      <c r="H23" s="302">
        <v>0.25</v>
      </c>
      <c r="I23" s="288">
        <f>G23*H23</f>
        <v>125</v>
      </c>
      <c r="J23" s="288">
        <v>0</v>
      </c>
      <c r="K23" s="303">
        <v>0</v>
      </c>
      <c r="L23" s="287">
        <f>+I23-J23</f>
        <v>125</v>
      </c>
      <c r="M23" s="304">
        <v>0</v>
      </c>
      <c r="N23" s="307">
        <f>+L23</f>
        <v>125</v>
      </c>
      <c r="Q23" s="189"/>
    </row>
    <row r="24" spans="1:17" s="188" customFormat="1" ht="42" customHeight="1" x14ac:dyDescent="0.25">
      <c r="A24" s="300" t="s">
        <v>148</v>
      </c>
      <c r="B24" s="281" t="s">
        <v>115</v>
      </c>
      <c r="C24" s="281" t="s">
        <v>152</v>
      </c>
      <c r="D24" s="301"/>
      <c r="E24" s="305">
        <v>5159</v>
      </c>
      <c r="F24" s="285">
        <f t="shared" ref="F24" si="14">G24/E24</f>
        <v>1</v>
      </c>
      <c r="G24" s="285">
        <v>5159</v>
      </c>
      <c r="H24" s="302">
        <v>0.08</v>
      </c>
      <c r="I24" s="288">
        <f t="shared" ref="I24:I25" si="15">G24*H24</f>
        <v>412.72</v>
      </c>
      <c r="J24" s="288">
        <v>0</v>
      </c>
      <c r="K24" s="303">
        <v>0</v>
      </c>
      <c r="L24" s="287">
        <f t="shared" ref="L24:L25" si="16">+I24-J24</f>
        <v>412.72</v>
      </c>
      <c r="M24" s="304">
        <v>0</v>
      </c>
      <c r="N24" s="307">
        <f t="shared" ref="N24:N25" si="17">+L24</f>
        <v>412.72</v>
      </c>
      <c r="Q24" s="189"/>
    </row>
    <row r="25" spans="1:17" s="188" customFormat="1" ht="42" customHeight="1" x14ac:dyDescent="0.25">
      <c r="A25" s="300" t="s">
        <v>148</v>
      </c>
      <c r="B25" s="281" t="s">
        <v>157</v>
      </c>
      <c r="C25" s="306" t="s">
        <v>153</v>
      </c>
      <c r="D25" s="301"/>
      <c r="E25" s="285">
        <v>3000</v>
      </c>
      <c r="F25" s="285">
        <v>1</v>
      </c>
      <c r="G25" s="285">
        <f>+E25*F25</f>
        <v>3000</v>
      </c>
      <c r="H25" s="286">
        <v>0.1</v>
      </c>
      <c r="I25" s="288">
        <f t="shared" si="15"/>
        <v>300</v>
      </c>
      <c r="J25" s="288">
        <v>0</v>
      </c>
      <c r="K25" s="303">
        <v>0</v>
      </c>
      <c r="L25" s="287">
        <f t="shared" si="16"/>
        <v>300</v>
      </c>
      <c r="M25" s="304">
        <v>0</v>
      </c>
      <c r="N25" s="307">
        <f t="shared" si="17"/>
        <v>300</v>
      </c>
      <c r="Q25" s="189"/>
    </row>
    <row r="26" spans="1:17" ht="60" x14ac:dyDescent="0.25">
      <c r="A26" s="120" t="s">
        <v>63</v>
      </c>
      <c r="B26" s="98" t="s">
        <v>51</v>
      </c>
      <c r="C26" s="99" t="s">
        <v>67</v>
      </c>
      <c r="D26" s="99"/>
      <c r="E26" s="190">
        <v>1160</v>
      </c>
      <c r="F26" s="298">
        <v>0.25</v>
      </c>
      <c r="G26" s="125">
        <f t="shared" si="10"/>
        <v>290</v>
      </c>
      <c r="H26" s="128">
        <v>0.25</v>
      </c>
      <c r="I26" s="125">
        <f>+G26*H26 +0.1</f>
        <v>72.599999999999994</v>
      </c>
      <c r="J26" s="190">
        <v>72.599999999999994</v>
      </c>
      <c r="K26" s="126"/>
      <c r="L26" s="126"/>
      <c r="M26" s="126">
        <f>N26</f>
        <v>0</v>
      </c>
      <c r="N26" s="129">
        <f t="shared" si="13"/>
        <v>0</v>
      </c>
      <c r="Q26" s="49"/>
    </row>
    <row r="27" spans="1:17" s="188" customFormat="1" ht="45" hidden="1" x14ac:dyDescent="0.25">
      <c r="A27" s="120" t="s">
        <v>94</v>
      </c>
      <c r="B27" s="98" t="s">
        <v>114</v>
      </c>
      <c r="C27" s="99" t="s">
        <v>121</v>
      </c>
      <c r="D27" s="98"/>
      <c r="E27" s="190">
        <v>2800</v>
      </c>
      <c r="F27" s="115"/>
      <c r="G27" s="125">
        <f t="shared" si="5"/>
        <v>0</v>
      </c>
      <c r="H27" s="128"/>
      <c r="I27" s="125">
        <f t="shared" ref="I27:I29" si="18">+G27*H27</f>
        <v>0</v>
      </c>
      <c r="J27" s="190">
        <v>0</v>
      </c>
      <c r="K27" s="126"/>
      <c r="L27" s="126">
        <f>N27</f>
        <v>0</v>
      </c>
      <c r="M27" s="126"/>
      <c r="N27" s="129">
        <f>+I27-J27</f>
        <v>0</v>
      </c>
      <c r="Q27" s="189"/>
    </row>
    <row r="28" spans="1:17" s="188" customFormat="1" ht="30" hidden="1" x14ac:dyDescent="0.25">
      <c r="A28" s="120" t="s">
        <v>94</v>
      </c>
      <c r="B28" s="98" t="s">
        <v>115</v>
      </c>
      <c r="C28" s="99" t="s">
        <v>122</v>
      </c>
      <c r="D28" s="98"/>
      <c r="E28" s="190">
        <v>2800</v>
      </c>
      <c r="F28" s="115"/>
      <c r="G28" s="125">
        <f t="shared" si="5"/>
        <v>0</v>
      </c>
      <c r="H28" s="128"/>
      <c r="I28" s="125">
        <f t="shared" si="18"/>
        <v>0</v>
      </c>
      <c r="J28" s="190">
        <v>0</v>
      </c>
      <c r="K28" s="126"/>
      <c r="L28" s="126">
        <f>N28</f>
        <v>0</v>
      </c>
      <c r="M28" s="126"/>
      <c r="N28" s="129">
        <f>+I28-J28</f>
        <v>0</v>
      </c>
      <c r="Q28" s="189"/>
    </row>
    <row r="29" spans="1:17" s="188" customFormat="1" ht="45" hidden="1" x14ac:dyDescent="0.25">
      <c r="A29" s="120" t="s">
        <v>94</v>
      </c>
      <c r="B29" s="98" t="s">
        <v>116</v>
      </c>
      <c r="C29" s="99" t="s">
        <v>127</v>
      </c>
      <c r="D29" s="98"/>
      <c r="E29" s="190">
        <v>2800</v>
      </c>
      <c r="F29" s="115"/>
      <c r="G29" s="125">
        <f t="shared" si="5"/>
        <v>0</v>
      </c>
      <c r="H29" s="128"/>
      <c r="I29" s="125">
        <f t="shared" si="18"/>
        <v>0</v>
      </c>
      <c r="J29" s="190">
        <v>0</v>
      </c>
      <c r="K29" s="126"/>
      <c r="L29" s="126">
        <f>N29</f>
        <v>0</v>
      </c>
      <c r="M29" s="126"/>
      <c r="N29" s="129">
        <f>+I29-J29</f>
        <v>0</v>
      </c>
      <c r="Q29" s="189"/>
    </row>
    <row r="30" spans="1:17" ht="30" x14ac:dyDescent="0.25">
      <c r="A30" s="120" t="s">
        <v>63</v>
      </c>
      <c r="B30" s="98" t="s">
        <v>52</v>
      </c>
      <c r="C30" s="99" t="s">
        <v>82</v>
      </c>
      <c r="D30" s="98"/>
      <c r="E30" s="190">
        <v>19600</v>
      </c>
      <c r="F30" s="299">
        <v>1</v>
      </c>
      <c r="G30" s="125">
        <f t="shared" si="5"/>
        <v>19600</v>
      </c>
      <c r="H30" s="128">
        <v>0.08</v>
      </c>
      <c r="I30" s="125">
        <f>+G30*H30</f>
        <v>1568</v>
      </c>
      <c r="J30" s="190">
        <v>1568</v>
      </c>
      <c r="K30" s="126"/>
      <c r="L30" s="126"/>
      <c r="M30" s="126">
        <f>N30</f>
        <v>0</v>
      </c>
      <c r="N30" s="129">
        <f>+I30-J30</f>
        <v>0</v>
      </c>
      <c r="Q30" s="49"/>
    </row>
    <row r="31" spans="1:17" s="188" customFormat="1" x14ac:dyDescent="0.25">
      <c r="A31" s="120"/>
      <c r="B31" s="202"/>
      <c r="C31" s="202"/>
      <c r="D31" s="191"/>
      <c r="E31" s="192"/>
      <c r="F31" s="124"/>
      <c r="G31" s="125">
        <f t="shared" si="5"/>
        <v>0</v>
      </c>
      <c r="H31" s="128"/>
      <c r="I31" s="125">
        <f>+G31*H31</f>
        <v>0</v>
      </c>
      <c r="J31" s="190"/>
      <c r="K31" s="126"/>
      <c r="L31" s="126"/>
      <c r="M31" s="126">
        <f>N31</f>
        <v>0</v>
      </c>
      <c r="N31" s="129">
        <f>+I31-J31</f>
        <v>0</v>
      </c>
      <c r="Q31" s="189"/>
    </row>
    <row r="32" spans="1:17" ht="30.75" customHeight="1" x14ac:dyDescent="0.25">
      <c r="A32" s="118"/>
      <c r="B32" s="119"/>
      <c r="C32" s="117" t="s">
        <v>84</v>
      </c>
      <c r="D32" s="116"/>
      <c r="E32" s="127">
        <f>+MAX(E16:E31)</f>
        <v>19600</v>
      </c>
      <c r="F32" s="133">
        <f>IF(E32=0,"",G32/E32)</f>
        <v>542.617806122449</v>
      </c>
      <c r="G32" s="127">
        <f>SUM(G16:G31)</f>
        <v>10635309</v>
      </c>
      <c r="H32" s="133">
        <f>IF(G32=0,"",I32/G32)</f>
        <v>2.3980527505124676E-2</v>
      </c>
      <c r="I32" s="127">
        <f t="shared" ref="I32:N32" si="19">SUM(I16:I31)</f>
        <v>255040.32</v>
      </c>
      <c r="J32" s="127">
        <f t="shared" si="19"/>
        <v>259690.6</v>
      </c>
      <c r="K32" s="130">
        <f t="shared" si="19"/>
        <v>0</v>
      </c>
      <c r="L32" s="130">
        <f t="shared" si="19"/>
        <v>-730.28</v>
      </c>
      <c r="M32" s="130">
        <f t="shared" si="19"/>
        <v>-3920</v>
      </c>
      <c r="N32" s="148">
        <f t="shared" si="19"/>
        <v>-4650.28</v>
      </c>
      <c r="Q32" s="49"/>
    </row>
    <row r="33" spans="1:17" ht="18.75" hidden="1" customHeight="1" x14ac:dyDescent="0.25">
      <c r="A33" s="341" t="s">
        <v>53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3"/>
      <c r="O33" s="54"/>
      <c r="P33" s="1"/>
      <c r="Q33" s="49"/>
    </row>
    <row r="34" spans="1:17" ht="15" hidden="1" customHeight="1" x14ac:dyDescent="0.25">
      <c r="A34" s="120"/>
      <c r="B34" s="100"/>
      <c r="C34" s="105"/>
      <c r="D34" s="100"/>
      <c r="E34" s="102"/>
      <c r="F34" s="131"/>
      <c r="G34" s="111"/>
      <c r="H34" s="128"/>
      <c r="I34" s="125"/>
      <c r="J34" s="132"/>
      <c r="K34" s="126"/>
      <c r="L34" s="126"/>
      <c r="M34" s="126"/>
      <c r="N34" s="129"/>
      <c r="Q34" s="49"/>
    </row>
    <row r="35" spans="1:17" ht="16.5" hidden="1" thickBot="1" x14ac:dyDescent="0.3">
      <c r="A35" s="118"/>
      <c r="B35" s="119"/>
      <c r="C35" s="117" t="s">
        <v>39</v>
      </c>
      <c r="D35" s="116"/>
      <c r="E35" s="74">
        <f>+MAX(E34:E34)</f>
        <v>0</v>
      </c>
      <c r="F35" s="74" t="str">
        <f>IF(G35=0,"",G35/E35)</f>
        <v/>
      </c>
      <c r="G35" s="74">
        <f>SUM(G34:G34)</f>
        <v>0</v>
      </c>
      <c r="H35" s="74" t="str">
        <f>IF(I35=0,"",I35/G35)</f>
        <v/>
      </c>
      <c r="I35" s="74">
        <f t="shared" ref="I35:N35" si="20">SUM(I34:I34)</f>
        <v>0</v>
      </c>
      <c r="J35" s="74">
        <f t="shared" si="20"/>
        <v>0</v>
      </c>
      <c r="K35" s="74">
        <f t="shared" si="20"/>
        <v>0</v>
      </c>
      <c r="L35" s="74">
        <f t="shared" si="20"/>
        <v>0</v>
      </c>
      <c r="M35" s="74">
        <f t="shared" si="20"/>
        <v>0</v>
      </c>
      <c r="N35" s="121">
        <f t="shared" si="20"/>
        <v>0</v>
      </c>
      <c r="Q35" s="50"/>
    </row>
    <row r="36" spans="1:17" ht="18.75" x14ac:dyDescent="0.25">
      <c r="A36" s="341" t="s">
        <v>55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3"/>
      <c r="O36" s="54"/>
      <c r="P36" s="1"/>
      <c r="Q36" s="49"/>
    </row>
    <row r="37" spans="1:17" ht="30" customHeight="1" x14ac:dyDescent="0.25">
      <c r="A37" s="323" t="s">
        <v>63</v>
      </c>
      <c r="B37" s="331" t="s">
        <v>58</v>
      </c>
      <c r="C37" s="332" t="s">
        <v>74</v>
      </c>
      <c r="D37" s="331"/>
      <c r="E37" s="333">
        <v>5375000</v>
      </c>
      <c r="F37" s="334">
        <v>1</v>
      </c>
      <c r="G37" s="328">
        <f t="shared" ref="G37:G38" si="21">+E37*F37</f>
        <v>5375000</v>
      </c>
      <c r="H37" s="335">
        <v>0.11</v>
      </c>
      <c r="I37" s="328">
        <f t="shared" ref="I37:I38" si="22">+G37*H37</f>
        <v>591250</v>
      </c>
      <c r="J37" s="333">
        <v>592900</v>
      </c>
      <c r="K37" s="330"/>
      <c r="L37" s="330"/>
      <c r="M37" s="330">
        <f>N37</f>
        <v>-1650</v>
      </c>
      <c r="N37" s="307">
        <f t="shared" ref="N37:N38" si="23">+I37-J37</f>
        <v>-1650</v>
      </c>
      <c r="Q37" s="49"/>
    </row>
    <row r="38" spans="1:17" ht="30" x14ac:dyDescent="0.25">
      <c r="A38" s="323" t="s">
        <v>63</v>
      </c>
      <c r="B38" s="336" t="s">
        <v>56</v>
      </c>
      <c r="C38" s="332" t="s">
        <v>143</v>
      </c>
      <c r="D38" s="331"/>
      <c r="E38" s="333">
        <v>159500</v>
      </c>
      <c r="F38" s="334">
        <v>1</v>
      </c>
      <c r="G38" s="328">
        <f t="shared" si="21"/>
        <v>159500</v>
      </c>
      <c r="H38" s="335">
        <v>0.5</v>
      </c>
      <c r="I38" s="328">
        <f t="shared" si="22"/>
        <v>79750</v>
      </c>
      <c r="J38" s="333">
        <v>80000</v>
      </c>
      <c r="K38" s="330"/>
      <c r="L38" s="330"/>
      <c r="M38" s="330">
        <f>N38</f>
        <v>-250</v>
      </c>
      <c r="N38" s="307">
        <f t="shared" si="23"/>
        <v>-250</v>
      </c>
      <c r="Q38" s="49"/>
    </row>
    <row r="39" spans="1:17" ht="28.5" customHeight="1" x14ac:dyDescent="0.25">
      <c r="A39" s="323" t="s">
        <v>63</v>
      </c>
      <c r="B39" s="336" t="s">
        <v>57</v>
      </c>
      <c r="C39" s="332" t="s">
        <v>68</v>
      </c>
      <c r="D39" s="331"/>
      <c r="E39" s="333">
        <v>1000</v>
      </c>
      <c r="F39" s="334">
        <v>1</v>
      </c>
      <c r="G39" s="328">
        <f t="shared" ref="G39" si="24">+E39*F39</f>
        <v>1000</v>
      </c>
      <c r="H39" s="335">
        <v>0.1</v>
      </c>
      <c r="I39" s="328">
        <f t="shared" ref="I39" si="25">+G39*H39</f>
        <v>100</v>
      </c>
      <c r="J39" s="333">
        <v>100</v>
      </c>
      <c r="K39" s="330"/>
      <c r="L39" s="330"/>
      <c r="M39" s="330">
        <f>N39</f>
        <v>0</v>
      </c>
      <c r="N39" s="307">
        <f t="shared" ref="N39" si="26">+I39-J39</f>
        <v>0</v>
      </c>
      <c r="Q39" s="49"/>
    </row>
    <row r="40" spans="1:17" ht="16.5" thickBot="1" x14ac:dyDescent="0.3">
      <c r="A40" s="118"/>
      <c r="B40" s="119"/>
      <c r="C40" s="117" t="s">
        <v>54</v>
      </c>
      <c r="D40" s="73"/>
      <c r="E40" s="74">
        <f>+MAX(E37:E39)</f>
        <v>5375000</v>
      </c>
      <c r="F40" s="108">
        <f>G40/E40</f>
        <v>1.029860465116279</v>
      </c>
      <c r="G40" s="127">
        <f>SUM(G37:G39)</f>
        <v>5535500</v>
      </c>
      <c r="H40" s="108">
        <f>I40/G40</f>
        <v>0.12123566073525427</v>
      </c>
      <c r="I40" s="127">
        <f t="shared" ref="I40:N40" si="27">SUM(I37:I39)</f>
        <v>671100</v>
      </c>
      <c r="J40" s="127">
        <f t="shared" si="27"/>
        <v>673000</v>
      </c>
      <c r="K40" s="127">
        <f t="shared" si="27"/>
        <v>0</v>
      </c>
      <c r="L40" s="127">
        <f t="shared" si="27"/>
        <v>0</v>
      </c>
      <c r="M40" s="127">
        <f t="shared" si="27"/>
        <v>-1900</v>
      </c>
      <c r="N40" s="148">
        <f t="shared" si="27"/>
        <v>-1900</v>
      </c>
      <c r="Q40" s="50"/>
    </row>
    <row r="41" spans="1:17" ht="25.5" customHeight="1" thickBot="1" x14ac:dyDescent="0.3">
      <c r="A41" s="135"/>
      <c r="B41" s="136"/>
      <c r="C41" s="137" t="s">
        <v>40</v>
      </c>
      <c r="D41" s="138"/>
      <c r="E41" s="139">
        <f>+E14+E32+E35+E40</f>
        <v>5394654</v>
      </c>
      <c r="F41" s="140">
        <f>G41/E41</f>
        <v>2.9984540250403455</v>
      </c>
      <c r="G41" s="65">
        <f>+G14+G32+G35+G40</f>
        <v>16175622</v>
      </c>
      <c r="H41" s="140">
        <f>I41/G41</f>
        <v>5.7278831070607363E-2</v>
      </c>
      <c r="I41" s="139">
        <f>+I14+I32+I35+I40</f>
        <v>926520.72</v>
      </c>
      <c r="J41" s="139">
        <f>+J14+J32+J35+J40</f>
        <v>932841.5</v>
      </c>
      <c r="K41" s="139">
        <f>+K14+K32+K40</f>
        <v>0</v>
      </c>
      <c r="L41" s="139">
        <f>+L14+L32+L40</f>
        <v>-500.78</v>
      </c>
      <c r="M41" s="139">
        <f>+M14+M32+M35+M40</f>
        <v>-5820</v>
      </c>
      <c r="N41" s="149">
        <f>+N14+N32+N35+N40</f>
        <v>-6320.78</v>
      </c>
      <c r="Q41" s="16"/>
    </row>
    <row r="42" spans="1:17" x14ac:dyDescent="0.25">
      <c r="C42" s="16"/>
      <c r="Q42" s="16"/>
    </row>
    <row r="43" spans="1:17" ht="50.25" hidden="1" customHeight="1" x14ac:dyDescent="0.25">
      <c r="C43" s="16"/>
      <c r="D43" s="67" t="str">
        <f>+A3</f>
        <v>Program Rule</v>
      </c>
      <c r="E43" s="68" t="str">
        <f t="shared" ref="E43:N43" si="28">+E3</f>
        <v>Estimated # Respondents</v>
      </c>
      <c r="F43" s="68" t="str">
        <f t="shared" si="28"/>
        <v>Responses per Respondents</v>
      </c>
      <c r="G43" s="68" t="str">
        <f t="shared" si="28"/>
        <v>Total Annual Records</v>
      </c>
      <c r="H43" s="68" t="str">
        <f t="shared" si="28"/>
        <v>Estimated Avg. # of Hours Per Response</v>
      </c>
      <c r="I43" s="68" t="str">
        <f t="shared" si="28"/>
        <v xml:space="preserve">Estimated Total Hours            </v>
      </c>
      <c r="J43" s="68" t="str">
        <f t="shared" si="28"/>
        <v>Current OMB Approved Burden Hrs</v>
      </c>
      <c r="K43" s="68" t="str">
        <f t="shared" si="28"/>
        <v>Due to Authorizing Statute</v>
      </c>
      <c r="L43" s="68" t="str">
        <f t="shared" si="28"/>
        <v>Due to Program Change (Final Rule)</v>
      </c>
      <c r="M43" s="68" t="str">
        <f t="shared" si="28"/>
        <v>Due to an Adjustment</v>
      </c>
      <c r="N43" s="69" t="str">
        <f t="shared" si="28"/>
        <v>Total Difference</v>
      </c>
      <c r="Q43" s="16"/>
    </row>
    <row r="44" spans="1:17" hidden="1" x14ac:dyDescent="0.25">
      <c r="C44" s="16"/>
      <c r="D44" s="82" t="e">
        <f>+#REF!</f>
        <v>#REF!</v>
      </c>
      <c r="E44" s="141">
        <f>+SUM($E$14+$E$32+$E$35+$E$40)</f>
        <v>5394654</v>
      </c>
      <c r="F44" s="143">
        <f t="shared" ref="F44:F50" si="29">IF(E44&gt;0,G44/E44,0)</f>
        <v>0</v>
      </c>
      <c r="G44" s="141">
        <f>+SUMIF($A$5:$A$40,D44,($G$5:$G$40))</f>
        <v>0</v>
      </c>
      <c r="H44" s="143">
        <f t="shared" ref="H44:H50" si="30">IF(G44&gt;0,I44/G44,0)</f>
        <v>0</v>
      </c>
      <c r="I44" s="141">
        <f>+SUMIF($A$5:$A$40,D44,($I$5:$I$40))</f>
        <v>0</v>
      </c>
      <c r="J44" s="144">
        <f>+SUMIF($A$5:$A$40,D44,($J$5:$J$40))</f>
        <v>0</v>
      </c>
      <c r="K44" s="70">
        <f>+SUMIF($A$5:$A$40,$D$44,($K$5:$K$40))</f>
        <v>0</v>
      </c>
      <c r="L44" s="70">
        <f>+SUMIF($A$5:$A$40,$D$44,($L$5:$L$40))</f>
        <v>0</v>
      </c>
      <c r="M44" s="141">
        <f>+SUMIF($A$5:$A$40,$D$44,($M$5:$M$40))</f>
        <v>0</v>
      </c>
      <c r="N44" s="142">
        <f>+SUMIF($A$5:$A$40,D44,($N$5:$N$40))</f>
        <v>0</v>
      </c>
      <c r="Q44" s="16"/>
    </row>
    <row r="45" spans="1:17" hidden="1" x14ac:dyDescent="0.25">
      <c r="C45" s="16"/>
      <c r="D45" s="82" t="str">
        <f>+Q5</f>
        <v>Direct Certification</v>
      </c>
      <c r="E45" s="70">
        <f>+SUMIF($A$5:$A$40,D45,($E$5:$E$40))</f>
        <v>0</v>
      </c>
      <c r="F45" s="70">
        <f t="shared" si="29"/>
        <v>0</v>
      </c>
      <c r="G45" s="70">
        <f>+SUMIF($A$5:$A$40,D45,($G$5:$G$40))</f>
        <v>0</v>
      </c>
      <c r="H45" s="70">
        <f t="shared" si="30"/>
        <v>0</v>
      </c>
      <c r="I45" s="70">
        <f>+SUMIF($A$5:$A$40,D45,($I$5:$I$40))</f>
        <v>0</v>
      </c>
      <c r="J45" s="70">
        <f>+SUMIF($A$5:$A$40,D45,($J$5:$J$40))</f>
        <v>0</v>
      </c>
      <c r="K45" s="70">
        <f>+SUMIF($A$5:$A$40,$D$45,($K$5:$K$40))</f>
        <v>0</v>
      </c>
      <c r="L45" s="70">
        <f>+SUMIF($A$5:$A$40,$D$45,($L$5:$L$40))</f>
        <v>0</v>
      </c>
      <c r="M45" s="141">
        <f>+SUMIF($A$5:$A$40,$D$45,($M$5:$M$40))</f>
        <v>0</v>
      </c>
      <c r="N45" s="71">
        <f>+SUMIF($A$5:$A$40,D45,($N$5:$N$40))</f>
        <v>0</v>
      </c>
      <c r="Q45" s="16"/>
    </row>
    <row r="46" spans="1:17" hidden="1" x14ac:dyDescent="0.25">
      <c r="C46" s="16"/>
      <c r="D46" s="82" t="str">
        <f>+Q6</f>
        <v>CIP</v>
      </c>
      <c r="E46" s="70">
        <f>+SUMIF($A$5:$A$40,D46,($E$5:$E$40))</f>
        <v>18</v>
      </c>
      <c r="F46" s="70">
        <f t="shared" si="29"/>
        <v>1</v>
      </c>
      <c r="G46" s="70">
        <f>+SUMIF($A$5:$A$40,D46,($G$5:$G$40))</f>
        <v>18</v>
      </c>
      <c r="H46" s="70">
        <f t="shared" si="30"/>
        <v>3</v>
      </c>
      <c r="I46" s="70">
        <f>+SUMIF($A$5:$A$40,D46,($I$5:$I$40))</f>
        <v>54</v>
      </c>
      <c r="J46" s="70">
        <f>+SUMIF($A$5:$A$40,D46,($J$5:$J$40))</f>
        <v>54</v>
      </c>
      <c r="K46" s="70"/>
      <c r="L46" s="70"/>
      <c r="M46" s="70"/>
      <c r="N46" s="71">
        <f>+SUMIF($A$5:$A$40,D46,($N$5:$N$40))</f>
        <v>0</v>
      </c>
      <c r="Q46" s="16"/>
    </row>
    <row r="47" spans="1:17" hidden="1" x14ac:dyDescent="0.25">
      <c r="C47" s="16"/>
      <c r="D47" s="82" t="str">
        <f>+Q7</f>
        <v>Ind. Review of Apps</v>
      </c>
      <c r="E47" s="70">
        <f>+SUMIF($A$5:$A$40,D47,($E$5:$E$40))</f>
        <v>0</v>
      </c>
      <c r="F47" s="70">
        <f t="shared" si="29"/>
        <v>0</v>
      </c>
      <c r="G47" s="70">
        <f>+SUMIF($A$5:$A$40,D47,($G$5:$G$40))</f>
        <v>0</v>
      </c>
      <c r="H47" s="70">
        <f t="shared" si="30"/>
        <v>0</v>
      </c>
      <c r="I47" s="70">
        <f>+SUMIF($A$5:$A$40,D47,($I$5:$I$40))</f>
        <v>0</v>
      </c>
      <c r="J47" s="70">
        <f>+SUMIF($A$5:$A$40,D47,($J$5:$J$40))</f>
        <v>0</v>
      </c>
      <c r="K47" s="70"/>
      <c r="L47" s="70"/>
      <c r="M47" s="70"/>
      <c r="N47" s="71">
        <f>+SUMIF($A$5:$A$40,D47,($N$5:$N$40))</f>
        <v>0</v>
      </c>
      <c r="P47" s="72"/>
      <c r="Q47" s="16"/>
    </row>
    <row r="48" spans="1:17" hidden="1" x14ac:dyDescent="0.25">
      <c r="C48" s="16"/>
      <c r="D48" s="82" t="str">
        <f>+Q8</f>
        <v>CEP</v>
      </c>
      <c r="E48" s="70">
        <f>+SUMIF($A$5:$A$40,D48,($E$5:$E$40))</f>
        <v>47654</v>
      </c>
      <c r="F48" s="70">
        <f t="shared" si="29"/>
        <v>214.2863138456373</v>
      </c>
      <c r="G48" s="70">
        <f>+SUMIF($A$5:$A$40,D48,($G$5:$G$40))</f>
        <v>10211600</v>
      </c>
      <c r="H48" s="70">
        <f t="shared" si="30"/>
        <v>0.02</v>
      </c>
      <c r="I48" s="70">
        <f>+SUMIF($A$5:$A$40,D48,($I$5:$I$40))</f>
        <v>204232</v>
      </c>
      <c r="J48" s="70">
        <f>+SUMIF($A$5:$A$40,D48,($J$5:$J$40))</f>
        <v>209720</v>
      </c>
      <c r="K48" s="70"/>
      <c r="L48" s="70"/>
      <c r="M48" s="70"/>
      <c r="N48" s="71">
        <f>+SUMIF($A$5:$A$40,D48,($N$5:$N$40))</f>
        <v>-5488</v>
      </c>
      <c r="Q48" s="16"/>
    </row>
    <row r="49" spans="3:14" hidden="1" x14ac:dyDescent="0.25">
      <c r="C49" s="16"/>
      <c r="D49" s="82">
        <f>+Q10</f>
        <v>0</v>
      </c>
      <c r="E49" s="70">
        <f>+SUMIF($A$5:$A$40,D49,($E$5:$E$40))</f>
        <v>0</v>
      </c>
      <c r="F49" s="70">
        <f t="shared" si="29"/>
        <v>0</v>
      </c>
      <c r="G49" s="70">
        <f>+SUMIF($A$5:$A$40,D49,($G$5:$G$40))</f>
        <v>0</v>
      </c>
      <c r="H49" s="70">
        <f t="shared" si="30"/>
        <v>0</v>
      </c>
      <c r="I49" s="70">
        <f>+SUMIF($A$5:$A$40,D49,($I$5:$I$40))</f>
        <v>0</v>
      </c>
      <c r="J49" s="70">
        <f>+SUMIF($A$5:$A$40,D49,($J$5:$J$40))</f>
        <v>0</v>
      </c>
      <c r="K49" s="70"/>
      <c r="L49" s="70"/>
      <c r="M49" s="70"/>
      <c r="N49" s="71">
        <f>+SUMIF($A$5:$A$40,D49,($N$5:$N$40))</f>
        <v>0</v>
      </c>
    </row>
    <row r="50" spans="3:14" hidden="1" x14ac:dyDescent="0.25">
      <c r="D50" s="82">
        <f>+Q11</f>
        <v>0</v>
      </c>
      <c r="E50" s="70">
        <f>+SUMIF($A$5:$A$40,D50,($E$5:$E$40))</f>
        <v>0</v>
      </c>
      <c r="F50" s="70">
        <f t="shared" si="29"/>
        <v>0</v>
      </c>
      <c r="G50" s="70">
        <f>+SUMIF($A$5:$A$40,D50,($G$5:$G$40))</f>
        <v>0</v>
      </c>
      <c r="H50" s="70">
        <f t="shared" si="30"/>
        <v>0</v>
      </c>
      <c r="I50" s="70">
        <f>+SUMIF($A$5:$A$40,D50,($I$5:$I$40))</f>
        <v>0</v>
      </c>
      <c r="J50" s="70">
        <f>+SUMIF($A$5:$A$40,D50,($J$5:$J$40))</f>
        <v>0</v>
      </c>
      <c r="K50" s="70"/>
      <c r="L50" s="70"/>
      <c r="M50" s="70"/>
      <c r="N50" s="71">
        <f>+SUMIF($A$5:$A$40,D50,($N$5:$N$40))</f>
        <v>0</v>
      </c>
    </row>
    <row r="51" spans="3:14" hidden="1" x14ac:dyDescent="0.25">
      <c r="D51" s="83" t="s">
        <v>34</v>
      </c>
      <c r="E51" s="147">
        <f t="shared" ref="E51:N51" si="31">SUM(E44:E50)</f>
        <v>5442326</v>
      </c>
      <c r="F51" s="145">
        <f t="shared" si="31"/>
        <v>215.2863138456373</v>
      </c>
      <c r="G51" s="146">
        <f t="shared" si="31"/>
        <v>10211618</v>
      </c>
      <c r="H51" s="145">
        <f t="shared" si="31"/>
        <v>3.02</v>
      </c>
      <c r="I51" s="146">
        <f t="shared" si="31"/>
        <v>204286</v>
      </c>
      <c r="J51" s="146">
        <f t="shared" si="31"/>
        <v>209774</v>
      </c>
      <c r="K51" s="146">
        <f t="shared" si="31"/>
        <v>0</v>
      </c>
      <c r="L51" s="146">
        <f t="shared" si="31"/>
        <v>0</v>
      </c>
      <c r="M51" s="146">
        <f t="shared" si="31"/>
        <v>0</v>
      </c>
      <c r="N51" s="146">
        <f t="shared" si="31"/>
        <v>-5488</v>
      </c>
    </row>
    <row r="55" spans="3:14" ht="21" x14ac:dyDescent="0.35">
      <c r="C55" s="277"/>
      <c r="D55" s="277"/>
      <c r="E55" s="277"/>
      <c r="F55" s="277"/>
      <c r="G55" s="277"/>
      <c r="H55" s="277"/>
      <c r="I55" s="277"/>
    </row>
    <row r="56" spans="3:14" ht="21" x14ac:dyDescent="0.35">
      <c r="C56" s="277"/>
      <c r="D56" s="277"/>
      <c r="E56" s="277"/>
      <c r="F56" s="277"/>
      <c r="G56" s="277"/>
      <c r="H56" s="277"/>
      <c r="I56" s="277"/>
    </row>
    <row r="57" spans="3:14" ht="21" x14ac:dyDescent="0.35">
      <c r="C57" s="277"/>
      <c r="D57" s="277"/>
      <c r="E57" s="277"/>
      <c r="F57" s="277"/>
      <c r="G57" s="277"/>
      <c r="H57" s="277"/>
      <c r="I57" s="277"/>
    </row>
    <row r="58" spans="3:14" ht="21" x14ac:dyDescent="0.35">
      <c r="C58" s="277"/>
      <c r="D58" s="277"/>
      <c r="E58" s="277"/>
      <c r="F58" s="277"/>
      <c r="G58" s="277"/>
      <c r="H58" s="277"/>
      <c r="I58" s="277"/>
    </row>
  </sheetData>
  <sheetProtection selectLockedCells="1"/>
  <autoFilter ref="A3:N41"/>
  <dataConsolidate/>
  <mergeCells count="5">
    <mergeCell ref="A1:N1"/>
    <mergeCell ref="A4:N4"/>
    <mergeCell ref="A15:N15"/>
    <mergeCell ref="A33:N33"/>
    <mergeCell ref="A36:N36"/>
  </mergeCells>
  <dataValidations count="3">
    <dataValidation type="list" allowBlank="1" showInputMessage="1" showErrorMessage="1" sqref="A37:A40 A10:A14 A34:A35 A5:A8 A16:A22 A26:A32">
      <formula1>$Q$5:$Q$34</formula1>
    </dataValidation>
    <dataValidation type="list" allowBlank="1" showInputMessage="1" showErrorMessage="1" sqref="A23:A25">
      <formula1>$P$6:$P$30</formula1>
    </dataValidation>
    <dataValidation type="list" allowBlank="1" showInputMessage="1" showErrorMessage="1" sqref="A9">
      <formula1>$P$6:$P$32</formula1>
    </dataValidation>
  </dataValidations>
  <printOptions horizontalCentered="1"/>
  <pageMargins left="0.7" right="0.7" top="0.75" bottom="0.75" header="0.3" footer="0.3"/>
  <pageSetup scale="41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40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L10" sqref="L10"/>
    </sheetView>
  </sheetViews>
  <sheetFormatPr defaultRowHeight="15" outlineLevelCol="1" x14ac:dyDescent="0.25"/>
  <cols>
    <col min="1" max="1" width="13.14062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38" t="s">
        <v>12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40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8" t="s">
        <v>62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43</v>
      </c>
      <c r="K3" s="29" t="s">
        <v>61</v>
      </c>
      <c r="L3" s="29" t="s">
        <v>132</v>
      </c>
      <c r="M3" s="29" t="s">
        <v>8</v>
      </c>
      <c r="N3" s="30" t="s">
        <v>9</v>
      </c>
      <c r="O3" s="17" t="s">
        <v>10</v>
      </c>
      <c r="P3" s="1"/>
      <c r="Q3" s="48" t="s">
        <v>26</v>
      </c>
    </row>
    <row r="4" spans="1:17" ht="18.75" x14ac:dyDescent="0.25">
      <c r="A4" s="341" t="s">
        <v>33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  <c r="O4" s="54"/>
      <c r="P4" s="1"/>
      <c r="Q4" s="48"/>
    </row>
    <row r="5" spans="1:17" ht="43.5" customHeight="1" x14ac:dyDescent="0.25">
      <c r="A5" s="23" t="s">
        <v>73</v>
      </c>
      <c r="B5" s="242" t="s">
        <v>69</v>
      </c>
      <c r="C5" s="242" t="s">
        <v>59</v>
      </c>
      <c r="D5" s="243"/>
      <c r="E5" s="244">
        <v>54</v>
      </c>
      <c r="F5" s="244">
        <v>1</v>
      </c>
      <c r="G5" s="158">
        <f t="shared" ref="G5:G6" si="0">+E5*F5</f>
        <v>54</v>
      </c>
      <c r="H5" s="245">
        <v>9.8000000000000004E-2</v>
      </c>
      <c r="I5" s="158">
        <f t="shared" ref="I5:I6" si="1">+G5*H5</f>
        <v>5.2919999999999998</v>
      </c>
      <c r="J5" s="92">
        <v>5.3</v>
      </c>
      <c r="K5" s="246"/>
      <c r="L5" s="246"/>
      <c r="M5" s="246"/>
      <c r="N5" s="150">
        <f t="shared" ref="N5:N10" si="2">+I5-J5</f>
        <v>-8.0000000000000071E-3</v>
      </c>
      <c r="Q5" s="51" t="s">
        <v>73</v>
      </c>
    </row>
    <row r="6" spans="1:17" s="188" customFormat="1" ht="14.45" hidden="1" x14ac:dyDescent="0.3">
      <c r="A6" s="193" t="s">
        <v>94</v>
      </c>
      <c r="B6" s="194" t="s">
        <v>93</v>
      </c>
      <c r="C6" s="194" t="s">
        <v>129</v>
      </c>
      <c r="D6" s="195"/>
      <c r="E6" s="196">
        <v>54</v>
      </c>
      <c r="F6" s="196"/>
      <c r="G6" s="197">
        <f t="shared" si="0"/>
        <v>0</v>
      </c>
      <c r="H6" s="198"/>
      <c r="I6" s="197">
        <f t="shared" si="1"/>
        <v>0</v>
      </c>
      <c r="J6" s="199">
        <v>0</v>
      </c>
      <c r="K6" s="200"/>
      <c r="L6" s="200">
        <f>N6</f>
        <v>0</v>
      </c>
      <c r="M6" s="200"/>
      <c r="N6" s="201">
        <f t="shared" si="2"/>
        <v>0</v>
      </c>
      <c r="Q6" s="51"/>
    </row>
    <row r="7" spans="1:17" s="188" customFormat="1" ht="47.25" x14ac:dyDescent="0.25">
      <c r="A7" s="312" t="s">
        <v>154</v>
      </c>
      <c r="B7" s="313" t="s">
        <v>93</v>
      </c>
      <c r="C7" s="313" t="s">
        <v>155</v>
      </c>
      <c r="D7" s="314"/>
      <c r="E7" s="315">
        <v>54</v>
      </c>
      <c r="F7" s="316">
        <v>9</v>
      </c>
      <c r="G7" s="315">
        <f>+E7*F7</f>
        <v>486</v>
      </c>
      <c r="H7" s="315">
        <v>0.08</v>
      </c>
      <c r="I7" s="316">
        <f>G7*H7</f>
        <v>38.880000000000003</v>
      </c>
      <c r="J7" s="315">
        <v>0</v>
      </c>
      <c r="K7" s="316">
        <v>0</v>
      </c>
      <c r="L7" s="316">
        <f>+I7-J7</f>
        <v>38.880000000000003</v>
      </c>
      <c r="M7" s="317">
        <v>0</v>
      </c>
      <c r="N7" s="318">
        <f>+L7</f>
        <v>38.880000000000003</v>
      </c>
      <c r="Q7" s="51"/>
    </row>
    <row r="8" spans="1:17" ht="45" x14ac:dyDescent="0.25">
      <c r="A8" s="23" t="s">
        <v>63</v>
      </c>
      <c r="B8" s="95" t="s">
        <v>102</v>
      </c>
      <c r="C8" s="107" t="s">
        <v>128</v>
      </c>
      <c r="D8" s="95"/>
      <c r="E8" s="159">
        <v>43</v>
      </c>
      <c r="F8" s="159">
        <v>155</v>
      </c>
      <c r="G8" s="158">
        <f t="shared" ref="G8:G19" si="3">+E8*F8</f>
        <v>6665</v>
      </c>
      <c r="H8" s="161">
        <v>0.25</v>
      </c>
      <c r="I8" s="158">
        <f>+G8*H8</f>
        <v>1666.25</v>
      </c>
      <c r="J8" s="159">
        <v>1666</v>
      </c>
      <c r="K8" s="160"/>
      <c r="L8" s="160"/>
      <c r="M8" s="160"/>
      <c r="N8" s="150">
        <f t="shared" si="2"/>
        <v>0.25</v>
      </c>
      <c r="Q8" s="51" t="s">
        <v>91</v>
      </c>
    </row>
    <row r="9" spans="1:17" ht="28.9" x14ac:dyDescent="0.3">
      <c r="A9" s="23" t="s">
        <v>63</v>
      </c>
      <c r="B9" s="97" t="s">
        <v>109</v>
      </c>
      <c r="C9" s="96" t="s">
        <v>130</v>
      </c>
      <c r="D9" s="95"/>
      <c r="E9" s="151">
        <v>54</v>
      </c>
      <c r="F9" s="159">
        <v>1</v>
      </c>
      <c r="G9" s="158">
        <f t="shared" ref="G9:G10" si="4">+E9*F9</f>
        <v>54</v>
      </c>
      <c r="H9" s="161">
        <v>0.19500000000000001</v>
      </c>
      <c r="I9" s="241">
        <f t="shared" ref="I9:I10" si="5">+G9*H9</f>
        <v>10.530000000000001</v>
      </c>
      <c r="J9" s="159">
        <v>11</v>
      </c>
      <c r="K9" s="151"/>
      <c r="L9" s="151"/>
      <c r="M9" s="151"/>
      <c r="N9" s="150">
        <f t="shared" si="2"/>
        <v>-0.46999999999999886</v>
      </c>
      <c r="Q9" s="51" t="s">
        <v>92</v>
      </c>
    </row>
    <row r="10" spans="1:17" ht="43.15" x14ac:dyDescent="0.3">
      <c r="A10" s="23" t="s">
        <v>91</v>
      </c>
      <c r="B10" s="185" t="s">
        <v>136</v>
      </c>
      <c r="C10" s="184" t="s">
        <v>90</v>
      </c>
      <c r="D10" s="95"/>
      <c r="E10" s="151">
        <v>18</v>
      </c>
      <c r="F10" s="159">
        <v>1</v>
      </c>
      <c r="G10" s="158">
        <f t="shared" si="4"/>
        <v>18</v>
      </c>
      <c r="H10" s="161">
        <v>0.5</v>
      </c>
      <c r="I10" s="158">
        <f t="shared" si="5"/>
        <v>9</v>
      </c>
      <c r="J10" s="159">
        <v>9</v>
      </c>
      <c r="K10" s="151"/>
      <c r="L10" s="151"/>
      <c r="M10" s="151"/>
      <c r="N10" s="150">
        <f t="shared" si="2"/>
        <v>0</v>
      </c>
      <c r="Q10" s="51" t="s">
        <v>94</v>
      </c>
    </row>
    <row r="11" spans="1:17" ht="15.6" x14ac:dyDescent="0.3">
      <c r="A11" s="55"/>
      <c r="B11" s="56"/>
      <c r="C11" s="60" t="s">
        <v>32</v>
      </c>
      <c r="D11" s="57"/>
      <c r="E11" s="58">
        <f>+MAX(E5:E10)</f>
        <v>54</v>
      </c>
      <c r="F11" s="162">
        <f>IF(E11=0,"",G11/E11)</f>
        <v>134.75925925925927</v>
      </c>
      <c r="G11" s="58">
        <f>SUM(G5:G10)</f>
        <v>7277</v>
      </c>
      <c r="H11" s="181">
        <f>IF(G11=0,"",I11/G11)</f>
        <v>0.23772873436855846</v>
      </c>
      <c r="I11" s="163">
        <f t="shared" ref="I11:N11" si="6">SUM(I5:I10)</f>
        <v>1729.952</v>
      </c>
      <c r="J11" s="163">
        <f t="shared" si="6"/>
        <v>1691.3</v>
      </c>
      <c r="K11" s="163">
        <f t="shared" si="6"/>
        <v>0</v>
      </c>
      <c r="L11" s="163">
        <f t="shared" si="6"/>
        <v>38.880000000000003</v>
      </c>
      <c r="M11" s="163">
        <f t="shared" si="6"/>
        <v>0</v>
      </c>
      <c r="N11" s="164">
        <f t="shared" si="6"/>
        <v>38.652000000000001</v>
      </c>
      <c r="Q11" s="49"/>
    </row>
    <row r="12" spans="1:17" ht="18.75" customHeight="1" x14ac:dyDescent="0.3">
      <c r="A12" s="341" t="s">
        <v>83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3"/>
      <c r="O12" s="54"/>
      <c r="P12" s="1"/>
      <c r="Q12" s="49"/>
    </row>
    <row r="13" spans="1:17" ht="45" x14ac:dyDescent="0.25">
      <c r="A13" s="23" t="s">
        <v>63</v>
      </c>
      <c r="B13" s="106" t="s">
        <v>108</v>
      </c>
      <c r="C13" s="106" t="s">
        <v>87</v>
      </c>
      <c r="D13" s="106"/>
      <c r="E13" s="190">
        <v>19600</v>
      </c>
      <c r="F13" s="309">
        <v>1</v>
      </c>
      <c r="G13" s="125">
        <f t="shared" ref="G13" si="7">+E13*F13</f>
        <v>19600</v>
      </c>
      <c r="H13" s="310">
        <v>0.08</v>
      </c>
      <c r="I13" s="125">
        <f t="shared" ref="I13" si="8">+G13*H13</f>
        <v>1568</v>
      </c>
      <c r="J13" s="309">
        <v>1568</v>
      </c>
      <c r="K13" s="93"/>
      <c r="L13" s="93">
        <f>+I13-J13</f>
        <v>0</v>
      </c>
      <c r="M13" s="93">
        <f>N13</f>
        <v>0</v>
      </c>
      <c r="N13" s="94">
        <f t="shared" ref="N13:N19" si="9">+I13-J13</f>
        <v>0</v>
      </c>
      <c r="Q13" s="49"/>
    </row>
    <row r="14" spans="1:17" ht="60" x14ac:dyDescent="0.25">
      <c r="A14" s="23" t="s">
        <v>63</v>
      </c>
      <c r="B14" s="106" t="s">
        <v>137</v>
      </c>
      <c r="C14" s="106" t="s">
        <v>147</v>
      </c>
      <c r="D14" s="106"/>
      <c r="E14" s="309">
        <v>0</v>
      </c>
      <c r="F14" s="309">
        <v>1</v>
      </c>
      <c r="G14" s="125">
        <f t="shared" ref="G14" si="10">+E14*F14</f>
        <v>0</v>
      </c>
      <c r="H14" s="311">
        <v>2.4714999999999998</v>
      </c>
      <c r="I14" s="125">
        <f t="shared" ref="I14" si="11">+G14*H14</f>
        <v>0</v>
      </c>
      <c r="J14" s="309">
        <v>2699</v>
      </c>
      <c r="K14" s="93"/>
      <c r="L14" s="93">
        <f>+I14-J14</f>
        <v>-2699</v>
      </c>
      <c r="M14" s="93"/>
      <c r="N14" s="94">
        <f t="shared" ref="N14" si="12">+I14-J14</f>
        <v>-2699</v>
      </c>
      <c r="Q14" s="49"/>
    </row>
    <row r="15" spans="1:17" s="188" customFormat="1" ht="63" x14ac:dyDescent="0.25">
      <c r="A15" s="312" t="s">
        <v>154</v>
      </c>
      <c r="B15" s="319" t="s">
        <v>111</v>
      </c>
      <c r="C15" s="313" t="s">
        <v>156</v>
      </c>
      <c r="D15" s="320"/>
      <c r="E15" s="315">
        <v>3000</v>
      </c>
      <c r="F15" s="315">
        <v>1</v>
      </c>
      <c r="G15" s="315">
        <f>E15*F15</f>
        <v>3000</v>
      </c>
      <c r="H15" s="321">
        <v>0.91</v>
      </c>
      <c r="I15" s="316">
        <f>G15*H15</f>
        <v>2730</v>
      </c>
      <c r="J15" s="315">
        <v>0</v>
      </c>
      <c r="K15" s="316">
        <v>0</v>
      </c>
      <c r="L15" s="316">
        <f>+I15-J15</f>
        <v>2730</v>
      </c>
      <c r="M15" s="316">
        <v>0</v>
      </c>
      <c r="N15" s="322">
        <f>+L15</f>
        <v>2730</v>
      </c>
      <c r="Q15" s="189"/>
    </row>
    <row r="16" spans="1:17" ht="31.5" x14ac:dyDescent="0.25">
      <c r="A16" s="166"/>
      <c r="B16" s="167"/>
      <c r="C16" s="168" t="s">
        <v>84</v>
      </c>
      <c r="D16" s="169"/>
      <c r="E16" s="163">
        <f>+MAX(E13:E14)</f>
        <v>19600</v>
      </c>
      <c r="F16" s="181">
        <f>IF(E16=0,"",G16/E16)</f>
        <v>1.153061224489796</v>
      </c>
      <c r="G16" s="163">
        <f>SUM(G13:G15)</f>
        <v>22600</v>
      </c>
      <c r="H16" s="181">
        <f>IF(G16=0,"",I16/G16)</f>
        <v>0.19017699115044248</v>
      </c>
      <c r="I16" s="163">
        <f>SUM(I13:I15)</f>
        <v>4298</v>
      </c>
      <c r="J16" s="163">
        <f>SUM(J13:J15)</f>
        <v>4267</v>
      </c>
      <c r="K16" s="175">
        <f>SUM(K15)</f>
        <v>0</v>
      </c>
      <c r="L16" s="175">
        <f>SUM(L13:L15)</f>
        <v>31</v>
      </c>
      <c r="M16" s="175">
        <f t="shared" ref="M16" si="13">SUM(M15)</f>
        <v>0</v>
      </c>
      <c r="N16" s="170">
        <f>SUM(N13:N15)</f>
        <v>31</v>
      </c>
      <c r="Q16" s="49"/>
    </row>
    <row r="17" spans="1:17" ht="18" hidden="1" x14ac:dyDescent="0.3">
      <c r="A17" s="341" t="s">
        <v>28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3"/>
      <c r="O17" s="54"/>
      <c r="P17" s="1"/>
      <c r="Q17" s="49"/>
    </row>
    <row r="18" spans="1:17" ht="14.45" hidden="1" x14ac:dyDescent="0.3">
      <c r="A18" s="23"/>
      <c r="B18" s="14"/>
      <c r="C18" s="11"/>
      <c r="D18" s="12"/>
      <c r="E18" s="13"/>
      <c r="F18" s="13"/>
      <c r="G18" s="4">
        <f t="shared" si="3"/>
        <v>0</v>
      </c>
      <c r="H18" s="15"/>
      <c r="I18" s="4">
        <f t="shared" ref="I18" si="14">+G18*H18</f>
        <v>0</v>
      </c>
      <c r="J18" s="13"/>
      <c r="K18" s="13"/>
      <c r="L18" s="13"/>
      <c r="M18" s="13"/>
      <c r="N18" s="24">
        <f t="shared" ref="N18" si="15">+I18-J18</f>
        <v>0</v>
      </c>
      <c r="Q18" s="49"/>
    </row>
    <row r="19" spans="1:17" ht="14.45" hidden="1" x14ac:dyDescent="0.3">
      <c r="A19" s="23"/>
      <c r="B19" s="14"/>
      <c r="C19" s="11"/>
      <c r="D19" s="12"/>
      <c r="E19" s="13"/>
      <c r="F19" s="13"/>
      <c r="G19" s="4">
        <f t="shared" si="3"/>
        <v>0</v>
      </c>
      <c r="H19" s="15"/>
      <c r="I19" s="4">
        <f t="shared" ref="I19" si="16">+G19*H19</f>
        <v>0</v>
      </c>
      <c r="J19" s="13"/>
      <c r="K19" s="13"/>
      <c r="L19" s="13"/>
      <c r="M19" s="13"/>
      <c r="N19" s="24">
        <f t="shared" si="9"/>
        <v>0</v>
      </c>
      <c r="Q19" s="49"/>
    </row>
    <row r="20" spans="1:17" ht="16.149999999999999" hidden="1" thickBot="1" x14ac:dyDescent="0.35">
      <c r="A20" s="55"/>
      <c r="B20" s="56"/>
      <c r="C20" s="60" t="s">
        <v>41</v>
      </c>
      <c r="D20" s="57"/>
      <c r="E20" s="58">
        <f t="shared" ref="E20:N20" si="17">SUM(E18:E19)</f>
        <v>0</v>
      </c>
      <c r="F20" s="58" t="str">
        <f>IF(E20=0,"",G20/E20)</f>
        <v/>
      </c>
      <c r="G20" s="58">
        <f t="shared" si="17"/>
        <v>0</v>
      </c>
      <c r="H20" s="66">
        <f t="shared" si="17"/>
        <v>0</v>
      </c>
      <c r="I20" s="58">
        <f t="shared" si="17"/>
        <v>0</v>
      </c>
      <c r="J20" s="58">
        <f t="shared" si="17"/>
        <v>0</v>
      </c>
      <c r="K20" s="58">
        <f t="shared" si="17"/>
        <v>0</v>
      </c>
      <c r="L20" s="58">
        <f t="shared" si="17"/>
        <v>0</v>
      </c>
      <c r="M20" s="58">
        <f t="shared" si="17"/>
        <v>0</v>
      </c>
      <c r="N20" s="59">
        <f t="shared" si="17"/>
        <v>0</v>
      </c>
      <c r="Q20" s="50"/>
    </row>
    <row r="21" spans="1:17" ht="25.5" customHeight="1" thickBot="1" x14ac:dyDescent="0.3">
      <c r="A21" s="61"/>
      <c r="B21" s="62"/>
      <c r="C21" s="63" t="s">
        <v>42</v>
      </c>
      <c r="D21" s="64"/>
      <c r="E21" s="139">
        <f>+E11+E16+E20</f>
        <v>19654</v>
      </c>
      <c r="F21" s="134">
        <f>G21/E21</f>
        <v>1.5201485702655948</v>
      </c>
      <c r="G21" s="139">
        <f>+G11+G16+G20</f>
        <v>29877</v>
      </c>
      <c r="H21" s="134">
        <f>I21/G21</f>
        <v>0.20175894500786559</v>
      </c>
      <c r="I21" s="139">
        <f t="shared" ref="I21:N21" si="18">+I11+I16+I20</f>
        <v>6027.9520000000002</v>
      </c>
      <c r="J21" s="139">
        <f t="shared" si="18"/>
        <v>5958.3</v>
      </c>
      <c r="K21" s="139">
        <f t="shared" si="18"/>
        <v>0</v>
      </c>
      <c r="L21" s="139">
        <f t="shared" si="18"/>
        <v>69.88</v>
      </c>
      <c r="M21" s="139">
        <f t="shared" si="18"/>
        <v>0</v>
      </c>
      <c r="N21" s="149">
        <f t="shared" si="18"/>
        <v>69.652000000000001</v>
      </c>
      <c r="Q21" s="16"/>
    </row>
    <row r="22" spans="1:17" x14ac:dyDescent="0.25">
      <c r="C22" s="16"/>
      <c r="Q22" s="16"/>
    </row>
    <row r="23" spans="1:17" ht="93.6" hidden="1" x14ac:dyDescent="0.3">
      <c r="C23" s="16"/>
      <c r="D23" s="75" t="str">
        <f>+A3</f>
        <v>Program Rule</v>
      </c>
      <c r="E23" s="76" t="str">
        <f t="shared" ref="E23:N23" si="19">+E3</f>
        <v>Estimated # Record-keepers</v>
      </c>
      <c r="F23" s="76" t="str">
        <f t="shared" si="19"/>
        <v>Records Per Recordkeeper</v>
      </c>
      <c r="G23" s="76" t="str">
        <f t="shared" si="19"/>
        <v>Total Annual Records</v>
      </c>
      <c r="H23" s="76" t="str">
        <f t="shared" si="19"/>
        <v>Estimated Avg. # of Hours Per Record</v>
      </c>
      <c r="I23" s="76" t="str">
        <f t="shared" si="19"/>
        <v xml:space="preserve">Estimated Total Hours            </v>
      </c>
      <c r="J23" s="76" t="str">
        <f t="shared" si="19"/>
        <v>Current OMB Approved Burden Hrs</v>
      </c>
      <c r="K23" s="76" t="str">
        <f t="shared" si="19"/>
        <v>Due to Authorizing Statute</v>
      </c>
      <c r="L23" s="76" t="str">
        <f t="shared" si="19"/>
        <v>Due to Program Change - Final Rule</v>
      </c>
      <c r="M23" s="76" t="str">
        <f t="shared" si="19"/>
        <v>Due to an Adjustment</v>
      </c>
      <c r="N23" s="77" t="str">
        <f t="shared" si="19"/>
        <v>Total Difference</v>
      </c>
      <c r="Q23" s="16"/>
    </row>
    <row r="24" spans="1:17" hidden="1" x14ac:dyDescent="0.25">
      <c r="C24" s="16"/>
      <c r="D24" s="82" t="e">
        <f>+#REF!</f>
        <v>#REF!</v>
      </c>
      <c r="E24" s="141">
        <f>+SUM($E$11+$E$16+$E$20)</f>
        <v>19654</v>
      </c>
      <c r="F24" s="171">
        <f>+G24/E24</f>
        <v>0</v>
      </c>
      <c r="G24" s="141">
        <f t="shared" ref="G24:G32" si="20">+SUMIF($A$5:$A$20,D24,($G$5:$G$20))</f>
        <v>0</v>
      </c>
      <c r="H24" s="171">
        <f t="shared" ref="H24:H32" si="21">IF(G24&gt;0,I24/G24,0)</f>
        <v>0</v>
      </c>
      <c r="I24" s="141">
        <f t="shared" ref="I24:I32" si="22">+SUMIF($A$5:$A$20,D24,($I$5:$I$20))</f>
        <v>0</v>
      </c>
      <c r="J24" s="141">
        <f t="shared" ref="J24:J32" si="23">+SUMIF($A$5:$A$20,D24,($J$5:$J$20))</f>
        <v>0</v>
      </c>
      <c r="K24" s="141">
        <f>+SUMIF($A$5:$A$20,$D$24,($K$5:$K$20))</f>
        <v>0</v>
      </c>
      <c r="L24" s="141">
        <f>+SUMIF($A$5:$A$20,$D$24,($L$5:$L$20))</f>
        <v>0</v>
      </c>
      <c r="M24" s="141">
        <f>+SUMIF($A$5:$A$20,$D$24,($M$5:$M$20))</f>
        <v>0</v>
      </c>
      <c r="N24" s="142">
        <f t="shared" ref="N24:N32" si="24">+SUMIF($A$5:$A$20,D24,($N$5:$N$20))</f>
        <v>0</v>
      </c>
      <c r="Q24" s="16"/>
    </row>
    <row r="25" spans="1:17" hidden="1" x14ac:dyDescent="0.25">
      <c r="C25" s="16"/>
      <c r="D25" s="82" t="str">
        <f>+Q5</f>
        <v>Direct Certification</v>
      </c>
      <c r="E25" s="70">
        <f t="shared" ref="E25:E32" si="25">+SUMIF($A$5:$A$20,D25,($E$5:$E$20))</f>
        <v>54</v>
      </c>
      <c r="F25" s="171">
        <f>+G25/E25</f>
        <v>1</v>
      </c>
      <c r="G25" s="70">
        <f t="shared" si="20"/>
        <v>54</v>
      </c>
      <c r="H25" s="171">
        <f t="shared" si="21"/>
        <v>9.799999999999999E-2</v>
      </c>
      <c r="I25" s="70">
        <f t="shared" si="22"/>
        <v>5.2919999999999998</v>
      </c>
      <c r="J25" s="70">
        <f t="shared" si="23"/>
        <v>5.3</v>
      </c>
      <c r="K25" s="70">
        <f>+SUMIF($A$5:$A$20,$D$25,($K$5:$K$20))</f>
        <v>0</v>
      </c>
      <c r="L25" s="176">
        <f>+SUMIF($A$5:$A$20,$D$25,($L$5:$L$20))</f>
        <v>0</v>
      </c>
      <c r="M25" s="70">
        <f>+SUMIF($A$5:$A$20,$D$25,($M$5:$M$20))</f>
        <v>0</v>
      </c>
      <c r="N25" s="71">
        <f t="shared" si="24"/>
        <v>-8.0000000000000071E-3</v>
      </c>
      <c r="Q25" s="16"/>
    </row>
    <row r="26" spans="1:17" hidden="1" x14ac:dyDescent="0.25">
      <c r="C26" s="16"/>
      <c r="D26" s="82">
        <f>+Q6</f>
        <v>0</v>
      </c>
      <c r="E26" s="70">
        <f t="shared" si="25"/>
        <v>0</v>
      </c>
      <c r="F26" s="171">
        <f t="shared" ref="F26:F32" si="26">IF(E26&gt;0,G26/E26,0)</f>
        <v>0</v>
      </c>
      <c r="G26" s="70">
        <f t="shared" si="20"/>
        <v>0</v>
      </c>
      <c r="H26" s="171">
        <f t="shared" si="21"/>
        <v>0</v>
      </c>
      <c r="I26" s="70">
        <f t="shared" si="22"/>
        <v>0</v>
      </c>
      <c r="J26" s="70">
        <f t="shared" si="23"/>
        <v>0</v>
      </c>
      <c r="K26" s="70">
        <f>+SUMIF($A$5:$A$20,$D$26,($K$5:$K$20))</f>
        <v>0</v>
      </c>
      <c r="L26" s="70">
        <f>+SUMIF($A$5:$A$20,$D$26,($L$5:$L$20))</f>
        <v>0</v>
      </c>
      <c r="M26" s="70">
        <f>+SUMIF($A$5:$A$20,$D$26,($M$5:$M$20))</f>
        <v>0</v>
      </c>
      <c r="N26" s="71">
        <f t="shared" si="24"/>
        <v>0</v>
      </c>
      <c r="Q26" s="16"/>
    </row>
    <row r="27" spans="1:17" hidden="1" x14ac:dyDescent="0.25">
      <c r="C27" s="16"/>
      <c r="D27" s="82" t="str">
        <f t="shared" ref="D27:D32" si="27">+Q8</f>
        <v>CIP</v>
      </c>
      <c r="E27" s="70">
        <f t="shared" si="25"/>
        <v>18</v>
      </c>
      <c r="F27" s="171">
        <f t="shared" si="26"/>
        <v>1</v>
      </c>
      <c r="G27" s="70">
        <f t="shared" si="20"/>
        <v>18</v>
      </c>
      <c r="H27" s="171">
        <f t="shared" si="21"/>
        <v>0.5</v>
      </c>
      <c r="I27" s="70">
        <f t="shared" si="22"/>
        <v>9</v>
      </c>
      <c r="J27" s="70">
        <f t="shared" si="23"/>
        <v>9</v>
      </c>
      <c r="K27" s="70">
        <f>+SUMIF($A$5:$A$20,$D$27,($K$5:$K$20))</f>
        <v>0</v>
      </c>
      <c r="L27" s="70">
        <f>+SUMIF($A$5:$A$20,$D$27,($L$5:$L$20))</f>
        <v>0</v>
      </c>
      <c r="M27" s="70">
        <f>+SUMIF($A$5:$A$20,$D$27,($M$5:$M$20))</f>
        <v>0</v>
      </c>
      <c r="N27" s="71">
        <f t="shared" si="24"/>
        <v>0</v>
      </c>
      <c r="P27" s="72"/>
      <c r="Q27" s="16"/>
    </row>
    <row r="28" spans="1:17" hidden="1" x14ac:dyDescent="0.25">
      <c r="C28" s="16"/>
      <c r="D28" s="82" t="str">
        <f t="shared" si="27"/>
        <v>Ind. Review of Apps</v>
      </c>
      <c r="E28" s="70">
        <f t="shared" si="25"/>
        <v>0</v>
      </c>
      <c r="F28" s="171">
        <f t="shared" si="26"/>
        <v>0</v>
      </c>
      <c r="G28" s="70">
        <f t="shared" si="20"/>
        <v>0</v>
      </c>
      <c r="H28" s="171">
        <f t="shared" si="21"/>
        <v>0</v>
      </c>
      <c r="I28" s="70">
        <f t="shared" si="22"/>
        <v>0</v>
      </c>
      <c r="J28" s="70">
        <f t="shared" si="23"/>
        <v>0</v>
      </c>
      <c r="K28" s="70">
        <f>+SUMIF($A$5:$A$20,$D$28,($K$5:$K$20))</f>
        <v>0</v>
      </c>
      <c r="L28" s="70">
        <f>+SUMIF($A$5:$A$20,$D$28,($L$5:$L$20))</f>
        <v>0</v>
      </c>
      <c r="M28" s="70">
        <f>+SUMIF($A$5:$A$20,$D$28,($M$5:$M$20))</f>
        <v>0</v>
      </c>
      <c r="N28" s="71">
        <f t="shared" si="24"/>
        <v>0</v>
      </c>
      <c r="Q28" s="16"/>
    </row>
    <row r="29" spans="1:17" hidden="1" x14ac:dyDescent="0.25">
      <c r="C29" s="16"/>
      <c r="D29" s="82" t="str">
        <f t="shared" si="27"/>
        <v>CEP</v>
      </c>
      <c r="E29" s="70">
        <f t="shared" si="25"/>
        <v>54</v>
      </c>
      <c r="F29" s="171">
        <f t="shared" si="26"/>
        <v>0</v>
      </c>
      <c r="G29" s="70">
        <f t="shared" si="20"/>
        <v>0</v>
      </c>
      <c r="H29" s="171">
        <f t="shared" si="21"/>
        <v>0</v>
      </c>
      <c r="I29" s="70">
        <f t="shared" si="22"/>
        <v>0</v>
      </c>
      <c r="J29" s="70">
        <f t="shared" si="23"/>
        <v>0</v>
      </c>
      <c r="K29" s="70">
        <f>+SUMIF($A$5:$A$20,$D$29,($K$5:$K$20))</f>
        <v>0</v>
      </c>
      <c r="L29" s="70">
        <f>+SUMIF($A$5:$A$20,$D$29,($L$5:$L$20))</f>
        <v>0</v>
      </c>
      <c r="M29" s="70">
        <f>+SUMIF($A$5:$A$20,$D$29,($M$5:$M$20))</f>
        <v>0</v>
      </c>
      <c r="N29" s="71">
        <f t="shared" si="24"/>
        <v>0</v>
      </c>
    </row>
    <row r="30" spans="1:17" hidden="1" x14ac:dyDescent="0.25">
      <c r="D30" s="82">
        <f t="shared" si="27"/>
        <v>0</v>
      </c>
      <c r="E30" s="70">
        <f t="shared" si="25"/>
        <v>0</v>
      </c>
      <c r="F30" s="171">
        <f t="shared" si="26"/>
        <v>0</v>
      </c>
      <c r="G30" s="70">
        <f t="shared" si="20"/>
        <v>0</v>
      </c>
      <c r="H30" s="171">
        <f t="shared" si="21"/>
        <v>0</v>
      </c>
      <c r="I30" s="70">
        <f t="shared" si="22"/>
        <v>0</v>
      </c>
      <c r="J30" s="70">
        <f t="shared" si="23"/>
        <v>0</v>
      </c>
      <c r="K30" s="70">
        <f>+SUMIF($A$5:$A$20,$D$30,($K$5:$K$20))</f>
        <v>0</v>
      </c>
      <c r="L30" s="70">
        <f>+SUMIF($A$5:$A$20,$D$30,($L$5:$L$20))</f>
        <v>0</v>
      </c>
      <c r="M30" s="70">
        <f>+SUMIF($A$5:$A$20,$D$30,($M$5:$M$20))</f>
        <v>0</v>
      </c>
      <c r="N30" s="71">
        <f t="shared" si="24"/>
        <v>0</v>
      </c>
    </row>
    <row r="31" spans="1:17" hidden="1" x14ac:dyDescent="0.25">
      <c r="D31" s="82">
        <f t="shared" si="27"/>
        <v>0</v>
      </c>
      <c r="E31" s="70">
        <f t="shared" si="25"/>
        <v>0</v>
      </c>
      <c r="F31" s="171">
        <f t="shared" si="26"/>
        <v>0</v>
      </c>
      <c r="G31" s="70">
        <f t="shared" si="20"/>
        <v>0</v>
      </c>
      <c r="H31" s="171">
        <f t="shared" si="21"/>
        <v>0</v>
      </c>
      <c r="I31" s="70">
        <f t="shared" si="22"/>
        <v>0</v>
      </c>
      <c r="J31" s="70">
        <f t="shared" si="23"/>
        <v>0</v>
      </c>
      <c r="K31" s="70">
        <f>+SUMIF($A$5:$A$20,$D$31,($K$5:$K$20))</f>
        <v>0</v>
      </c>
      <c r="L31" s="70">
        <f>+SUMIF($A$5:$A$20,$D$31,($L$5:$L$20))</f>
        <v>0</v>
      </c>
      <c r="M31" s="70">
        <f>+SUMIF($A$5:$A$20,$D$31,($M$5:$M$20))</f>
        <v>0</v>
      </c>
      <c r="N31" s="71">
        <f t="shared" si="24"/>
        <v>0</v>
      </c>
    </row>
    <row r="32" spans="1:17" hidden="1" x14ac:dyDescent="0.25">
      <c r="D32" s="82">
        <f t="shared" si="27"/>
        <v>0</v>
      </c>
      <c r="E32" s="70">
        <f t="shared" si="25"/>
        <v>0</v>
      </c>
      <c r="F32" s="171">
        <f t="shared" si="26"/>
        <v>0</v>
      </c>
      <c r="G32" s="70">
        <f t="shared" si="20"/>
        <v>0</v>
      </c>
      <c r="H32" s="171">
        <f t="shared" si="21"/>
        <v>0</v>
      </c>
      <c r="I32" s="70">
        <f t="shared" si="22"/>
        <v>0</v>
      </c>
      <c r="J32" s="70">
        <f t="shared" si="23"/>
        <v>0</v>
      </c>
      <c r="K32" s="70">
        <f>+SUMIF($A$5:$A$20,$D$32,($K$5:$K$20))</f>
        <v>0</v>
      </c>
      <c r="L32" s="70">
        <f>+SUMIF($A$5:$A$20,$D$32,($L$5:$L$20))</f>
        <v>0</v>
      </c>
      <c r="M32" s="70">
        <f>+SUMIF($A$5:$A$20,$D$32,($M$5:$M$20))</f>
        <v>0</v>
      </c>
      <c r="N32" s="71">
        <f t="shared" si="24"/>
        <v>0</v>
      </c>
    </row>
    <row r="33" spans="3:18" hidden="1" x14ac:dyDescent="0.25">
      <c r="D33" s="83" t="s">
        <v>34</v>
      </c>
      <c r="E33" s="172">
        <f t="shared" ref="E33:N33" si="28">SUM(E24:E32)</f>
        <v>19780</v>
      </c>
      <c r="F33" s="173">
        <f t="shared" si="28"/>
        <v>2</v>
      </c>
      <c r="G33" s="174">
        <f t="shared" si="28"/>
        <v>72</v>
      </c>
      <c r="H33" s="173">
        <f t="shared" si="28"/>
        <v>0.59799999999999998</v>
      </c>
      <c r="I33" s="174">
        <f t="shared" si="28"/>
        <v>14.292</v>
      </c>
      <c r="J33" s="174">
        <f t="shared" si="28"/>
        <v>14.3</v>
      </c>
      <c r="K33" s="174">
        <f t="shared" si="28"/>
        <v>0</v>
      </c>
      <c r="L33" s="174">
        <f t="shared" si="28"/>
        <v>0</v>
      </c>
      <c r="M33" s="174">
        <f t="shared" si="28"/>
        <v>0</v>
      </c>
      <c r="N33" s="174">
        <f t="shared" si="28"/>
        <v>-8.0000000000000071E-3</v>
      </c>
    </row>
    <row r="38" spans="3:18" ht="18" x14ac:dyDescent="0.25">
      <c r="C38" s="271"/>
    </row>
    <row r="40" spans="3:18" ht="18.75" x14ac:dyDescent="0.3">
      <c r="C40" s="270"/>
      <c r="D40" s="272"/>
      <c r="E40" s="272"/>
      <c r="F40" s="272"/>
      <c r="G40" s="272"/>
      <c r="H40" s="272"/>
      <c r="I40" s="272"/>
      <c r="J40" s="272"/>
      <c r="K40" s="272"/>
      <c r="L40" s="272"/>
      <c r="M40" s="269"/>
      <c r="N40" s="269"/>
      <c r="O40" s="269"/>
      <c r="P40" s="269"/>
      <c r="Q40" s="269"/>
      <c r="R40" s="269"/>
    </row>
  </sheetData>
  <sheetProtection selectLockedCells="1"/>
  <autoFilter ref="A3:N21"/>
  <dataConsolidate/>
  <mergeCells count="4">
    <mergeCell ref="A1:N1"/>
    <mergeCell ref="A4:N4"/>
    <mergeCell ref="A12:N12"/>
    <mergeCell ref="A17:N17"/>
  </mergeCells>
  <dataValidations count="2">
    <dataValidation type="list" allowBlank="1" showInputMessage="1" showErrorMessage="1" sqref="A18:A20 A16 A13:A14 A5:A6 A8:A11">
      <formula1>$Q$5:$Q$18</formula1>
    </dataValidation>
    <dataValidation type="list" allowBlank="1" showInputMessage="1" showErrorMessage="1" sqref="A15 A7">
      <formula1>$P$5:$P$16</formula1>
    </dataValidation>
  </dataValidations>
  <printOptions horizontalCentered="1"/>
  <pageMargins left="0.7" right="0.7" top="0.75" bottom="0.75" header="0.3" footer="0.3"/>
  <pageSetup scale="67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4:G2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4"/>
  <sheetViews>
    <sheetView zoomScale="80" zoomScaleNormal="8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K30" sqref="K30"/>
    </sheetView>
  </sheetViews>
  <sheetFormatPr defaultColWidth="8.85546875" defaultRowHeight="15" outlineLevelCol="1" x14ac:dyDescent="0.25"/>
  <cols>
    <col min="1" max="1" width="11.85546875" style="188" customWidth="1"/>
    <col min="2" max="2" width="12.28515625" style="188" customWidth="1"/>
    <col min="3" max="3" width="42.140625" style="188" customWidth="1"/>
    <col min="4" max="4" width="12.85546875" style="188" bestFit="1" customWidth="1"/>
    <col min="5" max="5" width="15.7109375" style="188" bestFit="1" customWidth="1"/>
    <col min="6" max="6" width="15" style="188" customWidth="1"/>
    <col min="7" max="7" width="13.85546875" style="188" customWidth="1"/>
    <col min="8" max="8" width="14.5703125" style="188" bestFit="1" customWidth="1"/>
    <col min="9" max="9" width="13.140625" style="188" customWidth="1"/>
    <col min="10" max="10" width="16.5703125" style="188" customWidth="1"/>
    <col min="11" max="11" width="12.85546875" style="188" customWidth="1" outlineLevel="1"/>
    <col min="12" max="12" width="13" style="188" customWidth="1" outlineLevel="1"/>
    <col min="13" max="13" width="11" style="188" customWidth="1" outlineLevel="1"/>
    <col min="14" max="14" width="13" style="188" customWidth="1"/>
    <col min="15" max="15" width="16.42578125" style="188" hidden="1" customWidth="1" outlineLevel="1"/>
    <col min="16" max="16" width="8.85546875" style="188" collapsed="1"/>
    <col min="17" max="17" width="20.42578125" style="188" hidden="1" customWidth="1" outlineLevel="1"/>
    <col min="18" max="18" width="8.85546875" style="188" collapsed="1"/>
    <col min="19" max="63" width="8.85546875" style="188"/>
    <col min="64" max="64" width="8.7109375" style="188" customWidth="1"/>
    <col min="65" max="16384" width="8.85546875" style="188"/>
  </cols>
  <sheetData>
    <row r="1" spans="1:17" ht="30.75" customHeight="1" thickBot="1" x14ac:dyDescent="0.45">
      <c r="A1" s="344" t="s">
        <v>99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6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11" t="s">
        <v>62</v>
      </c>
      <c r="B3" s="212" t="s">
        <v>0</v>
      </c>
      <c r="C3" s="212" t="s">
        <v>1</v>
      </c>
      <c r="D3" s="212" t="s">
        <v>2</v>
      </c>
      <c r="E3" s="212" t="s">
        <v>21</v>
      </c>
      <c r="F3" s="212" t="s">
        <v>27</v>
      </c>
      <c r="G3" s="212" t="s">
        <v>5</v>
      </c>
      <c r="H3" s="212" t="s">
        <v>24</v>
      </c>
      <c r="I3" s="212" t="s">
        <v>7</v>
      </c>
      <c r="J3" s="212" t="s">
        <v>43</v>
      </c>
      <c r="K3" s="212" t="s">
        <v>61</v>
      </c>
      <c r="L3" s="212" t="s">
        <v>132</v>
      </c>
      <c r="M3" s="212" t="s">
        <v>8</v>
      </c>
      <c r="N3" s="213" t="s">
        <v>9</v>
      </c>
      <c r="O3" s="17" t="s">
        <v>10</v>
      </c>
      <c r="P3" s="1"/>
      <c r="Q3" s="48" t="s">
        <v>26</v>
      </c>
    </row>
    <row r="4" spans="1:17" ht="18" x14ac:dyDescent="0.3">
      <c r="A4" s="341" t="s">
        <v>33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  <c r="O4" s="54"/>
      <c r="P4" s="1"/>
      <c r="Q4" s="48"/>
    </row>
    <row r="5" spans="1:17" ht="60" x14ac:dyDescent="0.25">
      <c r="A5" s="120" t="s">
        <v>63</v>
      </c>
      <c r="B5" s="105" t="s">
        <v>98</v>
      </c>
      <c r="C5" s="103" t="s">
        <v>95</v>
      </c>
      <c r="D5" s="104"/>
      <c r="E5" s="151">
        <v>54</v>
      </c>
      <c r="F5" s="115">
        <v>1</v>
      </c>
      <c r="G5" s="110">
        <f t="shared" ref="G5:G7" si="0">+E5*F5</f>
        <v>54</v>
      </c>
      <c r="H5" s="156">
        <v>0.1</v>
      </c>
      <c r="I5" s="178">
        <f t="shared" ref="I5:I7" si="1">+G5*H5</f>
        <v>5.4</v>
      </c>
      <c r="J5" s="224">
        <v>5.4</v>
      </c>
      <c r="K5" s="112"/>
      <c r="L5" s="113"/>
      <c r="M5" s="114"/>
      <c r="N5" s="157">
        <f t="shared" ref="N5:N11" si="2">+I5-J5</f>
        <v>0</v>
      </c>
      <c r="Q5" s="51" t="s">
        <v>63</v>
      </c>
    </row>
    <row r="6" spans="1:17" ht="45" x14ac:dyDescent="0.25">
      <c r="A6" s="280" t="s">
        <v>148</v>
      </c>
      <c r="B6" s="281" t="s">
        <v>110</v>
      </c>
      <c r="C6" s="281" t="s">
        <v>150</v>
      </c>
      <c r="D6" s="282"/>
      <c r="E6" s="285">
        <v>54</v>
      </c>
      <c r="F6" s="284">
        <f>G6/E6</f>
        <v>1</v>
      </c>
      <c r="G6" s="285">
        <v>54</v>
      </c>
      <c r="H6" s="286">
        <v>0.17</v>
      </c>
      <c r="I6" s="284">
        <f>G6*H6</f>
        <v>9.1800000000000015</v>
      </c>
      <c r="J6" s="288">
        <v>0</v>
      </c>
      <c r="K6" s="287">
        <v>0</v>
      </c>
      <c r="L6" s="289">
        <f>+I6-J6</f>
        <v>9.1800000000000015</v>
      </c>
      <c r="M6" s="284">
        <v>0</v>
      </c>
      <c r="N6" s="296">
        <f>+L6</f>
        <v>9.1800000000000015</v>
      </c>
      <c r="Q6" s="51"/>
    </row>
    <row r="7" spans="1:17" ht="28.9" hidden="1" x14ac:dyDescent="0.3">
      <c r="A7" s="247" t="s">
        <v>94</v>
      </c>
      <c r="B7" s="248" t="s">
        <v>110</v>
      </c>
      <c r="C7" s="248" t="s">
        <v>113</v>
      </c>
      <c r="D7" s="257"/>
      <c r="E7" s="250">
        <v>54</v>
      </c>
      <c r="F7" s="250"/>
      <c r="G7" s="252">
        <f t="shared" si="0"/>
        <v>0</v>
      </c>
      <c r="H7" s="253"/>
      <c r="I7" s="254">
        <f t="shared" si="1"/>
        <v>0</v>
      </c>
      <c r="J7" s="255"/>
      <c r="K7" s="251"/>
      <c r="L7" s="251">
        <f>N7</f>
        <v>0</v>
      </c>
      <c r="M7" s="251"/>
      <c r="N7" s="256">
        <f t="shared" si="2"/>
        <v>0</v>
      </c>
      <c r="Q7" s="51" t="s">
        <v>92</v>
      </c>
    </row>
    <row r="8" spans="1:17" ht="15.75" x14ac:dyDescent="0.25">
      <c r="A8" s="203"/>
      <c r="B8" s="204"/>
      <c r="C8" s="205" t="s">
        <v>32</v>
      </c>
      <c r="D8" s="206"/>
      <c r="E8" s="207">
        <f>+MAX(E5:E7)</f>
        <v>54</v>
      </c>
      <c r="F8" s="208">
        <f>IF(E8=0,"",G8/E8)</f>
        <v>2</v>
      </c>
      <c r="G8" s="207">
        <f>SUM(G5:G7)</f>
        <v>108</v>
      </c>
      <c r="H8" s="208">
        <f>IF(G8=0,"",I8/G8)</f>
        <v>0.13500000000000001</v>
      </c>
      <c r="I8" s="207">
        <f t="shared" ref="I8:N8" si="3">SUM(I5:I7)</f>
        <v>14.580000000000002</v>
      </c>
      <c r="J8" s="207">
        <f t="shared" si="3"/>
        <v>5.4</v>
      </c>
      <c r="K8" s="209">
        <f t="shared" si="3"/>
        <v>0</v>
      </c>
      <c r="L8" s="209">
        <f t="shared" si="3"/>
        <v>9.1800000000000015</v>
      </c>
      <c r="M8" s="209">
        <f t="shared" si="3"/>
        <v>0</v>
      </c>
      <c r="N8" s="210">
        <f t="shared" si="3"/>
        <v>9.1800000000000015</v>
      </c>
      <c r="Q8" s="51" t="s">
        <v>73</v>
      </c>
    </row>
    <row r="9" spans="1:17" ht="18.75" customHeight="1" x14ac:dyDescent="0.3">
      <c r="A9" s="341" t="s">
        <v>83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3"/>
      <c r="O9" s="54"/>
      <c r="P9" s="1"/>
      <c r="Q9" s="51" t="s">
        <v>91</v>
      </c>
    </row>
    <row r="10" spans="1:17" ht="75" x14ac:dyDescent="0.25">
      <c r="A10" s="120" t="s">
        <v>63</v>
      </c>
      <c r="B10" s="99" t="s">
        <v>107</v>
      </c>
      <c r="C10" s="105" t="s">
        <v>144</v>
      </c>
      <c r="D10" s="101"/>
      <c r="E10" s="190">
        <v>19822</v>
      </c>
      <c r="F10" s="115">
        <v>1</v>
      </c>
      <c r="G10" s="125">
        <f t="shared" ref="G10:G11" si="4">+E10*F10</f>
        <v>19822</v>
      </c>
      <c r="H10" s="179">
        <v>0.25</v>
      </c>
      <c r="I10" s="125">
        <f>+G10*H10</f>
        <v>4955.5</v>
      </c>
      <c r="J10" s="190">
        <v>4955.5</v>
      </c>
      <c r="K10" s="126"/>
      <c r="L10" s="126"/>
      <c r="M10" s="126"/>
      <c r="N10" s="129">
        <f t="shared" si="2"/>
        <v>0</v>
      </c>
      <c r="O10" s="54"/>
      <c r="P10" s="1"/>
      <c r="Q10" s="51" t="s">
        <v>94</v>
      </c>
    </row>
    <row r="11" spans="1:17" ht="28.9" x14ac:dyDescent="0.3">
      <c r="A11" s="23" t="s">
        <v>63</v>
      </c>
      <c r="B11" s="98" t="s">
        <v>96</v>
      </c>
      <c r="C11" s="99" t="s">
        <v>97</v>
      </c>
      <c r="D11" s="98"/>
      <c r="E11" s="190">
        <v>19822</v>
      </c>
      <c r="F11" s="115">
        <v>1</v>
      </c>
      <c r="G11" s="125">
        <f t="shared" si="4"/>
        <v>19822</v>
      </c>
      <c r="H11" s="179">
        <v>0.1</v>
      </c>
      <c r="I11" s="125">
        <f t="shared" ref="I11" si="5">+G11*H11</f>
        <v>1982.2</v>
      </c>
      <c r="J11" s="190">
        <v>1982.2</v>
      </c>
      <c r="K11" s="126"/>
      <c r="L11" s="126"/>
      <c r="M11" s="126"/>
      <c r="N11" s="129">
        <f t="shared" si="2"/>
        <v>0</v>
      </c>
      <c r="Q11" s="189"/>
    </row>
    <row r="12" spans="1:17" ht="31.5" x14ac:dyDescent="0.25">
      <c r="A12" s="203"/>
      <c r="B12" s="204"/>
      <c r="C12" s="205" t="s">
        <v>84</v>
      </c>
      <c r="D12" s="217"/>
      <c r="E12" s="218">
        <f>+MAX(E10:E11)</f>
        <v>19822</v>
      </c>
      <c r="F12" s="208">
        <f>IF(E12=0,"",G12/E12)</f>
        <v>2</v>
      </c>
      <c r="G12" s="218">
        <f>SUM(G10:G11)</f>
        <v>39644</v>
      </c>
      <c r="H12" s="208">
        <f>IF(G12=0,"",I12/G12)</f>
        <v>0.17499999999999999</v>
      </c>
      <c r="I12" s="218">
        <f t="shared" ref="I12:N12" si="6">SUM(I10:I11)</f>
        <v>6937.7</v>
      </c>
      <c r="J12" s="218">
        <f t="shared" si="6"/>
        <v>6937.7</v>
      </c>
      <c r="K12" s="219">
        <f t="shared" si="6"/>
        <v>0</v>
      </c>
      <c r="L12" s="219">
        <f t="shared" si="6"/>
        <v>0</v>
      </c>
      <c r="M12" s="219">
        <f t="shared" si="6"/>
        <v>0</v>
      </c>
      <c r="N12" s="220">
        <f t="shared" si="6"/>
        <v>0</v>
      </c>
      <c r="Q12" s="189"/>
    </row>
    <row r="13" spans="1:17" ht="2.25" hidden="1" customHeight="1" x14ac:dyDescent="0.25">
      <c r="A13" s="341" t="s">
        <v>53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3"/>
      <c r="O13" s="54"/>
      <c r="P13" s="1"/>
      <c r="Q13" s="189"/>
    </row>
    <row r="14" spans="1:17" ht="15" hidden="1" customHeight="1" x14ac:dyDescent="0.25">
      <c r="A14" s="120"/>
      <c r="B14" s="191"/>
      <c r="C14" s="105"/>
      <c r="D14" s="191"/>
      <c r="E14" s="192"/>
      <c r="F14" s="131"/>
      <c r="G14" s="111"/>
      <c r="H14" s="128"/>
      <c r="I14" s="125"/>
      <c r="J14" s="132"/>
      <c r="K14" s="126"/>
      <c r="L14" s="126"/>
      <c r="M14" s="126"/>
      <c r="N14" s="129"/>
      <c r="Q14" s="189"/>
    </row>
    <row r="15" spans="1:17" ht="16.5" hidden="1" thickBot="1" x14ac:dyDescent="0.3">
      <c r="A15" s="203"/>
      <c r="B15" s="204"/>
      <c r="C15" s="205" t="s">
        <v>39</v>
      </c>
      <c r="D15" s="217"/>
      <c r="E15" s="221">
        <f>+MAX(E14:E14)</f>
        <v>0</v>
      </c>
      <c r="F15" s="221">
        <f t="shared" ref="F15:N15" si="7">SUM(F14:F14)</f>
        <v>0</v>
      </c>
      <c r="G15" s="221">
        <f t="shared" si="7"/>
        <v>0</v>
      </c>
      <c r="H15" s="222" t="str">
        <f>IF(G15=0,"",I15/G15)</f>
        <v/>
      </c>
      <c r="I15" s="221">
        <f t="shared" si="7"/>
        <v>0</v>
      </c>
      <c r="J15" s="221">
        <f t="shared" si="7"/>
        <v>0</v>
      </c>
      <c r="K15" s="221">
        <f t="shared" si="7"/>
        <v>0</v>
      </c>
      <c r="L15" s="221">
        <f t="shared" si="7"/>
        <v>0</v>
      </c>
      <c r="M15" s="221">
        <f t="shared" si="7"/>
        <v>0</v>
      </c>
      <c r="N15" s="223">
        <f t="shared" si="7"/>
        <v>0</v>
      </c>
      <c r="Q15" s="50"/>
    </row>
    <row r="16" spans="1:17" ht="25.5" customHeight="1" thickBot="1" x14ac:dyDescent="0.3">
      <c r="A16" s="135"/>
      <c r="B16" s="136"/>
      <c r="C16" s="137" t="s">
        <v>145</v>
      </c>
      <c r="D16" s="138"/>
      <c r="E16" s="139">
        <f>+E8+E12+E15</f>
        <v>19876</v>
      </c>
      <c r="F16" s="140">
        <f>IF(E16=0,"",G16/E16)</f>
        <v>2</v>
      </c>
      <c r="G16" s="65">
        <f>+G8+G12+G15</f>
        <v>39752</v>
      </c>
      <c r="H16" s="140">
        <f>IF(G16=0,"",I16/G16)</f>
        <v>0.17489132622258</v>
      </c>
      <c r="I16" s="139">
        <f t="shared" ref="I16:N16" si="8">+I8+I12+I15</f>
        <v>6952.28</v>
      </c>
      <c r="J16" s="139">
        <f t="shared" si="8"/>
        <v>6943.0999999999995</v>
      </c>
      <c r="K16" s="139">
        <f t="shared" si="8"/>
        <v>0</v>
      </c>
      <c r="L16" s="139">
        <f t="shared" si="8"/>
        <v>9.1800000000000015</v>
      </c>
      <c r="M16" s="139">
        <f t="shared" si="8"/>
        <v>0</v>
      </c>
      <c r="N16" s="149">
        <f t="shared" si="8"/>
        <v>9.1800000000000015</v>
      </c>
      <c r="Q16" s="16"/>
    </row>
    <row r="17" spans="3:17" x14ac:dyDescent="0.25">
      <c r="C17" s="16"/>
      <c r="Q17" s="16"/>
    </row>
    <row r="18" spans="3:17" ht="50.25" hidden="1" customHeight="1" x14ac:dyDescent="0.3">
      <c r="C18" s="16"/>
      <c r="D18" s="214" t="str">
        <f>+A3</f>
        <v>Program Rule</v>
      </c>
      <c r="E18" s="215" t="str">
        <f t="shared" ref="E18:N18" si="9">+E3</f>
        <v>Estimated # Respondents</v>
      </c>
      <c r="F18" s="215" t="str">
        <f t="shared" si="9"/>
        <v>Responses per Respondents</v>
      </c>
      <c r="G18" s="215" t="str">
        <f t="shared" si="9"/>
        <v>Total Annual Records</v>
      </c>
      <c r="H18" s="215" t="str">
        <f t="shared" si="9"/>
        <v>Estimated Avg. # of Hours Per Response</v>
      </c>
      <c r="I18" s="215" t="str">
        <f t="shared" si="9"/>
        <v xml:space="preserve">Estimated Total Hours            </v>
      </c>
      <c r="J18" s="215" t="str">
        <f t="shared" si="9"/>
        <v>Current OMB Approved Burden Hrs</v>
      </c>
      <c r="K18" s="215" t="str">
        <f t="shared" si="9"/>
        <v>Due to Authorizing Statute</v>
      </c>
      <c r="L18" s="215" t="str">
        <f t="shared" si="9"/>
        <v>Due to Program Change - Final Rule</v>
      </c>
      <c r="M18" s="215" t="str">
        <f t="shared" si="9"/>
        <v>Due to an Adjustment</v>
      </c>
      <c r="N18" s="216" t="str">
        <f t="shared" si="9"/>
        <v>Total Difference</v>
      </c>
      <c r="Q18" s="16"/>
    </row>
    <row r="19" spans="3:17" ht="14.45" hidden="1" x14ac:dyDescent="0.3">
      <c r="C19" s="16"/>
      <c r="D19" s="82" t="str">
        <f>+Q5</f>
        <v>F/R Eligibility</v>
      </c>
      <c r="E19" s="70">
        <f t="shared" ref="E19:E24" si="10">+SUMIF($A$5:$A$15,D19,($E$5:$E$15))</f>
        <v>39698</v>
      </c>
      <c r="F19" s="70">
        <f t="shared" ref="F19:F24" si="11">IF(E19&gt;0,G19/E19,0)</f>
        <v>1</v>
      </c>
      <c r="G19" s="141">
        <f t="shared" ref="G19:G24" si="12">+SUMIF($A$5:$A$15,D19,($G$5:$G$15))</f>
        <v>39698</v>
      </c>
      <c r="H19" s="143">
        <f t="shared" ref="H19:H24" si="13">IF(G19&gt;0,I19/G19,0)</f>
        <v>0.17489797974709051</v>
      </c>
      <c r="I19" s="141">
        <f t="shared" ref="I19:I24" si="14">+SUMIF($A$5:$A$15,D19,($I$5:$I$15))</f>
        <v>6943.0999999999995</v>
      </c>
      <c r="J19" s="144">
        <f t="shared" ref="J19:J24" si="15">+SUMIF($A$5:$A$15,D19,($J$5:$J$15))</f>
        <v>6943.0999999999995</v>
      </c>
      <c r="K19" s="70">
        <f>+SUMIF($A$5:$A$15,$D$19,($K$5:$K$15))</f>
        <v>0</v>
      </c>
      <c r="L19" s="70">
        <f>+SUMIF($A$5:$A$15,$D$19,($L$5:$L$15))</f>
        <v>0</v>
      </c>
      <c r="M19" s="70">
        <f>+SUMIF($A$5:$A$15,$D$19,($L$5:$L$15))</f>
        <v>0</v>
      </c>
      <c r="N19" s="142">
        <f t="shared" ref="N19:N24" si="16">+SUMIF($A$5:$A$15,D19,($N$5:$N$15))</f>
        <v>0</v>
      </c>
      <c r="Q19" s="16"/>
    </row>
    <row r="20" spans="3:17" ht="14.45" hidden="1" x14ac:dyDescent="0.3">
      <c r="C20" s="16"/>
      <c r="D20" s="82" t="str">
        <f>+Q7</f>
        <v>Ind. Review of Apps</v>
      </c>
      <c r="E20" s="70">
        <f t="shared" si="10"/>
        <v>0</v>
      </c>
      <c r="F20" s="70">
        <f t="shared" si="11"/>
        <v>0</v>
      </c>
      <c r="G20" s="70">
        <f t="shared" si="12"/>
        <v>0</v>
      </c>
      <c r="H20" s="70">
        <f t="shared" si="13"/>
        <v>0</v>
      </c>
      <c r="I20" s="70">
        <f t="shared" si="14"/>
        <v>0</v>
      </c>
      <c r="J20" s="70">
        <f t="shared" si="15"/>
        <v>0</v>
      </c>
      <c r="K20" s="70">
        <f>+SUMIF($A$5:$A$15,$D$20,($K$5:$K$15))</f>
        <v>0</v>
      </c>
      <c r="L20" s="70">
        <f t="shared" ref="L20:M24" si="17">+SUMIF($A$5:$A$15,$D$20,($L$5:$L$15))</f>
        <v>0</v>
      </c>
      <c r="M20" s="70">
        <f t="shared" si="17"/>
        <v>0</v>
      </c>
      <c r="N20" s="71">
        <f t="shared" si="16"/>
        <v>0</v>
      </c>
      <c r="Q20" s="16"/>
    </row>
    <row r="21" spans="3:17" ht="14.45" hidden="1" x14ac:dyDescent="0.3">
      <c r="C21" s="16"/>
      <c r="D21" s="82" t="str">
        <f>+Q8</f>
        <v>Direct Certification</v>
      </c>
      <c r="E21" s="70">
        <f t="shared" si="10"/>
        <v>0</v>
      </c>
      <c r="F21" s="70">
        <f t="shared" si="11"/>
        <v>0</v>
      </c>
      <c r="G21" s="70">
        <f t="shared" si="12"/>
        <v>0</v>
      </c>
      <c r="H21" s="70">
        <f t="shared" si="13"/>
        <v>0</v>
      </c>
      <c r="I21" s="70">
        <f t="shared" si="14"/>
        <v>0</v>
      </c>
      <c r="J21" s="70">
        <f t="shared" si="15"/>
        <v>0</v>
      </c>
      <c r="K21" s="70">
        <f>+SUMIF($A$5:$A$15,$D$20,($K$5:$K$15))</f>
        <v>0</v>
      </c>
      <c r="L21" s="70">
        <f t="shared" si="17"/>
        <v>0</v>
      </c>
      <c r="M21" s="70">
        <f t="shared" si="17"/>
        <v>0</v>
      </c>
      <c r="N21" s="71">
        <f t="shared" si="16"/>
        <v>0</v>
      </c>
      <c r="Q21" s="16"/>
    </row>
    <row r="22" spans="3:17" ht="14.45" hidden="1" x14ac:dyDescent="0.3">
      <c r="C22" s="16"/>
      <c r="D22" s="82" t="str">
        <f>+Q9</f>
        <v>CIP</v>
      </c>
      <c r="E22" s="70">
        <f t="shared" si="10"/>
        <v>0</v>
      </c>
      <c r="F22" s="70">
        <f t="shared" si="11"/>
        <v>0</v>
      </c>
      <c r="G22" s="70">
        <f t="shared" si="12"/>
        <v>0</v>
      </c>
      <c r="H22" s="70">
        <f t="shared" si="13"/>
        <v>0</v>
      </c>
      <c r="I22" s="70">
        <f t="shared" si="14"/>
        <v>0</v>
      </c>
      <c r="J22" s="70">
        <f t="shared" si="15"/>
        <v>0</v>
      </c>
      <c r="K22" s="70">
        <f>+SUMIF($A$5:$A$15,$D$20,($K$5:$K$15))</f>
        <v>0</v>
      </c>
      <c r="L22" s="70">
        <f t="shared" si="17"/>
        <v>0</v>
      </c>
      <c r="M22" s="70">
        <f t="shared" si="17"/>
        <v>0</v>
      </c>
      <c r="N22" s="71">
        <f t="shared" si="16"/>
        <v>0</v>
      </c>
      <c r="P22" s="72"/>
      <c r="Q22" s="16"/>
    </row>
    <row r="23" spans="3:17" ht="14.45" hidden="1" x14ac:dyDescent="0.3">
      <c r="C23" s="16"/>
      <c r="D23" s="82" t="str">
        <f>+Q10</f>
        <v>CEP</v>
      </c>
      <c r="E23" s="70">
        <f t="shared" si="10"/>
        <v>54</v>
      </c>
      <c r="F23" s="70">
        <f t="shared" si="11"/>
        <v>0</v>
      </c>
      <c r="G23" s="70">
        <f t="shared" si="12"/>
        <v>0</v>
      </c>
      <c r="H23" s="70">
        <f t="shared" si="13"/>
        <v>0</v>
      </c>
      <c r="I23" s="70">
        <f t="shared" si="14"/>
        <v>0</v>
      </c>
      <c r="J23" s="70">
        <f t="shared" si="15"/>
        <v>0</v>
      </c>
      <c r="K23" s="70">
        <f>+SUMIF($A$5:$A$15,$D$20,($K$5:$K$15))</f>
        <v>0</v>
      </c>
      <c r="L23" s="70">
        <f t="shared" si="17"/>
        <v>0</v>
      </c>
      <c r="M23" s="70">
        <f t="shared" si="17"/>
        <v>0</v>
      </c>
      <c r="N23" s="71">
        <f t="shared" si="16"/>
        <v>0</v>
      </c>
      <c r="Q23" s="16"/>
    </row>
    <row r="24" spans="3:17" ht="14.45" hidden="1" x14ac:dyDescent="0.3">
      <c r="D24" s="82" t="str">
        <f>IF(Q11="","-",+Q11)</f>
        <v>-</v>
      </c>
      <c r="E24" s="70">
        <f t="shared" si="10"/>
        <v>0</v>
      </c>
      <c r="F24" s="70">
        <f t="shared" si="11"/>
        <v>0</v>
      </c>
      <c r="G24" s="70">
        <f t="shared" si="12"/>
        <v>0</v>
      </c>
      <c r="H24" s="70">
        <f t="shared" si="13"/>
        <v>0</v>
      </c>
      <c r="I24" s="70">
        <f t="shared" si="14"/>
        <v>0</v>
      </c>
      <c r="J24" s="70">
        <f t="shared" si="15"/>
        <v>0</v>
      </c>
      <c r="K24" s="70">
        <f>+SUMIF($A$5:$A$15,$D$20,($K$5:$K$15))</f>
        <v>0</v>
      </c>
      <c r="L24" s="70">
        <f t="shared" si="17"/>
        <v>0</v>
      </c>
      <c r="M24" s="70">
        <f t="shared" si="17"/>
        <v>0</v>
      </c>
      <c r="N24" s="71">
        <f t="shared" si="16"/>
        <v>0</v>
      </c>
    </row>
    <row r="25" spans="3:17" ht="14.45" hidden="1" x14ac:dyDescent="0.3">
      <c r="D25" s="83" t="s">
        <v>34</v>
      </c>
      <c r="E25" s="147">
        <f t="shared" ref="E25:N25" si="18">SUM(E19:E24)</f>
        <v>39752</v>
      </c>
      <c r="F25" s="145">
        <f t="shared" si="18"/>
        <v>1</v>
      </c>
      <c r="G25" s="146">
        <f t="shared" si="18"/>
        <v>39698</v>
      </c>
      <c r="H25" s="145">
        <f t="shared" si="18"/>
        <v>0.17489797974709051</v>
      </c>
      <c r="I25" s="146">
        <f t="shared" si="18"/>
        <v>6943.0999999999995</v>
      </c>
      <c r="J25" s="146">
        <f t="shared" si="18"/>
        <v>6943.0999999999995</v>
      </c>
      <c r="K25" s="146">
        <f t="shared" si="18"/>
        <v>0</v>
      </c>
      <c r="L25" s="146">
        <f t="shared" si="18"/>
        <v>0</v>
      </c>
      <c r="M25" s="146">
        <f t="shared" si="18"/>
        <v>0</v>
      </c>
      <c r="N25" s="146">
        <f t="shared" si="18"/>
        <v>0</v>
      </c>
    </row>
    <row r="32" spans="3:17" ht="21" x14ac:dyDescent="0.35">
      <c r="C32" s="277"/>
    </row>
    <row r="34" spans="3:6" ht="21" x14ac:dyDescent="0.35">
      <c r="C34" s="277"/>
      <c r="D34" s="277"/>
      <c r="E34" s="277"/>
      <c r="F34" s="277"/>
    </row>
  </sheetData>
  <sheetProtection selectLockedCells="1"/>
  <autoFilter ref="A3:N16"/>
  <dataConsolidate/>
  <mergeCells count="4">
    <mergeCell ref="A1:N1"/>
    <mergeCell ref="A4:N4"/>
    <mergeCell ref="A9:N9"/>
    <mergeCell ref="A13:N13"/>
  </mergeCells>
  <dataValidations count="2">
    <dataValidation type="list" allowBlank="1" showInputMessage="1" showErrorMessage="1" sqref="A14:A15 A10:A12 A5 A7:A8">
      <formula1>$Q$7:$Q$14</formula1>
    </dataValidation>
    <dataValidation type="list" allowBlank="1" showInputMessage="1" showErrorMessage="1" sqref="A6">
      <formula1>$P$6:$P$33</formula1>
    </dataValidation>
  </dataValidations>
  <printOptions horizontalCentered="1"/>
  <pageMargins left="0.7" right="0.7" top="0.75" bottom="0.75" header="0.3" footer="0.3"/>
  <pageSetup scale="41" orientation="landscape" r:id="rId1"/>
  <headerFooter>
    <oddHeader>&amp;C&amp;"-,Bold"&amp;12OMB Control #0584-0026 
&amp;16 7 CFR Part 245, Determining Eligibility for Free &amp; Reduced Price Meals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2" sqref="B2:C2"/>
    </sheetView>
  </sheetViews>
  <sheetFormatPr defaultRowHeight="15" x14ac:dyDescent="0.25"/>
  <cols>
    <col min="1" max="1" width="1.28515625" customWidth="1"/>
    <col min="2" max="2" width="75" bestFit="1" customWidth="1"/>
    <col min="3" max="3" width="11.5703125" customWidth="1"/>
  </cols>
  <sheetData>
    <row r="1" spans="2:5" thickBot="1" x14ac:dyDescent="0.35">
      <c r="C1" s="78"/>
    </row>
    <row r="2" spans="2:5" ht="16.149999999999999" thickBot="1" x14ac:dyDescent="0.35">
      <c r="B2" s="347" t="s">
        <v>104</v>
      </c>
      <c r="C2" s="348"/>
    </row>
    <row r="3" spans="2:5" ht="16.149999999999999" thickBot="1" x14ac:dyDescent="0.35">
      <c r="B3" s="80" t="s">
        <v>35</v>
      </c>
      <c r="C3" s="79">
        <f>+MAX(RecordKeeping!E11,Reporting!E14,PublicNotification!E8) + MAX(RecordKeeping!E16,Reporting!E32,PublicNotification!E12) + Reporting!E40</f>
        <v>5394876</v>
      </c>
    </row>
    <row r="4" spans="2:5" ht="16.149999999999999" thickBot="1" x14ac:dyDescent="0.35">
      <c r="B4" s="80" t="s">
        <v>36</v>
      </c>
      <c r="C4" s="81">
        <f>+C5/C3</f>
        <v>3.0112371442828345</v>
      </c>
    </row>
    <row r="5" spans="2:5" ht="16.149999999999999" thickBot="1" x14ac:dyDescent="0.35">
      <c r="B5" s="80" t="s">
        <v>37</v>
      </c>
      <c r="C5" s="79">
        <f>+RecordKeeping!G21+Reporting!G41+PublicNotification!G16</f>
        <v>16245251</v>
      </c>
    </row>
    <row r="6" spans="2:5" ht="16.149999999999999" thickBot="1" x14ac:dyDescent="0.35">
      <c r="B6" s="80" t="s">
        <v>38</v>
      </c>
      <c r="C6" s="81">
        <f>+C7/C5</f>
        <v>5.7832344480242256E-2</v>
      </c>
    </row>
    <row r="7" spans="2:5" ht="16.149999999999999" thickBot="1" x14ac:dyDescent="0.35">
      <c r="B7" s="80" t="s">
        <v>88</v>
      </c>
      <c r="C7" s="79">
        <f>+RecordKeeping!I21+Reporting!I41+PublicNotification!I16</f>
        <v>939500.95200000005</v>
      </c>
    </row>
    <row r="8" spans="2:5" ht="16.149999999999999" thickBot="1" x14ac:dyDescent="0.35">
      <c r="B8" s="80" t="s">
        <v>70</v>
      </c>
      <c r="C8" s="79">
        <f>+RecordKeeping!J21+Reporting!J41+PublicNotification!J16</f>
        <v>945742.9</v>
      </c>
      <c r="E8" s="72" t="s">
        <v>44</v>
      </c>
    </row>
    <row r="9" spans="2:5" ht="16.149999999999999" thickBot="1" x14ac:dyDescent="0.35">
      <c r="B9" s="80" t="s">
        <v>89</v>
      </c>
      <c r="C9" s="79">
        <f>+RecordKeeping!N21+Reporting!N41+PublicNotification!N16</f>
        <v>-6241.9479999999994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31"/>
  <sheetViews>
    <sheetView tabSelected="1" workbookViewId="0">
      <selection activeCell="D35" sqref="D35"/>
    </sheetView>
  </sheetViews>
  <sheetFormatPr defaultRowHeight="15" x14ac:dyDescent="0.25"/>
  <cols>
    <col min="1" max="1" width="28.7109375" bestFit="1" customWidth="1"/>
    <col min="2" max="2" width="14.28515625" bestFit="1" customWidth="1"/>
    <col min="3" max="3" width="13.7109375" bestFit="1" customWidth="1"/>
    <col min="4" max="4" width="19" bestFit="1" customWidth="1"/>
    <col min="5" max="5" width="18.5703125" bestFit="1" customWidth="1"/>
    <col min="6" max="6" width="15.28515625" bestFit="1" customWidth="1"/>
  </cols>
  <sheetData>
    <row r="1" spans="1:7" x14ac:dyDescent="0.3">
      <c r="A1" s="349" t="s">
        <v>71</v>
      </c>
      <c r="B1" s="350"/>
      <c r="C1" s="350"/>
      <c r="D1" s="350"/>
      <c r="E1" s="350"/>
      <c r="F1" s="351"/>
    </row>
    <row r="2" spans="1:7" ht="13.5" customHeight="1" x14ac:dyDescent="0.3">
      <c r="A2" s="31"/>
      <c r="B2" s="32"/>
      <c r="C2" s="32"/>
      <c r="D2" s="32"/>
      <c r="E2" s="32"/>
      <c r="F2" s="33"/>
    </row>
    <row r="3" spans="1:7" ht="48" customHeight="1" x14ac:dyDescent="0.3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x14ac:dyDescent="0.3">
      <c r="A4" s="43" t="s">
        <v>12</v>
      </c>
      <c r="B4" s="42"/>
      <c r="C4" s="42"/>
      <c r="D4" s="42"/>
      <c r="E4" s="42"/>
      <c r="F4" s="42"/>
    </row>
    <row r="5" spans="1:7" ht="15.75" customHeight="1" x14ac:dyDescent="0.3">
      <c r="A5" s="34" t="s">
        <v>11</v>
      </c>
      <c r="B5" s="35">
        <f>+RecordKeeping!E11</f>
        <v>54</v>
      </c>
      <c r="C5" s="263">
        <f>+RecordKeeping!F11</f>
        <v>134.75925925925927</v>
      </c>
      <c r="D5" s="35">
        <f>+RecordKeeping!G11</f>
        <v>7277</v>
      </c>
      <c r="E5" s="264">
        <f>+RecordKeeping!H11</f>
        <v>0.23772873436855846</v>
      </c>
      <c r="F5" s="35">
        <f>+RecordKeeping!I11</f>
        <v>1729.952</v>
      </c>
      <c r="G5" s="37"/>
    </row>
    <row r="6" spans="1:7" ht="19.5" customHeight="1" x14ac:dyDescent="0.3">
      <c r="A6" s="38" t="s">
        <v>133</v>
      </c>
      <c r="B6" s="36">
        <f>+RecordKeeping!E16</f>
        <v>19600</v>
      </c>
      <c r="C6" s="265">
        <f>+RecordKeeping!F16</f>
        <v>1.153061224489796</v>
      </c>
      <c r="D6" s="35">
        <f>+RecordKeeping!G16</f>
        <v>22600</v>
      </c>
      <c r="E6" s="264">
        <f>+RecordKeeping!H16</f>
        <v>0.19017699115044248</v>
      </c>
      <c r="F6" s="35">
        <f>+RecordKeeping!I16</f>
        <v>4298</v>
      </c>
      <c r="G6" s="40"/>
    </row>
    <row r="7" spans="1:7" ht="19.5" hidden="1" customHeight="1" x14ac:dyDescent="0.3">
      <c r="A7" s="38" t="s">
        <v>28</v>
      </c>
      <c r="B7" s="6">
        <f>+RecordKeeping!E20</f>
        <v>0</v>
      </c>
      <c r="C7" s="39" t="str">
        <f>+RecordKeeping!F20</f>
        <v/>
      </c>
      <c r="D7" s="7">
        <f>+RecordKeeping!G20</f>
        <v>0</v>
      </c>
      <c r="E7" s="7">
        <f>+RecordKeeping!H20</f>
        <v>0</v>
      </c>
      <c r="F7" s="7">
        <f>+RecordKeeping!I20</f>
        <v>0</v>
      </c>
      <c r="G7" s="40"/>
    </row>
    <row r="8" spans="1:7" ht="19.5" customHeight="1" x14ac:dyDescent="0.3">
      <c r="A8" s="47" t="s">
        <v>29</v>
      </c>
      <c r="B8" s="36">
        <f>SUBTOTAL(109,B5:B7)</f>
        <v>19654</v>
      </c>
      <c r="C8" s="263">
        <f>+D8/B8</f>
        <v>1.5201485702655948</v>
      </c>
      <c r="D8" s="36">
        <f>SUBTOTAL(109,D5:D7)</f>
        <v>29877</v>
      </c>
      <c r="E8" s="263">
        <f>+F8/D8</f>
        <v>0.20175894500786559</v>
      </c>
      <c r="F8" s="36">
        <f>SUBTOTAL(109,F5:F7)</f>
        <v>6027.9520000000002</v>
      </c>
      <c r="G8" s="40"/>
    </row>
    <row r="9" spans="1:7" x14ac:dyDescent="0.3">
      <c r="A9" s="46" t="s">
        <v>30</v>
      </c>
      <c r="B9" s="45"/>
      <c r="C9" s="45"/>
      <c r="D9" s="45"/>
      <c r="E9" s="45"/>
      <c r="F9" s="45"/>
    </row>
    <row r="10" spans="1:7" ht="19.5" customHeight="1" x14ac:dyDescent="0.3">
      <c r="A10" s="52" t="s">
        <v>11</v>
      </c>
      <c r="B10" s="53">
        <f>+Reporting!E14</f>
        <v>54</v>
      </c>
      <c r="C10" s="266">
        <f>+Reporting!F14</f>
        <v>89.129629629629633</v>
      </c>
      <c r="D10" s="53">
        <f>+Reporting!G14</f>
        <v>4813</v>
      </c>
      <c r="E10" s="266">
        <f>+Reporting!H14</f>
        <v>7.9035944317473503E-2</v>
      </c>
      <c r="F10" s="53">
        <f>+Reporting!I14</f>
        <v>380.4</v>
      </c>
      <c r="G10" s="40"/>
    </row>
    <row r="11" spans="1:7" ht="19.5" customHeight="1" x14ac:dyDescent="0.3">
      <c r="A11" s="231" t="s">
        <v>133</v>
      </c>
      <c r="B11" s="225">
        <f>+Reporting!E32</f>
        <v>19600</v>
      </c>
      <c r="C11" s="226">
        <f>+Reporting!F32</f>
        <v>542.617806122449</v>
      </c>
      <c r="D11" s="225">
        <f>+Reporting!G32</f>
        <v>10635309</v>
      </c>
      <c r="E11" s="226">
        <f>+Reporting!H32</f>
        <v>2.3980527505124676E-2</v>
      </c>
      <c r="F11" s="225">
        <f>+Reporting!I32</f>
        <v>255040.32</v>
      </c>
      <c r="G11" s="40"/>
    </row>
    <row r="12" spans="1:7" ht="15.75" customHeight="1" x14ac:dyDescent="0.3">
      <c r="A12" s="232" t="s">
        <v>120</v>
      </c>
      <c r="B12" s="233">
        <f>+Reporting!E40</f>
        <v>5375000</v>
      </c>
      <c r="C12" s="268">
        <f>+Reporting!F40</f>
        <v>1.029860465116279</v>
      </c>
      <c r="D12" s="233">
        <f>+Reporting!G40</f>
        <v>5535500</v>
      </c>
      <c r="E12" s="268">
        <f>+Reporting!H40</f>
        <v>0.12123566073525427</v>
      </c>
      <c r="F12" s="233">
        <f>+Reporting!I40</f>
        <v>671100</v>
      </c>
      <c r="G12" s="37"/>
    </row>
    <row r="13" spans="1:7" ht="19.5" customHeight="1" x14ac:dyDescent="0.3">
      <c r="A13" s="237" t="s">
        <v>31</v>
      </c>
      <c r="B13" s="225">
        <f>SUBTOTAL(109,B10:B12)</f>
        <v>5394654</v>
      </c>
      <c r="C13" s="267">
        <f>+D13/B13</f>
        <v>2.9984540250403455</v>
      </c>
      <c r="D13" s="225">
        <f>SUBTOTAL(109,D10:D12)</f>
        <v>16175622</v>
      </c>
      <c r="E13" s="267">
        <f>+F13/D13</f>
        <v>5.7278831070607363E-2</v>
      </c>
      <c r="F13" s="225">
        <f>SUBTOTAL(109,F10:F12)</f>
        <v>926520.72</v>
      </c>
      <c r="G13" s="40"/>
    </row>
    <row r="14" spans="1:7" s="188" customFormat="1" ht="19.5" customHeight="1" x14ac:dyDescent="0.3">
      <c r="A14" s="230" t="s">
        <v>99</v>
      </c>
      <c r="B14" s="228"/>
      <c r="C14" s="229"/>
      <c r="D14" s="228"/>
      <c r="E14" s="229"/>
      <c r="F14" s="228"/>
      <c r="G14" s="40"/>
    </row>
    <row r="15" spans="1:7" s="188" customFormat="1" ht="19.5" customHeight="1" x14ac:dyDescent="0.3">
      <c r="A15" s="276" t="s">
        <v>11</v>
      </c>
      <c r="B15" s="274">
        <f>+PublicNotification!E8</f>
        <v>54</v>
      </c>
      <c r="C15" s="274">
        <f>+PublicNotification!F8</f>
        <v>2</v>
      </c>
      <c r="D15" s="274">
        <f>+PublicNotification!G8</f>
        <v>108</v>
      </c>
      <c r="E15" s="275">
        <f>+PublicNotification!H8</f>
        <v>0.13500000000000001</v>
      </c>
      <c r="F15" s="274">
        <f>+PublicNotification!I8</f>
        <v>14.580000000000002</v>
      </c>
      <c r="G15" s="40"/>
    </row>
    <row r="16" spans="1:7" s="188" customFormat="1" ht="19.5" customHeight="1" x14ac:dyDescent="0.3">
      <c r="A16" s="236" t="s">
        <v>133</v>
      </c>
      <c r="B16" s="227">
        <f>+PublicNotification!E12</f>
        <v>19822</v>
      </c>
      <c r="C16" s="227">
        <f>+PublicNotification!F12</f>
        <v>2</v>
      </c>
      <c r="D16" s="227">
        <f>+PublicNotification!G12</f>
        <v>39644</v>
      </c>
      <c r="E16" s="239">
        <f>+PublicNotification!H12</f>
        <v>0.17499999999999999</v>
      </c>
      <c r="F16" s="227">
        <f>+PublicNotification!I12</f>
        <v>6937.7</v>
      </c>
      <c r="G16" s="40"/>
    </row>
    <row r="17" spans="1:7" s="188" customFormat="1" ht="19.5" hidden="1" customHeight="1" x14ac:dyDescent="0.3">
      <c r="A17" s="235" t="s">
        <v>28</v>
      </c>
      <c r="B17" s="234">
        <f>+PublicNotification!E15</f>
        <v>0</v>
      </c>
      <c r="C17" s="234">
        <f>+PublicNotification!F15</f>
        <v>0</v>
      </c>
      <c r="D17" s="234">
        <f>+PublicNotification!G15</f>
        <v>0</v>
      </c>
      <c r="E17" s="234" t="str">
        <f>+PublicNotification!H15</f>
        <v/>
      </c>
      <c r="F17" s="234">
        <f>+PublicNotification!I15</f>
        <v>0</v>
      </c>
      <c r="G17" s="40"/>
    </row>
    <row r="18" spans="1:7" s="188" customFormat="1" ht="19.5" customHeight="1" x14ac:dyDescent="0.3">
      <c r="A18" s="273" t="s">
        <v>106</v>
      </c>
      <c r="B18" s="274">
        <f>SUBTOTAL(109,B15:B17)</f>
        <v>19876</v>
      </c>
      <c r="C18" s="275">
        <f>+D18/B18</f>
        <v>2</v>
      </c>
      <c r="D18" s="274">
        <f>SUBTOTAL(109,D15:D17)</f>
        <v>39752</v>
      </c>
      <c r="E18" s="275">
        <f>+F18/D18</f>
        <v>0.17489132622258</v>
      </c>
      <c r="F18" s="274">
        <f>SUBTOTAL(109,F15:F17)</f>
        <v>6952.28</v>
      </c>
      <c r="G18" s="40"/>
    </row>
    <row r="19" spans="1:7" ht="17.25" customHeight="1" x14ac:dyDescent="0.3">
      <c r="A19" s="41" t="s">
        <v>76</v>
      </c>
      <c r="B19" s="8">
        <f>MAX(+B5,+B10,+B15) + MAX(+B6,+B11,+B16) + B12</f>
        <v>5394876</v>
      </c>
      <c r="C19" s="180">
        <f>+D19/B19</f>
        <v>3.0112371442828345</v>
      </c>
      <c r="D19" s="8">
        <f>+D8+D13+D18</f>
        <v>16245251</v>
      </c>
      <c r="E19" s="180">
        <f>+F19/D19</f>
        <v>5.7832344480242256E-2</v>
      </c>
      <c r="F19" s="8">
        <f>+F8+F13+F18</f>
        <v>939500.95200000005</v>
      </c>
      <c r="G19" s="37"/>
    </row>
    <row r="20" spans="1:7" ht="14.45" x14ac:dyDescent="0.3">
      <c r="A20" s="16"/>
      <c r="B20" s="16"/>
      <c r="C20" s="16"/>
      <c r="D20" s="16"/>
      <c r="E20" s="16"/>
      <c r="F20" s="240"/>
    </row>
    <row r="21" spans="1:7" ht="14.45" x14ac:dyDescent="0.3">
      <c r="A21" s="238"/>
      <c r="B21" s="5"/>
      <c r="C21" s="9"/>
      <c r="D21" s="5"/>
      <c r="E21" s="5"/>
      <c r="F21" s="84"/>
      <c r="G21" s="5"/>
    </row>
    <row r="22" spans="1:7" ht="14.45" x14ac:dyDescent="0.3">
      <c r="D22" s="10"/>
      <c r="F22" s="337"/>
    </row>
    <row r="23" spans="1:7" ht="15.75" thickBot="1" x14ac:dyDescent="0.3"/>
    <row r="24" spans="1:7" x14ac:dyDescent="0.25">
      <c r="A24" s="354" t="s">
        <v>158</v>
      </c>
      <c r="B24" s="355">
        <f>+B18</f>
        <v>19876</v>
      </c>
      <c r="C24" s="356">
        <f>+D24/B24</f>
        <v>538.82828536928957</v>
      </c>
      <c r="D24" s="355">
        <f>+D8+D10+D11+D18</f>
        <v>10709751</v>
      </c>
      <c r="E24" s="356">
        <f>+F24/D24</f>
        <v>2.506136249106072E-2</v>
      </c>
      <c r="F24" s="357">
        <f>+F8+F10+F11+F18</f>
        <v>268400.95200000005</v>
      </c>
    </row>
    <row r="25" spans="1:7" x14ac:dyDescent="0.25">
      <c r="A25" s="362" t="s">
        <v>159</v>
      </c>
      <c r="B25" s="352">
        <f>+B12</f>
        <v>5375000</v>
      </c>
      <c r="C25" s="353">
        <f>+D25/B25</f>
        <v>1.029860465116279</v>
      </c>
      <c r="D25" s="352">
        <f>+D12</f>
        <v>5535500</v>
      </c>
      <c r="E25" s="353">
        <f>+F25/D25</f>
        <v>0.12123566073525427</v>
      </c>
      <c r="F25" s="363">
        <f>+F12</f>
        <v>671100</v>
      </c>
    </row>
    <row r="26" spans="1:7" ht="15.75" thickBot="1" x14ac:dyDescent="0.3">
      <c r="A26" s="358" t="s">
        <v>160</v>
      </c>
      <c r="B26" s="359">
        <f>+B25+B24</f>
        <v>5394876</v>
      </c>
      <c r="C26" s="360">
        <f>+D26/B26</f>
        <v>3.0112371442828345</v>
      </c>
      <c r="D26" s="359">
        <f>+D25+D24</f>
        <v>16245251</v>
      </c>
      <c r="E26" s="360">
        <f>+F26/D26</f>
        <v>5.7832344480242256E-2</v>
      </c>
      <c r="F26" s="361">
        <f>+F25+F24</f>
        <v>939500.95200000005</v>
      </c>
    </row>
    <row r="27" spans="1:7" ht="15.75" thickBot="1" x14ac:dyDescent="0.3"/>
    <row r="28" spans="1:7" x14ac:dyDescent="0.25">
      <c r="A28" s="366"/>
      <c r="B28" s="367" t="s">
        <v>162</v>
      </c>
      <c r="C28" s="368" t="s">
        <v>163</v>
      </c>
    </row>
    <row r="29" spans="1:7" x14ac:dyDescent="0.25">
      <c r="A29" s="369" t="s">
        <v>161</v>
      </c>
      <c r="B29" s="365">
        <v>16519454</v>
      </c>
      <c r="C29" s="370">
        <v>945743</v>
      </c>
      <c r="D29" s="364"/>
    </row>
    <row r="30" spans="1:7" x14ac:dyDescent="0.25">
      <c r="A30" s="369" t="s">
        <v>164</v>
      </c>
      <c r="B30" s="352">
        <f>+D19</f>
        <v>16245251</v>
      </c>
      <c r="C30" s="370">
        <f>+F19</f>
        <v>939500.95200000005</v>
      </c>
      <c r="D30" s="364"/>
    </row>
    <row r="31" spans="1:7" ht="15.75" thickBot="1" x14ac:dyDescent="0.3">
      <c r="A31" s="371" t="s">
        <v>165</v>
      </c>
      <c r="B31" s="359">
        <f>+B30-B29</f>
        <v>-274203</v>
      </c>
      <c r="C31" s="361">
        <f>+C30-C29</f>
        <v>-6242.0479999999516</v>
      </c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9" customFormat="1" ht="14.45" x14ac:dyDescent="0.3">
      <c r="A1" s="87" t="s">
        <v>45</v>
      </c>
      <c r="B1" s="88" t="s">
        <v>47</v>
      </c>
      <c r="C1" s="88" t="s">
        <v>46</v>
      </c>
    </row>
    <row r="2" spans="1:3" ht="14.45" x14ac:dyDescent="0.3">
      <c r="A2" s="90">
        <v>40735</v>
      </c>
      <c r="B2" s="85" t="s">
        <v>48</v>
      </c>
      <c r="C2" s="85" t="s">
        <v>60</v>
      </c>
    </row>
    <row r="3" spans="1:3" ht="14.45" x14ac:dyDescent="0.3">
      <c r="A3" s="90">
        <v>40847</v>
      </c>
      <c r="B3" s="85" t="s">
        <v>48</v>
      </c>
      <c r="C3" s="85" t="s">
        <v>72</v>
      </c>
    </row>
    <row r="4" spans="1:3" ht="14.45" x14ac:dyDescent="0.3">
      <c r="A4" s="90">
        <v>40983</v>
      </c>
      <c r="B4" s="85" t="s">
        <v>48</v>
      </c>
      <c r="C4" s="85" t="s">
        <v>75</v>
      </c>
    </row>
    <row r="5" spans="1:3" ht="14.45" x14ac:dyDescent="0.3">
      <c r="A5" s="90">
        <v>42286</v>
      </c>
      <c r="B5" s="85" t="s">
        <v>48</v>
      </c>
      <c r="C5" s="85" t="s">
        <v>105</v>
      </c>
    </row>
    <row r="6" spans="1:3" ht="14.45" x14ac:dyDescent="0.3">
      <c r="A6" s="90">
        <v>42291</v>
      </c>
      <c r="B6" s="85" t="s">
        <v>48</v>
      </c>
      <c r="C6" s="85" t="s">
        <v>134</v>
      </c>
    </row>
    <row r="7" spans="1:3" ht="14.45" x14ac:dyDescent="0.3">
      <c r="A7" s="90">
        <v>42342</v>
      </c>
      <c r="B7" s="85" t="s">
        <v>48</v>
      </c>
      <c r="C7" s="85" t="s">
        <v>135</v>
      </c>
    </row>
    <row r="8" spans="1:3" ht="14.45" x14ac:dyDescent="0.3">
      <c r="A8" s="90"/>
      <c r="B8" s="85"/>
      <c r="C8" s="85"/>
    </row>
    <row r="9" spans="1:3" ht="14.45" x14ac:dyDescent="0.3">
      <c r="A9" s="90"/>
      <c r="B9" s="85"/>
      <c r="C9" s="85"/>
    </row>
    <row r="10" spans="1:3" ht="14.45" x14ac:dyDescent="0.3">
      <c r="A10" s="90"/>
      <c r="B10" s="85"/>
      <c r="C10" s="85"/>
    </row>
    <row r="11" spans="1:3" ht="14.45" x14ac:dyDescent="0.3">
      <c r="A11" s="90"/>
      <c r="B11" s="85"/>
      <c r="C11" s="85"/>
    </row>
    <row r="12" spans="1:3" ht="14.45" x14ac:dyDescent="0.3">
      <c r="A12" s="90"/>
      <c r="B12" s="85"/>
      <c r="C12" s="85"/>
    </row>
    <row r="13" spans="1:3" ht="14.45" x14ac:dyDescent="0.3">
      <c r="A13" s="90"/>
      <c r="B13" s="85"/>
      <c r="C13" s="85"/>
    </row>
    <row r="14" spans="1:3" ht="14.45" x14ac:dyDescent="0.3">
      <c r="A14" s="90"/>
      <c r="B14" s="85"/>
      <c r="C14" s="85"/>
    </row>
    <row r="15" spans="1:3" ht="14.45" x14ac:dyDescent="0.3">
      <c r="A15" s="90"/>
      <c r="B15" s="85"/>
      <c r="C15" s="85"/>
    </row>
    <row r="16" spans="1:3" ht="14.45" x14ac:dyDescent="0.3">
      <c r="A16" s="90"/>
      <c r="B16" s="85"/>
      <c r="C16" s="85"/>
    </row>
    <row r="17" spans="1:3" ht="14.45" x14ac:dyDescent="0.3">
      <c r="A17" s="90"/>
      <c r="B17" s="85"/>
      <c r="C17" s="85"/>
    </row>
    <row r="18" spans="1:3" ht="14.45" x14ac:dyDescent="0.3">
      <c r="A18" s="90"/>
      <c r="B18" s="85"/>
      <c r="C18" s="85"/>
    </row>
    <row r="19" spans="1:3" ht="14.45" x14ac:dyDescent="0.3">
      <c r="A19" s="90"/>
      <c r="B19" s="85"/>
      <c r="C19" s="85"/>
    </row>
    <row r="20" spans="1:3" ht="14.45" x14ac:dyDescent="0.3">
      <c r="A20" s="90"/>
      <c r="B20" s="85"/>
      <c r="C20" s="85"/>
    </row>
    <row r="21" spans="1:3" ht="14.45" x14ac:dyDescent="0.3">
      <c r="A21" s="90"/>
      <c r="B21" s="85"/>
      <c r="C21" s="85"/>
    </row>
    <row r="22" spans="1:3" ht="14.45" x14ac:dyDescent="0.3">
      <c r="A22" s="90"/>
      <c r="B22" s="85"/>
      <c r="C22" s="85"/>
    </row>
    <row r="23" spans="1:3" ht="14.45" x14ac:dyDescent="0.3">
      <c r="A23" s="90"/>
      <c r="B23" s="85"/>
      <c r="C23" s="85"/>
    </row>
    <row r="24" spans="1:3" ht="14.45" x14ac:dyDescent="0.3">
      <c r="A24" s="90"/>
      <c r="B24" s="85"/>
      <c r="C24" s="85"/>
    </row>
    <row r="25" spans="1:3" ht="14.45" x14ac:dyDescent="0.3">
      <c r="A25" s="90"/>
      <c r="B25" s="85"/>
      <c r="C25" s="85"/>
    </row>
    <row r="26" spans="1:3" ht="14.45" x14ac:dyDescent="0.3">
      <c r="A26" s="90"/>
      <c r="B26" s="85"/>
      <c r="C26" s="85"/>
    </row>
    <row r="27" spans="1:3" ht="14.45" x14ac:dyDescent="0.3">
      <c r="A27" s="90"/>
      <c r="B27" s="85"/>
      <c r="C27" s="85"/>
    </row>
    <row r="28" spans="1:3" ht="14.45" x14ac:dyDescent="0.3">
      <c r="A28" s="90"/>
      <c r="B28" s="85"/>
      <c r="C28" s="85"/>
    </row>
    <row r="29" spans="1:3" ht="14.45" x14ac:dyDescent="0.3">
      <c r="A29" s="90"/>
      <c r="B29" s="85"/>
      <c r="C29" s="85"/>
    </row>
    <row r="30" spans="1:3" ht="14.45" x14ac:dyDescent="0.3">
      <c r="A30" s="90"/>
      <c r="B30" s="85"/>
      <c r="C30" s="85"/>
    </row>
    <row r="31" spans="1:3" ht="14.45" x14ac:dyDescent="0.3">
      <c r="A31" s="90"/>
      <c r="B31" s="85"/>
      <c r="C31" s="85"/>
    </row>
    <row r="32" spans="1:3" ht="14.45" x14ac:dyDescent="0.3">
      <c r="A32" s="90"/>
      <c r="B32" s="85"/>
      <c r="C32" s="85"/>
    </row>
    <row r="33" spans="1:3" ht="14.45" x14ac:dyDescent="0.3">
      <c r="A33" s="90"/>
      <c r="B33" s="85"/>
      <c r="C33" s="85"/>
    </row>
    <row r="34" spans="1:3" ht="14.45" x14ac:dyDescent="0.3">
      <c r="A34" s="90"/>
      <c r="B34" s="85"/>
      <c r="C34" s="85"/>
    </row>
    <row r="35" spans="1:3" x14ac:dyDescent="0.25">
      <c r="A35" s="90"/>
      <c r="B35" s="85"/>
      <c r="C35" s="85"/>
    </row>
    <row r="36" spans="1:3" x14ac:dyDescent="0.25">
      <c r="A36" s="90"/>
      <c r="B36" s="85"/>
      <c r="C36" s="85"/>
    </row>
    <row r="37" spans="1:3" x14ac:dyDescent="0.25">
      <c r="A37" s="90"/>
      <c r="B37" s="85"/>
      <c r="C37" s="85"/>
    </row>
    <row r="38" spans="1:3" x14ac:dyDescent="0.25">
      <c r="A38" s="90"/>
      <c r="B38" s="85"/>
      <c r="C38" s="85"/>
    </row>
    <row r="39" spans="1:3" x14ac:dyDescent="0.25">
      <c r="A39" s="90"/>
      <c r="B39" s="85"/>
      <c r="C39" s="85"/>
    </row>
    <row r="40" spans="1:3" x14ac:dyDescent="0.25">
      <c r="A40" s="90"/>
      <c r="B40" s="85"/>
      <c r="C40" s="85"/>
    </row>
    <row r="41" spans="1:3" x14ac:dyDescent="0.25">
      <c r="A41" s="90"/>
      <c r="B41" s="85"/>
      <c r="C41" s="85"/>
    </row>
    <row r="42" spans="1:3" x14ac:dyDescent="0.25">
      <c r="A42" s="90"/>
      <c r="B42" s="85"/>
      <c r="C42" s="85"/>
    </row>
    <row r="43" spans="1:3" x14ac:dyDescent="0.25">
      <c r="A43" s="90"/>
      <c r="B43" s="85"/>
      <c r="C43" s="85"/>
    </row>
    <row r="44" spans="1:3" x14ac:dyDescent="0.25">
      <c r="A44" s="90"/>
      <c r="B44" s="85"/>
      <c r="C44" s="85"/>
    </row>
    <row r="45" spans="1:3" x14ac:dyDescent="0.25">
      <c r="A45" s="90"/>
      <c r="B45" s="85"/>
      <c r="C45" s="85"/>
    </row>
    <row r="46" spans="1:3" x14ac:dyDescent="0.25">
      <c r="A46" s="90"/>
      <c r="B46" s="85"/>
      <c r="C46" s="85"/>
    </row>
    <row r="47" spans="1:3" x14ac:dyDescent="0.25">
      <c r="A47" s="90"/>
      <c r="B47" s="85"/>
      <c r="C47" s="85"/>
    </row>
    <row r="48" spans="1:3" x14ac:dyDescent="0.25">
      <c r="A48" s="90"/>
      <c r="B48" s="85"/>
      <c r="C48" s="85"/>
    </row>
    <row r="49" spans="1:3" x14ac:dyDescent="0.25">
      <c r="A49" s="90"/>
      <c r="B49" s="85"/>
      <c r="C49" s="85"/>
    </row>
    <row r="50" spans="1:3" x14ac:dyDescent="0.25">
      <c r="A50" s="90"/>
      <c r="B50" s="85"/>
      <c r="C50" s="85"/>
    </row>
    <row r="51" spans="1:3" x14ac:dyDescent="0.25">
      <c r="A51" s="90"/>
      <c r="B51" s="85"/>
      <c r="C51" s="85"/>
    </row>
    <row r="52" spans="1:3" x14ac:dyDescent="0.25">
      <c r="A52" s="90"/>
      <c r="B52" s="85"/>
      <c r="C52" s="85"/>
    </row>
    <row r="53" spans="1:3" x14ac:dyDescent="0.25">
      <c r="A53" s="90"/>
      <c r="B53" s="85"/>
      <c r="C53" s="85"/>
    </row>
    <row r="54" spans="1:3" x14ac:dyDescent="0.25">
      <c r="A54" s="90"/>
      <c r="B54" s="85"/>
      <c r="C54" s="85"/>
    </row>
    <row r="55" spans="1:3" x14ac:dyDescent="0.25">
      <c r="A55" s="90"/>
      <c r="B55" s="85"/>
      <c r="C55" s="85"/>
    </row>
    <row r="56" spans="1:3" x14ac:dyDescent="0.25">
      <c r="A56" s="90"/>
      <c r="B56" s="85"/>
      <c r="C56" s="85"/>
    </row>
    <row r="57" spans="1:3" x14ac:dyDescent="0.25">
      <c r="A57" s="90"/>
      <c r="B57" s="85"/>
      <c r="C57" s="85"/>
    </row>
    <row r="58" spans="1:3" x14ac:dyDescent="0.25">
      <c r="A58" s="90"/>
      <c r="B58" s="85"/>
      <c r="C58" s="85"/>
    </row>
    <row r="59" spans="1:3" x14ac:dyDescent="0.25">
      <c r="A59" s="90"/>
      <c r="B59" s="85"/>
      <c r="C59" s="85"/>
    </row>
    <row r="60" spans="1:3" x14ac:dyDescent="0.25">
      <c r="A60" s="90"/>
      <c r="B60" s="85"/>
      <c r="C60" s="85"/>
    </row>
    <row r="61" spans="1:3" x14ac:dyDescent="0.25">
      <c r="A61" s="90"/>
      <c r="B61" s="85"/>
      <c r="C61" s="85"/>
    </row>
    <row r="62" spans="1:3" x14ac:dyDescent="0.25">
      <c r="A62" s="90"/>
      <c r="B62" s="85"/>
      <c r="C62" s="85"/>
    </row>
    <row r="63" spans="1:3" x14ac:dyDescent="0.25">
      <c r="A63" s="90"/>
      <c r="B63" s="85"/>
      <c r="C63" s="85"/>
    </row>
    <row r="64" spans="1:3" x14ac:dyDescent="0.25">
      <c r="A64" s="90"/>
      <c r="B64" s="85"/>
      <c r="C64" s="85"/>
    </row>
    <row r="65" spans="1:3" x14ac:dyDescent="0.25">
      <c r="A65" s="90"/>
      <c r="B65" s="85"/>
      <c r="C65" s="85"/>
    </row>
    <row r="66" spans="1:3" x14ac:dyDescent="0.25">
      <c r="A66" s="90"/>
      <c r="B66" s="85"/>
      <c r="C66" s="85"/>
    </row>
    <row r="67" spans="1:3" x14ac:dyDescent="0.25">
      <c r="A67" s="90"/>
      <c r="B67" s="85"/>
      <c r="C67" s="85"/>
    </row>
    <row r="68" spans="1:3" ht="15.75" thickBot="1" x14ac:dyDescent="0.3">
      <c r="A68" s="91"/>
      <c r="B68" s="86"/>
      <c r="C68" s="8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Reporting</vt:lpstr>
      <vt:lpstr>RecordKeeping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Lynnette Thomas</cp:lastModifiedBy>
  <cp:lastPrinted>2016-03-31T21:12:59Z</cp:lastPrinted>
  <dcterms:created xsi:type="dcterms:W3CDTF">2011-04-25T16:43:00Z</dcterms:created>
  <dcterms:modified xsi:type="dcterms:W3CDTF">2016-12-13T21:17:29Z</dcterms:modified>
</cp:coreProperties>
</file>