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8800" windowHeight="12435" firstSheet="1" activeTab="1"/>
  </bookViews>
  <sheets>
    <sheet name="Sheet1" sheetId="1" state="hidden" r:id="rId1"/>
    <sheet name="Table A.1" sheetId="3" r:id="rId2"/>
    <sheet name="Table A.2" sheetId="4" r:id="rId3"/>
    <sheet name="Table A.3" sheetId="5" state="hidden" r:id="rId4"/>
    <sheet name="GSA Rates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3" l="1"/>
  <c r="C58" i="3" l="1"/>
  <c r="G58" i="3" s="1"/>
  <c r="D58" i="3"/>
  <c r="Q37" i="3" l="1"/>
  <c r="Q38" i="3" s="1"/>
  <c r="Q39" i="3" s="1"/>
  <c r="Q40" i="3" s="1"/>
  <c r="Q41" i="3" s="1"/>
  <c r="Q42" i="3" s="1"/>
  <c r="Q36" i="3"/>
  <c r="Q34" i="3"/>
  <c r="Q31" i="3"/>
  <c r="Q30" i="3"/>
  <c r="Q29" i="3"/>
  <c r="I23" i="3"/>
  <c r="I42" i="3"/>
  <c r="E6" i="5" l="1"/>
  <c r="D6" i="5"/>
  <c r="F4" i="5"/>
  <c r="E4" i="5"/>
  <c r="F3" i="5"/>
  <c r="E43" i="4"/>
  <c r="E42" i="4"/>
  <c r="E34" i="4"/>
  <c r="E35" i="4"/>
  <c r="E36" i="4"/>
  <c r="E37" i="4"/>
  <c r="E38" i="4"/>
  <c r="E39" i="4"/>
  <c r="E40" i="4"/>
  <c r="E41" i="4"/>
  <c r="E29" i="4"/>
  <c r="E30" i="4"/>
  <c r="E31" i="4"/>
  <c r="E33" i="4"/>
  <c r="E28" i="4"/>
  <c r="E13" i="4"/>
  <c r="E11" i="4"/>
  <c r="E12" i="4"/>
  <c r="E10" i="4"/>
  <c r="E16" i="4"/>
  <c r="E17" i="4"/>
  <c r="E18" i="4"/>
  <c r="E19" i="4"/>
  <c r="E20" i="4"/>
  <c r="E21" i="4"/>
  <c r="E22" i="4"/>
  <c r="E23" i="4"/>
  <c r="E24" i="4"/>
  <c r="E25" i="4"/>
  <c r="E15" i="4"/>
  <c r="F43" i="3"/>
  <c r="Q16" i="3"/>
  <c r="Q17" i="3"/>
  <c r="Q18" i="3"/>
  <c r="Q19" i="3"/>
  <c r="Q20" i="3"/>
  <c r="Q21" i="3"/>
  <c r="Q22" i="3"/>
  <c r="Q23" i="3"/>
  <c r="Q24" i="3"/>
  <c r="Q15" i="3"/>
  <c r="Q13" i="3"/>
  <c r="Q12" i="3"/>
  <c r="Q11" i="3"/>
  <c r="Q10" i="3"/>
  <c r="F32" i="3"/>
  <c r="E32" i="3"/>
  <c r="E44" i="3" s="1"/>
  <c r="F6" i="5" l="1"/>
  <c r="F44" i="3"/>
  <c r="Q25" i="3"/>
  <c r="K13" i="3"/>
  <c r="F13" i="3"/>
  <c r="F25" i="3" s="1"/>
  <c r="E13" i="3"/>
  <c r="E25" i="3" s="1"/>
  <c r="V48" i="3"/>
  <c r="U42" i="3"/>
  <c r="M42" i="3"/>
  <c r="E42" i="3"/>
  <c r="F42" i="3" s="1"/>
  <c r="H42" i="3" s="1"/>
  <c r="J42" i="3" s="1"/>
  <c r="V41" i="3"/>
  <c r="N41" i="3"/>
  <c r="I41" i="3"/>
  <c r="F41" i="3"/>
  <c r="H41" i="3" s="1"/>
  <c r="V40" i="3"/>
  <c r="N40" i="3"/>
  <c r="I40" i="3"/>
  <c r="F40" i="3"/>
  <c r="H40" i="3" s="1"/>
  <c r="V39" i="3"/>
  <c r="N39" i="3"/>
  <c r="I39" i="3"/>
  <c r="F39" i="3"/>
  <c r="H39" i="3" s="1"/>
  <c r="V38" i="3"/>
  <c r="N38" i="3"/>
  <c r="I38" i="3"/>
  <c r="F38" i="3"/>
  <c r="H38" i="3" s="1"/>
  <c r="V37" i="3"/>
  <c r="N37" i="3"/>
  <c r="I37" i="3"/>
  <c r="F37" i="3"/>
  <c r="H37" i="3" s="1"/>
  <c r="V36" i="3"/>
  <c r="N36" i="3"/>
  <c r="I36" i="3"/>
  <c r="F36" i="3"/>
  <c r="E36" i="3"/>
  <c r="K43" i="3" s="1"/>
  <c r="K44" i="3" s="1"/>
  <c r="V35" i="3"/>
  <c r="I35" i="3"/>
  <c r="H35" i="3"/>
  <c r="J35" i="3" s="1"/>
  <c r="P35" i="3" s="1"/>
  <c r="I34" i="3"/>
  <c r="H34" i="3"/>
  <c r="M31" i="3"/>
  <c r="O31" i="3" s="1"/>
  <c r="I31" i="3"/>
  <c r="H31" i="3"/>
  <c r="M30" i="3"/>
  <c r="O30" i="3" s="1"/>
  <c r="I30" i="3"/>
  <c r="H30" i="3"/>
  <c r="Q32" i="3"/>
  <c r="N29" i="3"/>
  <c r="M29" i="3"/>
  <c r="I29" i="3"/>
  <c r="H29" i="3"/>
  <c r="U23" i="3"/>
  <c r="M23" i="3"/>
  <c r="O23" i="3" s="1"/>
  <c r="J23" i="3"/>
  <c r="V22" i="3"/>
  <c r="I22" i="3"/>
  <c r="F22" i="3"/>
  <c r="H22" i="3" s="1"/>
  <c r="V21" i="3"/>
  <c r="N21" i="3"/>
  <c r="I21" i="3"/>
  <c r="F21" i="3"/>
  <c r="H21" i="3" s="1"/>
  <c r="V20" i="3"/>
  <c r="N20" i="3"/>
  <c r="I20" i="3"/>
  <c r="F20" i="3"/>
  <c r="H20" i="3" s="1"/>
  <c r="V19" i="3"/>
  <c r="N19" i="3"/>
  <c r="I19" i="3"/>
  <c r="F19" i="3"/>
  <c r="H19" i="3" s="1"/>
  <c r="V18" i="3"/>
  <c r="N18" i="3"/>
  <c r="I18" i="3"/>
  <c r="F18" i="3"/>
  <c r="H18" i="3" s="1"/>
  <c r="V17" i="3"/>
  <c r="N17" i="3"/>
  <c r="I17" i="3"/>
  <c r="F17" i="3"/>
  <c r="H17" i="3" s="1"/>
  <c r="V16" i="3"/>
  <c r="M16" i="3"/>
  <c r="O16" i="3" s="1"/>
  <c r="I16" i="3"/>
  <c r="H16" i="3"/>
  <c r="M15" i="3"/>
  <c r="O15" i="3" s="1"/>
  <c r="I15" i="3"/>
  <c r="H15" i="3"/>
  <c r="M12" i="3"/>
  <c r="O12" i="3" s="1"/>
  <c r="I12" i="3"/>
  <c r="H12" i="3"/>
  <c r="M11" i="3"/>
  <c r="O11" i="3" s="1"/>
  <c r="I11" i="3"/>
  <c r="H11" i="3"/>
  <c r="N10" i="3"/>
  <c r="M10" i="3"/>
  <c r="I10" i="3"/>
  <c r="H10" i="3"/>
  <c r="P23" i="3" l="1"/>
  <c r="R23" i="3" s="1"/>
  <c r="F23" i="4" s="1"/>
  <c r="J11" i="3"/>
  <c r="P11" i="3" s="1"/>
  <c r="R11" i="3" s="1"/>
  <c r="F11" i="4" s="1"/>
  <c r="J12" i="3"/>
  <c r="P12" i="3" s="1"/>
  <c r="R12" i="3" s="1"/>
  <c r="F12" i="4" s="1"/>
  <c r="J38" i="3"/>
  <c r="J15" i="3"/>
  <c r="P15" i="3" s="1"/>
  <c r="J17" i="3"/>
  <c r="J41" i="3"/>
  <c r="Q35" i="3"/>
  <c r="Q43" i="3" s="1"/>
  <c r="Q44" i="3" s="1"/>
  <c r="K17" i="3"/>
  <c r="E18" i="3" s="1"/>
  <c r="J16" i="3"/>
  <c r="P16" i="3" s="1"/>
  <c r="R16" i="3" s="1"/>
  <c r="F16" i="4" s="1"/>
  <c r="J29" i="3"/>
  <c r="O10" i="3"/>
  <c r="O13" i="3" s="1"/>
  <c r="J18" i="3"/>
  <c r="J20" i="3"/>
  <c r="J30" i="3"/>
  <c r="P30" i="3" s="1"/>
  <c r="R30" i="3" s="1"/>
  <c r="F29" i="4" s="1"/>
  <c r="J31" i="3"/>
  <c r="K36" i="3"/>
  <c r="M36" i="3" s="1"/>
  <c r="O36" i="3" s="1"/>
  <c r="J39" i="3"/>
  <c r="P31" i="3"/>
  <c r="R31" i="3" s="1"/>
  <c r="F30" i="4" s="1"/>
  <c r="V23" i="3"/>
  <c r="J21" i="3"/>
  <c r="O29" i="3"/>
  <c r="O32" i="3" s="1"/>
  <c r="H32" i="3"/>
  <c r="G32" i="3" s="1"/>
  <c r="J37" i="3"/>
  <c r="E45" i="3"/>
  <c r="H24" i="3"/>
  <c r="G24" i="3" s="1"/>
  <c r="H36" i="3"/>
  <c r="J36" i="3" s="1"/>
  <c r="T17" i="3"/>
  <c r="T18" i="3" s="1"/>
  <c r="T19" i="3" s="1"/>
  <c r="T20" i="3" s="1"/>
  <c r="T21" i="3" s="1"/>
  <c r="T22" i="3" s="1"/>
  <c r="J19" i="3"/>
  <c r="J22" i="3"/>
  <c r="V42" i="3"/>
  <c r="W42" i="3" s="1"/>
  <c r="J34" i="3"/>
  <c r="J40" i="3"/>
  <c r="M13" i="3"/>
  <c r="L13" i="3" s="1"/>
  <c r="M32" i="3"/>
  <c r="L32" i="3" s="1"/>
  <c r="H13" i="3"/>
  <c r="G13" i="3" s="1"/>
  <c r="J10" i="3"/>
  <c r="O42" i="3"/>
  <c r="P42" i="3" s="1"/>
  <c r="R42" i="3" s="1"/>
  <c r="F41" i="4" s="1"/>
  <c r="H43" i="3" l="1"/>
  <c r="H44" i="3" s="1"/>
  <c r="N13" i="3"/>
  <c r="M17" i="3"/>
  <c r="O17" i="3" s="1"/>
  <c r="J24" i="3"/>
  <c r="I24" i="3" s="1"/>
  <c r="N32" i="3"/>
  <c r="J32" i="3"/>
  <c r="P32" i="3" s="1"/>
  <c r="R35" i="3"/>
  <c r="F34" i="4" s="1"/>
  <c r="E37" i="3"/>
  <c r="K37" i="3" s="1"/>
  <c r="M37" i="3" s="1"/>
  <c r="H25" i="3"/>
  <c r="G25" i="3" s="1"/>
  <c r="F45" i="3"/>
  <c r="P29" i="3"/>
  <c r="R29" i="3" s="1"/>
  <c r="P10" i="3"/>
  <c r="J13" i="3"/>
  <c r="I13" i="3" s="1"/>
  <c r="G43" i="3"/>
  <c r="I32" i="3"/>
  <c r="R15" i="3"/>
  <c r="F15" i="4" s="1"/>
  <c r="J43" i="3"/>
  <c r="P34" i="3"/>
  <c r="K18" i="3"/>
  <c r="E19" i="3"/>
  <c r="P36" i="3"/>
  <c r="R36" i="3" s="1"/>
  <c r="F35" i="4" s="1"/>
  <c r="J44" i="3" l="1"/>
  <c r="J25" i="3"/>
  <c r="I25" i="3" s="1"/>
  <c r="E38" i="3"/>
  <c r="K38" i="3" s="1"/>
  <c r="M38" i="3" s="1"/>
  <c r="O38" i="3" s="1"/>
  <c r="P38" i="3" s="1"/>
  <c r="R38" i="3" s="1"/>
  <c r="F37" i="4" s="1"/>
  <c r="F28" i="4"/>
  <c r="R32" i="3"/>
  <c r="F31" i="4" s="1"/>
  <c r="M18" i="3"/>
  <c r="O18" i="3" s="1"/>
  <c r="P18" i="3" s="1"/>
  <c r="R18" i="3" s="1"/>
  <c r="F18" i="4" s="1"/>
  <c r="H45" i="3"/>
  <c r="I43" i="3"/>
  <c r="E20" i="3"/>
  <c r="K19" i="3"/>
  <c r="M19" i="3" s="1"/>
  <c r="O19" i="3" s="1"/>
  <c r="P19" i="3" s="1"/>
  <c r="R19" i="3" s="1"/>
  <c r="F19" i="4" s="1"/>
  <c r="G44" i="3"/>
  <c r="R34" i="3"/>
  <c r="F33" i="4" s="1"/>
  <c r="P17" i="3"/>
  <c r="O37" i="3"/>
  <c r="P13" i="3"/>
  <c r="R10" i="3"/>
  <c r="J45" i="3" l="1"/>
  <c r="I45" i="3" s="1"/>
  <c r="E39" i="3"/>
  <c r="K39" i="3" s="1"/>
  <c r="G45" i="3"/>
  <c r="R13" i="3"/>
  <c r="F13" i="4" s="1"/>
  <c r="F10" i="4"/>
  <c r="P37" i="3"/>
  <c r="M39" i="3"/>
  <c r="O39" i="3" s="1"/>
  <c r="P39" i="3" s="1"/>
  <c r="R39" i="3" s="1"/>
  <c r="F38" i="4" s="1"/>
  <c r="E40" i="3"/>
  <c r="K20" i="3"/>
  <c r="E21" i="3"/>
  <c r="R17" i="3"/>
  <c r="F17" i="4" s="1"/>
  <c r="I44" i="3"/>
  <c r="M20" i="3" l="1"/>
  <c r="O20" i="3" s="1"/>
  <c r="P20" i="3" s="1"/>
  <c r="R20" i="3" s="1"/>
  <c r="F20" i="4" s="1"/>
  <c r="E41" i="3"/>
  <c r="K41" i="3" s="1"/>
  <c r="K40" i="3"/>
  <c r="M40" i="3" s="1"/>
  <c r="E22" i="3"/>
  <c r="K22" i="3" s="1"/>
  <c r="M22" i="3" s="1"/>
  <c r="O22" i="3" s="1"/>
  <c r="P22" i="3" s="1"/>
  <c r="R22" i="3" s="1"/>
  <c r="F22" i="4" s="1"/>
  <c r="K21" i="3"/>
  <c r="M21" i="3" s="1"/>
  <c r="R37" i="3"/>
  <c r="F36" i="4" s="1"/>
  <c r="K25" i="3" l="1"/>
  <c r="C53" i="3" s="1"/>
  <c r="M41" i="3"/>
  <c r="O41" i="3" s="1"/>
  <c r="P41" i="3" s="1"/>
  <c r="R41" i="3" s="1"/>
  <c r="F40" i="4" s="1"/>
  <c r="D53" i="3"/>
  <c r="D57" i="3" s="1"/>
  <c r="O40" i="3"/>
  <c r="O21" i="3"/>
  <c r="M24" i="3"/>
  <c r="M25" i="3" l="1"/>
  <c r="L24" i="3"/>
  <c r="G57" i="3"/>
  <c r="M43" i="3"/>
  <c r="M44" i="3" s="1"/>
  <c r="D54" i="3" s="1"/>
  <c r="D56" i="3" s="1"/>
  <c r="K45" i="3"/>
  <c r="G53" i="3" s="1"/>
  <c r="P21" i="3"/>
  <c r="O24" i="3"/>
  <c r="L43" i="3"/>
  <c r="P40" i="3"/>
  <c r="O43" i="3"/>
  <c r="O44" i="3" s="1"/>
  <c r="O25" i="3" l="1"/>
  <c r="N25" i="3" s="1"/>
  <c r="N24" i="3"/>
  <c r="C54" i="3"/>
  <c r="C56" i="3" s="1"/>
  <c r="L25" i="3"/>
  <c r="N43" i="3"/>
  <c r="M45" i="3"/>
  <c r="G54" i="3" s="1"/>
  <c r="G56" i="3" s="1"/>
  <c r="R40" i="3"/>
  <c r="P43" i="3"/>
  <c r="P44" i="3" s="1"/>
  <c r="R21" i="3"/>
  <c r="P24" i="3"/>
  <c r="P25" i="3" s="1"/>
  <c r="C55" i="3" s="1"/>
  <c r="D55" i="3" l="1"/>
  <c r="P45" i="3"/>
  <c r="R24" i="3"/>
  <c r="R25" i="3" s="1"/>
  <c r="F21" i="4"/>
  <c r="R43" i="3"/>
  <c r="R44" i="3" s="1"/>
  <c r="F39" i="4"/>
  <c r="N44" i="3"/>
  <c r="O45" i="3"/>
  <c r="N45" i="3" l="1"/>
  <c r="G55" i="3"/>
  <c r="F25" i="4"/>
  <c r="F24" i="4"/>
  <c r="F42" i="4"/>
  <c r="F20" i="1"/>
  <c r="F21" i="1" s="1"/>
  <c r="F27" i="1"/>
  <c r="F32" i="1"/>
  <c r="K21" i="1"/>
  <c r="Q21" i="1"/>
  <c r="E21" i="1"/>
  <c r="F33" i="1"/>
  <c r="K33" i="1"/>
  <c r="E32" i="1"/>
  <c r="E33" i="1" s="1"/>
  <c r="E27" i="1"/>
  <c r="E20" i="1"/>
  <c r="E12" i="1"/>
  <c r="F12" i="1"/>
  <c r="Q55" i="1"/>
  <c r="Q54" i="1"/>
  <c r="Q53" i="1"/>
  <c r="Q52" i="1"/>
  <c r="Q51" i="1"/>
  <c r="Q50" i="1"/>
  <c r="Q49" i="1"/>
  <c r="Q48" i="1"/>
  <c r="Q47" i="1"/>
  <c r="Q44" i="1"/>
  <c r="Q43" i="1"/>
  <c r="Q42" i="1"/>
  <c r="Q41" i="1"/>
  <c r="Q40" i="1"/>
  <c r="Q39" i="1"/>
  <c r="Q38" i="1"/>
  <c r="Q37" i="1"/>
  <c r="Q36" i="1"/>
  <c r="Q31" i="1"/>
  <c r="Q30" i="1"/>
  <c r="Q29" i="1"/>
  <c r="Q25" i="1"/>
  <c r="Q26" i="1"/>
  <c r="Q24" i="1"/>
  <c r="Q15" i="1"/>
  <c r="Q16" i="1"/>
  <c r="Q17" i="1"/>
  <c r="Q18" i="1"/>
  <c r="Q19" i="1"/>
  <c r="Q14" i="1"/>
  <c r="Q7" i="1"/>
  <c r="Q8" i="1"/>
  <c r="Q9" i="1"/>
  <c r="Q10" i="1"/>
  <c r="Q11" i="1"/>
  <c r="Q6" i="1"/>
  <c r="N55" i="1"/>
  <c r="M55" i="1"/>
  <c r="E55" i="1"/>
  <c r="F55" i="1" s="1"/>
  <c r="H55" i="1" s="1"/>
  <c r="J55" i="1" s="1"/>
  <c r="N54" i="1"/>
  <c r="I54" i="1"/>
  <c r="N53" i="1"/>
  <c r="I53" i="1"/>
  <c r="N52" i="1"/>
  <c r="I52" i="1"/>
  <c r="N51" i="1"/>
  <c r="I51" i="1"/>
  <c r="N50" i="1"/>
  <c r="I50" i="1"/>
  <c r="N49" i="1"/>
  <c r="I49" i="1"/>
  <c r="E49" i="1"/>
  <c r="I48" i="1"/>
  <c r="H48" i="1"/>
  <c r="J48" i="1" s="1"/>
  <c r="P48" i="1" s="1"/>
  <c r="I47" i="1"/>
  <c r="H47" i="1"/>
  <c r="J47" i="1" s="1"/>
  <c r="V49" i="1"/>
  <c r="V50" i="1"/>
  <c r="V51" i="1"/>
  <c r="V52" i="1"/>
  <c r="V53" i="1"/>
  <c r="V54" i="1"/>
  <c r="V48" i="1"/>
  <c r="U55" i="1"/>
  <c r="M44" i="1"/>
  <c r="O44" i="1" s="1"/>
  <c r="J44" i="1"/>
  <c r="I43" i="1"/>
  <c r="F43" i="1"/>
  <c r="H43" i="1" s="1"/>
  <c r="J43" i="1" s="1"/>
  <c r="N42" i="1"/>
  <c r="I42" i="1"/>
  <c r="F42" i="1"/>
  <c r="H42" i="1" s="1"/>
  <c r="N41" i="1"/>
  <c r="I41" i="1"/>
  <c r="F41" i="1"/>
  <c r="H41" i="1" s="1"/>
  <c r="J41" i="1" s="1"/>
  <c r="N40" i="1"/>
  <c r="I40" i="1"/>
  <c r="F40" i="1"/>
  <c r="H40" i="1" s="1"/>
  <c r="N39" i="1"/>
  <c r="I39" i="1"/>
  <c r="F39" i="1"/>
  <c r="H39" i="1" s="1"/>
  <c r="J39" i="1" s="1"/>
  <c r="N38" i="1"/>
  <c r="I38" i="1"/>
  <c r="F38" i="1"/>
  <c r="H38" i="1" s="1"/>
  <c r="M37" i="1"/>
  <c r="O37" i="1" s="1"/>
  <c r="I37" i="1"/>
  <c r="H37" i="1"/>
  <c r="M36" i="1"/>
  <c r="I36" i="1"/>
  <c r="H36" i="1"/>
  <c r="M31" i="1"/>
  <c r="O31" i="1" s="1"/>
  <c r="I31" i="1"/>
  <c r="H31" i="1"/>
  <c r="J31" i="1" s="1"/>
  <c r="M30" i="1"/>
  <c r="O30" i="1" s="1"/>
  <c r="I30" i="1"/>
  <c r="H30" i="1"/>
  <c r="N29" i="1"/>
  <c r="M29" i="1"/>
  <c r="I29" i="1"/>
  <c r="H29" i="1"/>
  <c r="M26" i="1"/>
  <c r="O26" i="1" s="1"/>
  <c r="I26" i="1"/>
  <c r="H26" i="1"/>
  <c r="J26" i="1" s="1"/>
  <c r="M25" i="1"/>
  <c r="O25" i="1" s="1"/>
  <c r="I25" i="1"/>
  <c r="H25" i="1"/>
  <c r="N24" i="1"/>
  <c r="M24" i="1"/>
  <c r="I24" i="1"/>
  <c r="H24" i="1"/>
  <c r="M19" i="1"/>
  <c r="O19" i="1" s="1"/>
  <c r="I19" i="1"/>
  <c r="H19" i="1"/>
  <c r="M18" i="1"/>
  <c r="O18" i="1" s="1"/>
  <c r="I18" i="1"/>
  <c r="H18" i="1"/>
  <c r="M17" i="1"/>
  <c r="O17" i="1" s="1"/>
  <c r="I17" i="1"/>
  <c r="H17" i="1"/>
  <c r="M16" i="1"/>
  <c r="O16" i="1" s="1"/>
  <c r="I16" i="1"/>
  <c r="H16" i="1"/>
  <c r="M15" i="1"/>
  <c r="O15" i="1" s="1"/>
  <c r="I15" i="1"/>
  <c r="H15" i="1"/>
  <c r="N14" i="1"/>
  <c r="M14" i="1"/>
  <c r="I14" i="1"/>
  <c r="H14" i="1"/>
  <c r="M11" i="1"/>
  <c r="O11" i="1" s="1"/>
  <c r="I11" i="1"/>
  <c r="H11" i="1"/>
  <c r="M10" i="1"/>
  <c r="O10" i="1" s="1"/>
  <c r="I10" i="1"/>
  <c r="H10" i="1"/>
  <c r="M9" i="1"/>
  <c r="O9" i="1" s="1"/>
  <c r="I9" i="1"/>
  <c r="H9" i="1"/>
  <c r="M8" i="1"/>
  <c r="O8" i="1" s="1"/>
  <c r="H8" i="1"/>
  <c r="J8" i="1" s="1"/>
  <c r="M7" i="1"/>
  <c r="O7" i="1" s="1"/>
  <c r="I7" i="1"/>
  <c r="H7" i="1"/>
  <c r="N6" i="1"/>
  <c r="M6" i="1"/>
  <c r="I6" i="1"/>
  <c r="H6" i="1"/>
  <c r="J40" i="1" l="1"/>
  <c r="F45" i="1"/>
  <c r="P26" i="1"/>
  <c r="R26" i="1" s="1"/>
  <c r="J30" i="1"/>
  <c r="P30" i="1" s="1"/>
  <c r="F43" i="4"/>
  <c r="R45" i="3"/>
  <c r="F44" i="4" s="1"/>
  <c r="J11" i="1"/>
  <c r="P11" i="1" s="1"/>
  <c r="R11" i="1" s="1"/>
  <c r="J18" i="1"/>
  <c r="O6" i="1"/>
  <c r="O12" i="1" s="1"/>
  <c r="J7" i="1"/>
  <c r="O55" i="1"/>
  <c r="P55" i="1" s="1"/>
  <c r="R55" i="1" s="1"/>
  <c r="P7" i="1"/>
  <c r="R7" i="1" s="1"/>
  <c r="J10" i="1"/>
  <c r="O14" i="1"/>
  <c r="O20" i="1" s="1"/>
  <c r="O21" i="1" s="1"/>
  <c r="J17" i="1"/>
  <c r="P17" i="1" s="1"/>
  <c r="R17" i="1" s="1"/>
  <c r="M32" i="1"/>
  <c r="P44" i="1"/>
  <c r="R44" i="1" s="1"/>
  <c r="J6" i="1"/>
  <c r="H20" i="1"/>
  <c r="J16" i="1"/>
  <c r="J25" i="1"/>
  <c r="P31" i="1"/>
  <c r="M12" i="1"/>
  <c r="L12" i="1" s="1"/>
  <c r="J15" i="1"/>
  <c r="P15" i="1" s="1"/>
  <c r="R15" i="1" s="1"/>
  <c r="J19" i="1"/>
  <c r="M27" i="1"/>
  <c r="J29" i="1"/>
  <c r="J32" i="1" s="1"/>
  <c r="J38" i="1"/>
  <c r="J42" i="1"/>
  <c r="R31" i="1"/>
  <c r="R30" i="1"/>
  <c r="R48" i="1"/>
  <c r="P47" i="1"/>
  <c r="R47" i="1" s="1"/>
  <c r="P10" i="1"/>
  <c r="R10" i="1" s="1"/>
  <c r="M20" i="1"/>
  <c r="P16" i="1"/>
  <c r="R16" i="1" s="1"/>
  <c r="P18" i="1"/>
  <c r="R18" i="1" s="1"/>
  <c r="P19" i="1"/>
  <c r="R19" i="1" s="1"/>
  <c r="V55" i="1"/>
  <c r="W55" i="1" s="1"/>
  <c r="O24" i="1"/>
  <c r="O27" i="1" s="1"/>
  <c r="H32" i="1"/>
  <c r="O29" i="1"/>
  <c r="O32" i="1" s="1"/>
  <c r="J36" i="1"/>
  <c r="J37" i="1"/>
  <c r="P8" i="1"/>
  <c r="R8" i="1" s="1"/>
  <c r="J9" i="1"/>
  <c r="P9" i="1" s="1"/>
  <c r="R9" i="1" s="1"/>
  <c r="H27" i="1"/>
  <c r="G27" i="1" s="1"/>
  <c r="P37" i="1"/>
  <c r="R37" i="1" s="1"/>
  <c r="O36" i="1"/>
  <c r="K38" i="1"/>
  <c r="H45" i="1"/>
  <c r="G45" i="1" s="1"/>
  <c r="P25" i="1"/>
  <c r="R25" i="1" s="1"/>
  <c r="J24" i="1"/>
  <c r="N20" i="1"/>
  <c r="J14" i="1"/>
  <c r="H12" i="1"/>
  <c r="G12" i="1" s="1"/>
  <c r="N32" i="1" l="1"/>
  <c r="O33" i="1"/>
  <c r="L32" i="1"/>
  <c r="L33" i="1" s="1"/>
  <c r="M33" i="1"/>
  <c r="J45" i="1"/>
  <c r="I45" i="1" s="1"/>
  <c r="L20" i="1"/>
  <c r="L21" i="1" s="1"/>
  <c r="M21" i="1"/>
  <c r="G20" i="1"/>
  <c r="G21" i="1" s="1"/>
  <c r="H21" i="1"/>
  <c r="G32" i="1"/>
  <c r="G33" i="1" s="1"/>
  <c r="H33" i="1"/>
  <c r="J12" i="1"/>
  <c r="I12" i="1" s="1"/>
  <c r="P6" i="1"/>
  <c r="R6" i="1" s="1"/>
  <c r="R12" i="1" s="1"/>
  <c r="P29" i="1"/>
  <c r="R29" i="1" s="1"/>
  <c r="R32" i="1" s="1"/>
  <c r="N27" i="1"/>
  <c r="N12" i="1"/>
  <c r="N21" i="1" s="1"/>
  <c r="M38" i="1"/>
  <c r="E39" i="1"/>
  <c r="P36" i="1"/>
  <c r="P32" i="1"/>
  <c r="I32" i="1"/>
  <c r="I33" i="1" s="1"/>
  <c r="J27" i="1"/>
  <c r="I27" i="1" s="1"/>
  <c r="P24" i="1"/>
  <c r="P14" i="1"/>
  <c r="R14" i="1" s="1"/>
  <c r="R20" i="1" s="1"/>
  <c r="J20" i="1"/>
  <c r="J21" i="1" s="1"/>
  <c r="P12" i="1"/>
  <c r="J33" i="1" l="1"/>
  <c r="R21" i="1"/>
  <c r="N33" i="1"/>
  <c r="R36" i="1"/>
  <c r="K39" i="1"/>
  <c r="M39" i="1" s="1"/>
  <c r="O39" i="1" s="1"/>
  <c r="P39" i="1" s="1"/>
  <c r="R39" i="1" s="1"/>
  <c r="E40" i="1"/>
  <c r="O38" i="1"/>
  <c r="P27" i="1"/>
  <c r="P33" i="1" s="1"/>
  <c r="R24" i="1"/>
  <c r="R27" i="1" s="1"/>
  <c r="R33" i="1" s="1"/>
  <c r="P20" i="1"/>
  <c r="P21" i="1" s="1"/>
  <c r="I20" i="1"/>
  <c r="I21" i="1" s="1"/>
  <c r="K40" i="1" l="1"/>
  <c r="E41" i="1"/>
  <c r="P38" i="1"/>
  <c r="M40" i="1" l="1"/>
  <c r="R38" i="1"/>
  <c r="K41" i="1"/>
  <c r="M41" i="1" s="1"/>
  <c r="O41" i="1" s="1"/>
  <c r="P41" i="1" s="1"/>
  <c r="R41" i="1" s="1"/>
  <c r="E42" i="1"/>
  <c r="O40" i="1"/>
  <c r="K42" i="1" l="1"/>
  <c r="M42" i="1" s="1"/>
  <c r="E43" i="1"/>
  <c r="K43" i="1" s="1"/>
  <c r="M43" i="1" s="1"/>
  <c r="O43" i="1" s="1"/>
  <c r="P43" i="1" s="1"/>
  <c r="R43" i="1" s="1"/>
  <c r="P40" i="1"/>
  <c r="E45" i="1" l="1"/>
  <c r="R40" i="1"/>
  <c r="O42" i="1"/>
  <c r="M45" i="1"/>
  <c r="L45" i="1" l="1"/>
  <c r="P42" i="1"/>
  <c r="O45" i="1"/>
  <c r="N45" i="1" l="1"/>
  <c r="R42" i="1"/>
  <c r="R45" i="1" s="1"/>
  <c r="P45" i="1"/>
  <c r="L44" i="3" l="1"/>
  <c r="L45" i="3" l="1"/>
  <c r="R51" i="1"/>
  <c r="L57" i="1"/>
  <c r="R57" i="1"/>
  <c r="J51" i="1"/>
  <c r="R53" i="1"/>
  <c r="J54" i="1"/>
  <c r="G57" i="1"/>
  <c r="I56" i="1"/>
  <c r="L56" i="1"/>
  <c r="M57" i="1"/>
  <c r="N56" i="1"/>
  <c r="P50" i="1"/>
  <c r="R50" i="1"/>
  <c r="F56" i="1"/>
  <c r="F57" i="1"/>
  <c r="P56" i="1"/>
  <c r="P57" i="1"/>
  <c r="G56" i="1"/>
  <c r="H57" i="1"/>
  <c r="K56" i="1"/>
  <c r="K57" i="1"/>
  <c r="P52" i="1"/>
  <c r="R52" i="1"/>
  <c r="M51" i="1"/>
  <c r="O51" i="1"/>
  <c r="P51" i="1"/>
  <c r="M56" i="1"/>
  <c r="M50" i="1"/>
  <c r="O50" i="1"/>
  <c r="J56" i="1"/>
  <c r="J57" i="1"/>
  <c r="I57" i="1"/>
  <c r="P49" i="1"/>
  <c r="R49" i="1"/>
  <c r="R56" i="1"/>
  <c r="J49" i="1"/>
  <c r="H49" i="1"/>
  <c r="H56" i="1"/>
  <c r="M49" i="1"/>
  <c r="O49" i="1"/>
  <c r="O56" i="1"/>
  <c r="O57" i="1"/>
  <c r="N57" i="1"/>
  <c r="J50" i="1"/>
  <c r="F54" i="1"/>
  <c r="H54" i="1"/>
  <c r="F52" i="1"/>
  <c r="H52" i="1"/>
  <c r="J52" i="1"/>
  <c r="K54" i="1"/>
  <c r="M54" i="1"/>
  <c r="O54" i="1"/>
  <c r="P54" i="1"/>
  <c r="R54" i="1"/>
  <c r="F50" i="1"/>
  <c r="H50" i="1"/>
  <c r="E56" i="1"/>
  <c r="E57" i="1"/>
  <c r="F53" i="1"/>
  <c r="H53" i="1"/>
  <c r="J53" i="1"/>
  <c r="F51" i="1"/>
  <c r="H51" i="1"/>
  <c r="K53" i="1"/>
  <c r="M53" i="1"/>
  <c r="O53" i="1"/>
  <c r="P53" i="1"/>
  <c r="E53" i="1"/>
  <c r="E54" i="1"/>
  <c r="F49" i="1"/>
  <c r="K49" i="1"/>
  <c r="E50" i="1"/>
  <c r="K50" i="1"/>
  <c r="E51" i="1"/>
  <c r="K51" i="1"/>
  <c r="E52" i="1"/>
  <c r="K52" i="1"/>
  <c r="M52" i="1"/>
  <c r="O52" i="1"/>
</calcChain>
</file>

<file path=xl/comments1.xml><?xml version="1.0" encoding="utf-8"?>
<comments xmlns="http://schemas.openxmlformats.org/spreadsheetml/2006/main">
  <authors>
    <author>Samuel Kofi Ampaabeng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Samuel Kofi Ampaabeng:</t>
        </r>
        <r>
          <rPr>
            <sz val="9"/>
            <color indexed="81"/>
            <rFont val="Tahoma"/>
            <family val="2"/>
          </rPr>
          <t xml:space="preserve">
This assumes that the 2,010 does not include the time Regional FNS officer will expend in heling contact the SFAs within their regions.</t>
        </r>
      </text>
    </comment>
  </commentList>
</comments>
</file>

<file path=xl/sharedStrings.xml><?xml version="1.0" encoding="utf-8"?>
<sst xmlns="http://schemas.openxmlformats.org/spreadsheetml/2006/main" count="340" uniqueCount="108">
  <si>
    <t>Type of Respondent</t>
  </si>
  <si>
    <t>Data Collection Activity/Instrument</t>
  </si>
  <si>
    <t>Attachment ID</t>
  </si>
  <si>
    <t>Sample Size</t>
  </si>
  <si>
    <t>Responses</t>
  </si>
  <si>
    <t>Non-Responses</t>
  </si>
  <si>
    <t>Total (Respondents and Non-respondents)</t>
  </si>
  <si>
    <t>Hourly Wage</t>
  </si>
  <si>
    <t>Total Annualized Cost Burden</t>
  </si>
  <si>
    <t>Estimated Number of Respondents</t>
  </si>
  <si>
    <t>Frequency of Response</t>
  </si>
  <si>
    <t>Total Annual Responses</t>
  </si>
  <si>
    <t>Average Burden Hours per Response</t>
  </si>
  <si>
    <t>Total Burden Estimate (Hours)</t>
  </si>
  <si>
    <t>State Agency Directors</t>
  </si>
  <si>
    <t>Recruitment Email</t>
  </si>
  <si>
    <t>Recruitment Phone Call</t>
  </si>
  <si>
    <t>Interviews</t>
  </si>
  <si>
    <t>Follow-up Document Collection</t>
  </si>
  <si>
    <t>Follow-up Email</t>
  </si>
  <si>
    <t>Follow-up Interviews</t>
  </si>
  <si>
    <t>SFA Directors</t>
  </si>
  <si>
    <t>Sub-total for State Prelimary Systems Examination</t>
  </si>
  <si>
    <t>Sub-total for SFA Preliminary Systems Examination</t>
  </si>
  <si>
    <t>Cognitive Pre-testing</t>
  </si>
  <si>
    <t xml:space="preserve">Preliminary Examination of Systems </t>
  </si>
  <si>
    <t>Sub-total for Cognitive Pre-Testing</t>
  </si>
  <si>
    <t>Survey of State Agencies</t>
  </si>
  <si>
    <t>Advance Notice to State Directors</t>
  </si>
  <si>
    <t>B.1, B.1.1, B.1.2, B.1.3, B.3, B.10</t>
  </si>
  <si>
    <t>State Survey Email Invitation</t>
  </si>
  <si>
    <t>B.5</t>
  </si>
  <si>
    <t>Census Follow-up Email 1*</t>
  </si>
  <si>
    <t>B.7</t>
  </si>
  <si>
    <t>Census Follow-up Email 2*</t>
  </si>
  <si>
    <t>Census Follow-up Email 3*</t>
  </si>
  <si>
    <t>Census Follow-up Phone Call 1*</t>
  </si>
  <si>
    <t>B.9</t>
  </si>
  <si>
    <t>Census Follow-up Phone Call 2*</t>
  </si>
  <si>
    <t>Census Follow-up Phone Call 3*</t>
  </si>
  <si>
    <t>State Agency Survey</t>
  </si>
  <si>
    <t>B.12</t>
  </si>
  <si>
    <t>Sub-total for Survey of State Agencies</t>
  </si>
  <si>
    <t>Sub-total for  State Agencies</t>
  </si>
  <si>
    <t>-</t>
  </si>
  <si>
    <t>Survey</t>
  </si>
  <si>
    <t>Advance Notice to SFA Directors</t>
  </si>
  <si>
    <t>B.2, B.2.1, B.2.2, B.2.3, B.3</t>
  </si>
  <si>
    <t>SFA Survey Email Invitation</t>
  </si>
  <si>
    <t>B.4</t>
  </si>
  <si>
    <t>Survey Follow-up Email 1^</t>
  </si>
  <si>
    <t>B.6</t>
  </si>
  <si>
    <t xml:space="preserve">Survey Follow-up Email 2^ </t>
  </si>
  <si>
    <t xml:space="preserve">Survey Follow-up Email 3^ </t>
  </si>
  <si>
    <t>Survey Follow-up Phone Call 1^</t>
  </si>
  <si>
    <t>B.8</t>
  </si>
  <si>
    <t xml:space="preserve">Survey Follow-up Phone Call 2^ </t>
  </si>
  <si>
    <t xml:space="preserve">Survey Follow-up Phone Call 3^ </t>
  </si>
  <si>
    <t>SFA Survey</t>
  </si>
  <si>
    <t>B.13</t>
  </si>
  <si>
    <t>Sub-total for Survey of School Food Authorities</t>
  </si>
  <si>
    <t>Sub-total for School Food Authorities</t>
  </si>
  <si>
    <t>Position</t>
  </si>
  <si>
    <t>Rate</t>
  </si>
  <si>
    <t>SFA Director</t>
  </si>
  <si>
    <t>State Director</t>
  </si>
  <si>
    <t>FNS Senior Analyst (Head Office)</t>
  </si>
  <si>
    <t>FNS  Regional Office Staff</t>
  </si>
  <si>
    <t>States</t>
  </si>
  <si>
    <t>SFAs</t>
  </si>
  <si>
    <t>Sub-total for State Cognitive Pre-Testing</t>
  </si>
  <si>
    <t>Sub-total for SFA Cognitive Pre-Testing</t>
  </si>
  <si>
    <t>Sub-total for Surveys</t>
  </si>
  <si>
    <t>Total Burden</t>
  </si>
  <si>
    <t>Total Cognitive Pre-Testing</t>
  </si>
  <si>
    <t>Total Preliminary Systems Examination</t>
  </si>
  <si>
    <t>State Agencies</t>
  </si>
  <si>
    <t>Response Rates</t>
  </si>
  <si>
    <t>School Food Authorities</t>
  </si>
  <si>
    <t>Survey of School Food Authorities</t>
  </si>
  <si>
    <t>Grand Total Reporting Burden</t>
  </si>
  <si>
    <t>^ Assumes 11% of sampled SFAs will respond to the invitation email and complete the survey. Each email reminder will result in 8% response. Each subsequent phone call will yield 15% response rate.</t>
  </si>
  <si>
    <t>Total Hours</t>
  </si>
  <si>
    <t>Cognitive Pre-Testing of Survey</t>
  </si>
  <si>
    <t>Cognitive Pre-Testing</t>
  </si>
  <si>
    <t>Item</t>
  </si>
  <si>
    <t>Hours</t>
  </si>
  <si>
    <t>Total Cost</t>
  </si>
  <si>
    <t>FNS Regional Office</t>
  </si>
  <si>
    <t>Contract</t>
  </si>
  <si>
    <t>Total</t>
  </si>
  <si>
    <t>Non-Responsive</t>
  </si>
  <si>
    <t>Responsive</t>
  </si>
  <si>
    <t>Respondent Category</t>
  </si>
  <si>
    <t>State/ Local/ Tribal Government</t>
  </si>
  <si>
    <t>Total Hours(Respondents and Non-respondents)</t>
  </si>
  <si>
    <t>Electronic Responses</t>
  </si>
  <si>
    <t>Additional Calculations</t>
  </si>
  <si>
    <t>Small Entities</t>
  </si>
  <si>
    <t>Total Responses</t>
  </si>
  <si>
    <t># Respondents</t>
  </si>
  <si>
    <t>Attachment H: Sample Sizes, Estimated Burden, and Estimated Cost of Respondent Burden (Table)</t>
  </si>
  <si>
    <t>B.11</t>
  </si>
  <si>
    <t>B.3</t>
  </si>
  <si>
    <t>* Assumes 29% of States will respond to the invitation email, leading to 15 responses. Each subsequent follow-up email will yield an 8% response rate and phone call will yield a 15% response rate until all 51 State agencies respond.</t>
  </si>
  <si>
    <t>¥ 36 represents the State Nutrition Agencies that do not respond to the first email invitation and therefore are part of the sample that receives the first follow-up e-mail. This represents the maximum number of unique non-respondents. Similarly, 1,764 represents the unique number of SFA non-respondents to the survey invitation email .</t>
  </si>
  <si>
    <t>B.1, B.1.1, B.1.2, B.1.3</t>
  </si>
  <si>
    <t>B.2, B.2.1, B.2.2, B.2.3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</si>
</sst>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10" fillId="3" borderId="1" xfId="0" applyFont="1" applyFill="1" applyBorder="1" applyAlignment="1">
      <alignment horizontal="center"/>
    </xf>
    <xf numFmtId="164" fontId="9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15" fillId="4" borderId="1" xfId="0" applyFont="1" applyFill="1" applyBorder="1" applyAlignment="1">
      <alignment horizontal="center"/>
    </xf>
    <xf numFmtId="165" fontId="4" fillId="0" borderId="1" xfId="1" applyNumberFormat="1" applyFont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Fill="1"/>
    <xf numFmtId="2" fontId="8" fillId="0" borderId="0" xfId="0" applyNumberFormat="1" applyFont="1"/>
    <xf numFmtId="43" fontId="8" fillId="0" borderId="0" xfId="0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1" fontId="4" fillId="0" borderId="1" xfId="0" applyNumberFormat="1" applyFont="1" applyBorder="1"/>
    <xf numFmtId="4" fontId="4" fillId="0" borderId="1" xfId="0" applyNumberFormat="1" applyFont="1" applyBorder="1"/>
    <xf numFmtId="4" fontId="8" fillId="0" borderId="0" xfId="0" applyNumberFormat="1" applyFont="1" applyFill="1" applyAlignment="1">
      <alignment horizontal="center"/>
    </xf>
    <xf numFmtId="43" fontId="8" fillId="0" borderId="0" xfId="0" applyNumberFormat="1" applyFont="1"/>
    <xf numFmtId="0" fontId="14" fillId="0" borderId="4" xfId="0" applyFont="1" applyBorder="1" applyAlignment="1">
      <alignment wrapText="1"/>
    </xf>
    <xf numFmtId="0" fontId="14" fillId="0" borderId="4" xfId="0" applyFont="1" applyBorder="1" applyAlignment="1"/>
    <xf numFmtId="1" fontId="18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/>
    <xf numFmtId="0" fontId="3" fillId="0" borderId="1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" fontId="18" fillId="0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10" fillId="0" borderId="4" xfId="0" applyFont="1" applyBorder="1" applyAlignment="1"/>
    <xf numFmtId="164" fontId="2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56" sqref="L56"/>
    </sheetView>
  </sheetViews>
  <sheetFormatPr defaultRowHeight="14.25" x14ac:dyDescent="0.2"/>
  <cols>
    <col min="1" max="1" width="9.140625" style="48"/>
    <col min="2" max="2" width="18.85546875" style="48" bestFit="1" customWidth="1"/>
    <col min="3" max="3" width="29.28515625" style="48" bestFit="1" customWidth="1"/>
    <col min="4" max="4" width="9.140625" style="49"/>
    <col min="5" max="17" width="9.140625" style="48"/>
    <col min="18" max="18" width="10.28515625" style="48" customWidth="1"/>
    <col min="19" max="19" width="9.140625" style="48"/>
    <col min="20" max="23" width="0" style="48" hidden="1" customWidth="1"/>
    <col min="24" max="16384" width="9.140625" style="48"/>
  </cols>
  <sheetData>
    <row r="2" spans="2:18" x14ac:dyDescent="0.2">
      <c r="B2" s="124" t="s">
        <v>0</v>
      </c>
      <c r="C2" s="125" t="s">
        <v>1</v>
      </c>
      <c r="D2" s="126" t="s">
        <v>2</v>
      </c>
      <c r="E2" s="126" t="s">
        <v>3</v>
      </c>
      <c r="F2" s="127" t="s">
        <v>4</v>
      </c>
      <c r="G2" s="127"/>
      <c r="H2" s="127"/>
      <c r="I2" s="127"/>
      <c r="J2" s="127"/>
      <c r="K2" s="128" t="s">
        <v>5</v>
      </c>
      <c r="L2" s="128"/>
      <c r="M2" s="128"/>
      <c r="N2" s="128"/>
      <c r="O2" s="128"/>
      <c r="P2" s="122" t="s">
        <v>6</v>
      </c>
      <c r="Q2" s="122" t="s">
        <v>7</v>
      </c>
      <c r="R2" s="122" t="s">
        <v>8</v>
      </c>
    </row>
    <row r="3" spans="2:18" ht="64.5" x14ac:dyDescent="0.2">
      <c r="B3" s="124"/>
      <c r="C3" s="125"/>
      <c r="D3" s="126"/>
      <c r="E3" s="126"/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22"/>
      <c r="Q3" s="122"/>
      <c r="R3" s="122"/>
    </row>
    <row r="4" spans="2:18" ht="15" x14ac:dyDescent="0.25">
      <c r="B4" s="120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18" x14ac:dyDescent="0.2">
      <c r="B5" s="117" t="s">
        <v>68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2:18" x14ac:dyDescent="0.2">
      <c r="B6" s="2" t="s">
        <v>14</v>
      </c>
      <c r="C6" s="3" t="s">
        <v>15</v>
      </c>
      <c r="D6" s="123"/>
      <c r="E6" s="4">
        <v>4</v>
      </c>
      <c r="F6" s="4">
        <v>3</v>
      </c>
      <c r="G6" s="4">
        <v>1</v>
      </c>
      <c r="H6" s="5">
        <f t="shared" ref="H6:H11" si="0">F6*G6</f>
        <v>3</v>
      </c>
      <c r="I6" s="4">
        <f>ROUND(5/60,2)</f>
        <v>0.08</v>
      </c>
      <c r="J6" s="6">
        <f t="shared" ref="J6:J11" si="1">H6*I6</f>
        <v>0.24</v>
      </c>
      <c r="K6" s="4">
        <v>1</v>
      </c>
      <c r="L6" s="4">
        <v>1</v>
      </c>
      <c r="M6" s="7">
        <f t="shared" ref="M6:M11" si="2">K6*L6</f>
        <v>1</v>
      </c>
      <c r="N6" s="4">
        <f>ROUND(5/60,2)</f>
        <v>0.08</v>
      </c>
      <c r="O6" s="8">
        <f t="shared" ref="O6:O11" si="3">N6*M6</f>
        <v>0.08</v>
      </c>
      <c r="P6" s="6">
        <f t="shared" ref="P6:P20" si="4">SUM(J6,O6)</f>
        <v>0.32</v>
      </c>
      <c r="Q6" s="9">
        <f>'GSA Rates'!$D$5</f>
        <v>54.26</v>
      </c>
      <c r="R6" s="10">
        <f t="shared" ref="R6:R11" si="5">P6*Q6</f>
        <v>17.363199999999999</v>
      </c>
    </row>
    <row r="7" spans="2:18" x14ac:dyDescent="0.2">
      <c r="B7" s="2" t="s">
        <v>14</v>
      </c>
      <c r="C7" s="3" t="s">
        <v>16</v>
      </c>
      <c r="D7" s="123"/>
      <c r="E7" s="4">
        <v>3</v>
      </c>
      <c r="F7" s="4">
        <v>3</v>
      </c>
      <c r="G7" s="4">
        <v>1</v>
      </c>
      <c r="H7" s="5">
        <f t="shared" si="0"/>
        <v>3</v>
      </c>
      <c r="I7" s="4">
        <f>ROUND(5/60,2)</f>
        <v>0.08</v>
      </c>
      <c r="J7" s="6">
        <f t="shared" si="1"/>
        <v>0.24</v>
      </c>
      <c r="K7" s="4">
        <v>0</v>
      </c>
      <c r="L7" s="4">
        <v>0</v>
      </c>
      <c r="M7" s="7">
        <f t="shared" si="2"/>
        <v>0</v>
      </c>
      <c r="N7" s="4">
        <v>0</v>
      </c>
      <c r="O7" s="8">
        <f t="shared" si="3"/>
        <v>0</v>
      </c>
      <c r="P7" s="6">
        <f t="shared" si="4"/>
        <v>0.24</v>
      </c>
      <c r="Q7" s="9">
        <f>'GSA Rates'!$D$5</f>
        <v>54.26</v>
      </c>
      <c r="R7" s="10">
        <f t="shared" si="5"/>
        <v>13.022399999999999</v>
      </c>
    </row>
    <row r="8" spans="2:18" x14ac:dyDescent="0.2">
      <c r="B8" s="2" t="s">
        <v>14</v>
      </c>
      <c r="C8" s="3" t="s">
        <v>17</v>
      </c>
      <c r="D8" s="123"/>
      <c r="E8" s="4">
        <v>3</v>
      </c>
      <c r="F8" s="4">
        <v>3</v>
      </c>
      <c r="G8" s="4">
        <v>1</v>
      </c>
      <c r="H8" s="5">
        <f t="shared" si="0"/>
        <v>3</v>
      </c>
      <c r="I8" s="11">
        <v>1</v>
      </c>
      <c r="J8" s="6">
        <f t="shared" si="1"/>
        <v>3</v>
      </c>
      <c r="K8" s="4">
        <v>0</v>
      </c>
      <c r="L8" s="4">
        <v>0</v>
      </c>
      <c r="M8" s="7">
        <f t="shared" si="2"/>
        <v>0</v>
      </c>
      <c r="N8" s="7">
        <v>0</v>
      </c>
      <c r="O8" s="8">
        <f t="shared" si="3"/>
        <v>0</v>
      </c>
      <c r="P8" s="6">
        <f t="shared" si="4"/>
        <v>3</v>
      </c>
      <c r="Q8" s="9">
        <f>'GSA Rates'!$D$5</f>
        <v>54.26</v>
      </c>
      <c r="R8" s="10">
        <f t="shared" si="5"/>
        <v>162.78</v>
      </c>
    </row>
    <row r="9" spans="2:18" x14ac:dyDescent="0.2">
      <c r="B9" s="2" t="s">
        <v>14</v>
      </c>
      <c r="C9" s="3" t="s">
        <v>18</v>
      </c>
      <c r="D9" s="123"/>
      <c r="E9" s="4">
        <v>3</v>
      </c>
      <c r="F9" s="4">
        <v>3</v>
      </c>
      <c r="G9" s="4">
        <v>1</v>
      </c>
      <c r="H9" s="5">
        <f t="shared" si="0"/>
        <v>3</v>
      </c>
      <c r="I9" s="4">
        <f>ROUND(30/60,2)</f>
        <v>0.5</v>
      </c>
      <c r="J9" s="6">
        <f t="shared" si="1"/>
        <v>1.5</v>
      </c>
      <c r="K9" s="4">
        <v>0</v>
      </c>
      <c r="L9" s="4">
        <v>0</v>
      </c>
      <c r="M9" s="7">
        <f t="shared" si="2"/>
        <v>0</v>
      </c>
      <c r="N9" s="4">
        <v>0</v>
      </c>
      <c r="O9" s="8">
        <f t="shared" si="3"/>
        <v>0</v>
      </c>
      <c r="P9" s="6">
        <f t="shared" si="4"/>
        <v>1.5</v>
      </c>
      <c r="Q9" s="9">
        <f>'GSA Rates'!$D$5</f>
        <v>54.26</v>
      </c>
      <c r="R9" s="10">
        <f t="shared" si="5"/>
        <v>81.39</v>
      </c>
    </row>
    <row r="10" spans="2:18" x14ac:dyDescent="0.2">
      <c r="B10" s="2" t="s">
        <v>14</v>
      </c>
      <c r="C10" s="3" t="s">
        <v>19</v>
      </c>
      <c r="D10" s="123"/>
      <c r="E10" s="4">
        <v>3</v>
      </c>
      <c r="F10" s="4">
        <v>3</v>
      </c>
      <c r="G10" s="4">
        <v>1</v>
      </c>
      <c r="H10" s="5">
        <f t="shared" si="0"/>
        <v>3</v>
      </c>
      <c r="I10" s="4">
        <f>ROUND(5/60,2)</f>
        <v>0.08</v>
      </c>
      <c r="J10" s="6">
        <f t="shared" si="1"/>
        <v>0.24</v>
      </c>
      <c r="K10" s="4">
        <v>0</v>
      </c>
      <c r="L10" s="4">
        <v>0</v>
      </c>
      <c r="M10" s="7">
        <f t="shared" si="2"/>
        <v>0</v>
      </c>
      <c r="N10" s="4">
        <v>0</v>
      </c>
      <c r="O10" s="8">
        <f t="shared" si="3"/>
        <v>0</v>
      </c>
      <c r="P10" s="6">
        <f t="shared" si="4"/>
        <v>0.24</v>
      </c>
      <c r="Q10" s="9">
        <f>'GSA Rates'!$D$5</f>
        <v>54.26</v>
      </c>
      <c r="R10" s="10">
        <f t="shared" si="5"/>
        <v>13.022399999999999</v>
      </c>
    </row>
    <row r="11" spans="2:18" x14ac:dyDescent="0.2">
      <c r="B11" s="2" t="s">
        <v>14</v>
      </c>
      <c r="C11" s="3" t="s">
        <v>20</v>
      </c>
      <c r="D11" s="123"/>
      <c r="E11" s="4">
        <v>3</v>
      </c>
      <c r="F11" s="4">
        <v>3</v>
      </c>
      <c r="G11" s="4">
        <v>1</v>
      </c>
      <c r="H11" s="5">
        <f t="shared" si="0"/>
        <v>3</v>
      </c>
      <c r="I11" s="4">
        <f>ROUND(30/60,2)</f>
        <v>0.5</v>
      </c>
      <c r="J11" s="6">
        <f t="shared" si="1"/>
        <v>1.5</v>
      </c>
      <c r="K11" s="4">
        <v>0</v>
      </c>
      <c r="L11" s="4">
        <v>0</v>
      </c>
      <c r="M11" s="7">
        <f t="shared" si="2"/>
        <v>0</v>
      </c>
      <c r="N11" s="4">
        <v>0</v>
      </c>
      <c r="O11" s="8">
        <f t="shared" si="3"/>
        <v>0</v>
      </c>
      <c r="P11" s="6">
        <f t="shared" si="4"/>
        <v>1.5</v>
      </c>
      <c r="Q11" s="9">
        <f>'GSA Rates'!$D$5</f>
        <v>54.26</v>
      </c>
      <c r="R11" s="10">
        <f t="shared" si="5"/>
        <v>81.39</v>
      </c>
    </row>
    <row r="12" spans="2:18" x14ac:dyDescent="0.2">
      <c r="B12" s="107" t="s">
        <v>22</v>
      </c>
      <c r="C12" s="107"/>
      <c r="D12" s="123"/>
      <c r="E12" s="12">
        <f>MAX(E6:E11)</f>
        <v>4</v>
      </c>
      <c r="F12" s="12">
        <f>MAX(F6:F11)</f>
        <v>3</v>
      </c>
      <c r="G12" s="12">
        <f>H12/F12</f>
        <v>6</v>
      </c>
      <c r="H12" s="13">
        <f>SUM(H6:H11)</f>
        <v>18</v>
      </c>
      <c r="I12" s="12">
        <f>ROUND(J12/H12,2)</f>
        <v>0.37</v>
      </c>
      <c r="J12" s="14">
        <f>SUM(J6:J11)</f>
        <v>6.7200000000000006</v>
      </c>
      <c r="K12" s="12">
        <v>1</v>
      </c>
      <c r="L12" s="12">
        <f>M12/K12</f>
        <v>1</v>
      </c>
      <c r="M12" s="15">
        <f>SUM(M6:M11)</f>
        <v>1</v>
      </c>
      <c r="N12" s="12">
        <f>O12/M12</f>
        <v>0.08</v>
      </c>
      <c r="O12" s="16">
        <f>SUM(O6:O11)</f>
        <v>0.08</v>
      </c>
      <c r="P12" s="14">
        <f t="shared" si="4"/>
        <v>6.8000000000000007</v>
      </c>
      <c r="Q12" s="17"/>
      <c r="R12" s="18">
        <f>SUM(R6:R11)</f>
        <v>368.96799999999996</v>
      </c>
    </row>
    <row r="13" spans="2:18" x14ac:dyDescent="0.2">
      <c r="B13" s="107" t="s">
        <v>69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spans="2:18" x14ac:dyDescent="0.2">
      <c r="B14" s="19" t="s">
        <v>21</v>
      </c>
      <c r="C14" s="20" t="s">
        <v>15</v>
      </c>
      <c r="D14" s="119"/>
      <c r="E14" s="21">
        <v>8</v>
      </c>
      <c r="F14" s="4">
        <v>6</v>
      </c>
      <c r="G14" s="4">
        <v>1</v>
      </c>
      <c r="H14" s="5">
        <f t="shared" ref="H14:H19" si="6">F14*G14</f>
        <v>6</v>
      </c>
      <c r="I14" s="11">
        <f>ROUND(5/60,2)</f>
        <v>0.08</v>
      </c>
      <c r="J14" s="6">
        <f t="shared" ref="J14:J19" si="7">H14*I14</f>
        <v>0.48</v>
      </c>
      <c r="K14" s="4">
        <v>2</v>
      </c>
      <c r="L14" s="4">
        <v>1</v>
      </c>
      <c r="M14" s="7">
        <f t="shared" ref="M14:M19" si="8">K14*L14</f>
        <v>2</v>
      </c>
      <c r="N14" s="4">
        <f>ROUND(5/60,2)</f>
        <v>0.08</v>
      </c>
      <c r="O14" s="8">
        <f t="shared" ref="O14:O19" si="9">N14*M14</f>
        <v>0.16</v>
      </c>
      <c r="P14" s="6">
        <f t="shared" si="4"/>
        <v>0.64</v>
      </c>
      <c r="Q14" s="9">
        <f>'GSA Rates'!$D$4</f>
        <v>26.95</v>
      </c>
      <c r="R14" s="10">
        <f t="shared" ref="R14:R19" si="10">P14*Q14</f>
        <v>17.248000000000001</v>
      </c>
    </row>
    <row r="15" spans="2:18" x14ac:dyDescent="0.2">
      <c r="B15" s="19" t="s">
        <v>21</v>
      </c>
      <c r="C15" s="20" t="s">
        <v>16</v>
      </c>
      <c r="D15" s="119"/>
      <c r="E15" s="21">
        <v>6</v>
      </c>
      <c r="F15" s="4">
        <v>6</v>
      </c>
      <c r="G15" s="4">
        <v>1</v>
      </c>
      <c r="H15" s="5">
        <f t="shared" si="6"/>
        <v>6</v>
      </c>
      <c r="I15" s="11">
        <f>ROUND(5/60,2)</f>
        <v>0.08</v>
      </c>
      <c r="J15" s="6">
        <f t="shared" si="7"/>
        <v>0.48</v>
      </c>
      <c r="K15" s="4">
        <v>0</v>
      </c>
      <c r="L15" s="4">
        <v>0</v>
      </c>
      <c r="M15" s="7">
        <f t="shared" si="8"/>
        <v>0</v>
      </c>
      <c r="N15" s="4">
        <v>0</v>
      </c>
      <c r="O15" s="8">
        <f t="shared" si="9"/>
        <v>0</v>
      </c>
      <c r="P15" s="6">
        <f t="shared" si="4"/>
        <v>0.48</v>
      </c>
      <c r="Q15" s="9">
        <f>'GSA Rates'!$D$4</f>
        <v>26.95</v>
      </c>
      <c r="R15" s="10">
        <f t="shared" si="10"/>
        <v>12.936</v>
      </c>
    </row>
    <row r="16" spans="2:18" x14ac:dyDescent="0.2">
      <c r="B16" s="19" t="s">
        <v>21</v>
      </c>
      <c r="C16" s="20" t="s">
        <v>17</v>
      </c>
      <c r="D16" s="119"/>
      <c r="E16" s="21">
        <v>6</v>
      </c>
      <c r="F16" s="4">
        <v>6</v>
      </c>
      <c r="G16" s="4">
        <v>1</v>
      </c>
      <c r="H16" s="5">
        <f t="shared" si="6"/>
        <v>6</v>
      </c>
      <c r="I16" s="11">
        <f>ROUND(60/60,2)</f>
        <v>1</v>
      </c>
      <c r="J16" s="6">
        <f t="shared" si="7"/>
        <v>6</v>
      </c>
      <c r="K16" s="4">
        <v>0</v>
      </c>
      <c r="L16" s="4">
        <v>0</v>
      </c>
      <c r="M16" s="7">
        <f t="shared" si="8"/>
        <v>0</v>
      </c>
      <c r="N16" s="4">
        <v>0</v>
      </c>
      <c r="O16" s="8">
        <f t="shared" si="9"/>
        <v>0</v>
      </c>
      <c r="P16" s="6">
        <f t="shared" si="4"/>
        <v>6</v>
      </c>
      <c r="Q16" s="9">
        <f>'GSA Rates'!$D$4</f>
        <v>26.95</v>
      </c>
      <c r="R16" s="10">
        <f t="shared" si="10"/>
        <v>161.69999999999999</v>
      </c>
    </row>
    <row r="17" spans="2:18" x14ac:dyDescent="0.2">
      <c r="B17" s="19" t="s">
        <v>21</v>
      </c>
      <c r="C17" s="20" t="s">
        <v>18</v>
      </c>
      <c r="D17" s="119"/>
      <c r="E17" s="21">
        <v>6</v>
      </c>
      <c r="F17" s="4">
        <v>6</v>
      </c>
      <c r="G17" s="4">
        <v>1</v>
      </c>
      <c r="H17" s="5">
        <f t="shared" si="6"/>
        <v>6</v>
      </c>
      <c r="I17" s="11">
        <f>ROUND(30/60,2)</f>
        <v>0.5</v>
      </c>
      <c r="J17" s="6">
        <f t="shared" si="7"/>
        <v>3</v>
      </c>
      <c r="K17" s="4">
        <v>0</v>
      </c>
      <c r="L17" s="4">
        <v>0</v>
      </c>
      <c r="M17" s="7">
        <f t="shared" si="8"/>
        <v>0</v>
      </c>
      <c r="N17" s="4">
        <v>0</v>
      </c>
      <c r="O17" s="8">
        <f t="shared" si="9"/>
        <v>0</v>
      </c>
      <c r="P17" s="6">
        <f t="shared" si="4"/>
        <v>3</v>
      </c>
      <c r="Q17" s="9">
        <f>'GSA Rates'!$D$4</f>
        <v>26.95</v>
      </c>
      <c r="R17" s="10">
        <f t="shared" si="10"/>
        <v>80.849999999999994</v>
      </c>
    </row>
    <row r="18" spans="2:18" x14ac:dyDescent="0.2">
      <c r="B18" s="19" t="s">
        <v>21</v>
      </c>
      <c r="C18" s="20" t="s">
        <v>19</v>
      </c>
      <c r="D18" s="119"/>
      <c r="E18" s="21">
        <v>6</v>
      </c>
      <c r="F18" s="4">
        <v>6</v>
      </c>
      <c r="G18" s="4">
        <v>1</v>
      </c>
      <c r="H18" s="5">
        <f t="shared" si="6"/>
        <v>6</v>
      </c>
      <c r="I18" s="11">
        <f>ROUND(5/60,2)</f>
        <v>0.08</v>
      </c>
      <c r="J18" s="6">
        <f t="shared" si="7"/>
        <v>0.48</v>
      </c>
      <c r="K18" s="4">
        <v>0</v>
      </c>
      <c r="L18" s="4">
        <v>0</v>
      </c>
      <c r="M18" s="7">
        <f t="shared" si="8"/>
        <v>0</v>
      </c>
      <c r="N18" s="4">
        <v>0</v>
      </c>
      <c r="O18" s="8">
        <f t="shared" si="9"/>
        <v>0</v>
      </c>
      <c r="P18" s="6">
        <f t="shared" si="4"/>
        <v>0.48</v>
      </c>
      <c r="Q18" s="9">
        <f>'GSA Rates'!$D$4</f>
        <v>26.95</v>
      </c>
      <c r="R18" s="10">
        <f t="shared" si="10"/>
        <v>12.936</v>
      </c>
    </row>
    <row r="19" spans="2:18" x14ac:dyDescent="0.2">
      <c r="B19" s="19" t="s">
        <v>21</v>
      </c>
      <c r="C19" s="20" t="s">
        <v>20</v>
      </c>
      <c r="D19" s="119"/>
      <c r="E19" s="21">
        <v>6</v>
      </c>
      <c r="F19" s="4">
        <v>6</v>
      </c>
      <c r="G19" s="4">
        <v>1</v>
      </c>
      <c r="H19" s="5">
        <f t="shared" si="6"/>
        <v>6</v>
      </c>
      <c r="I19" s="11">
        <f>ROUND(30/60,2)</f>
        <v>0.5</v>
      </c>
      <c r="J19" s="6">
        <f t="shared" si="7"/>
        <v>3</v>
      </c>
      <c r="K19" s="4">
        <v>0</v>
      </c>
      <c r="L19" s="4">
        <v>0</v>
      </c>
      <c r="M19" s="7">
        <f t="shared" si="8"/>
        <v>0</v>
      </c>
      <c r="N19" s="4">
        <v>0</v>
      </c>
      <c r="O19" s="8">
        <f t="shared" si="9"/>
        <v>0</v>
      </c>
      <c r="P19" s="6">
        <f t="shared" si="4"/>
        <v>3</v>
      </c>
      <c r="Q19" s="9">
        <f>'GSA Rates'!$D$4</f>
        <v>26.95</v>
      </c>
      <c r="R19" s="10">
        <f t="shared" si="10"/>
        <v>80.849999999999994</v>
      </c>
    </row>
    <row r="20" spans="2:18" x14ac:dyDescent="0.2">
      <c r="B20" s="107" t="s">
        <v>23</v>
      </c>
      <c r="C20" s="107"/>
      <c r="D20" s="119"/>
      <c r="E20" s="12">
        <f>MAX(E14:E19)</f>
        <v>8</v>
      </c>
      <c r="F20" s="12">
        <f>MAX(F14:F19)</f>
        <v>6</v>
      </c>
      <c r="G20" s="22">
        <f>H20/F20</f>
        <v>6</v>
      </c>
      <c r="H20" s="23">
        <f>SUM(H14:H19)</f>
        <v>36</v>
      </c>
      <c r="I20" s="22">
        <f>ROUND(J20/H20,2)</f>
        <v>0.37</v>
      </c>
      <c r="J20" s="24">
        <f>SUM(J14:J19)</f>
        <v>13.440000000000001</v>
      </c>
      <c r="K20" s="12">
        <v>2</v>
      </c>
      <c r="L20" s="22">
        <f>M20/K20</f>
        <v>1</v>
      </c>
      <c r="M20" s="23">
        <f>SUM(M14:M19)</f>
        <v>2</v>
      </c>
      <c r="N20" s="22">
        <f>O20/M20</f>
        <v>0.08</v>
      </c>
      <c r="O20" s="24">
        <f>SUM(O14:O19)</f>
        <v>0.16</v>
      </c>
      <c r="P20" s="14">
        <f t="shared" si="4"/>
        <v>13.600000000000001</v>
      </c>
      <c r="Q20" s="25"/>
      <c r="R20" s="26">
        <f>SUM(R14:R19)</f>
        <v>366.52</v>
      </c>
    </row>
    <row r="21" spans="2:18" x14ac:dyDescent="0.2">
      <c r="B21" s="111" t="s">
        <v>75</v>
      </c>
      <c r="C21" s="112"/>
      <c r="D21" s="113"/>
      <c r="E21" s="12">
        <f>SUM(E20,E12)</f>
        <v>12</v>
      </c>
      <c r="F21" s="12">
        <f t="shared" ref="F21:R21" si="11">SUM(F20,F12)</f>
        <v>9</v>
      </c>
      <c r="G21" s="12">
        <f t="shared" si="11"/>
        <v>12</v>
      </c>
      <c r="H21" s="12">
        <f t="shared" si="11"/>
        <v>54</v>
      </c>
      <c r="I21" s="12">
        <f t="shared" si="11"/>
        <v>0.74</v>
      </c>
      <c r="J21" s="12">
        <f t="shared" si="11"/>
        <v>20.160000000000004</v>
      </c>
      <c r="K21" s="12">
        <f t="shared" si="11"/>
        <v>3</v>
      </c>
      <c r="L21" s="12">
        <f t="shared" si="11"/>
        <v>2</v>
      </c>
      <c r="M21" s="12">
        <f t="shared" si="11"/>
        <v>3</v>
      </c>
      <c r="N21" s="12">
        <f t="shared" si="11"/>
        <v>0.16</v>
      </c>
      <c r="O21" s="12">
        <f t="shared" si="11"/>
        <v>0.24</v>
      </c>
      <c r="P21" s="12">
        <f t="shared" si="11"/>
        <v>20.400000000000002</v>
      </c>
      <c r="Q21" s="12">
        <f t="shared" si="11"/>
        <v>0</v>
      </c>
      <c r="R21" s="18">
        <f t="shared" si="11"/>
        <v>735.48799999999994</v>
      </c>
    </row>
    <row r="22" spans="2:18" ht="15" x14ac:dyDescent="0.25">
      <c r="B22" s="120" t="s">
        <v>24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2:18" x14ac:dyDescent="0.2">
      <c r="B23" s="117" t="s">
        <v>68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2:18" x14ac:dyDescent="0.2">
      <c r="B24" s="19" t="s">
        <v>14</v>
      </c>
      <c r="C24" s="20" t="s">
        <v>15</v>
      </c>
      <c r="D24" s="119"/>
      <c r="E24" s="21">
        <v>4</v>
      </c>
      <c r="F24" s="4">
        <v>3</v>
      </c>
      <c r="G24" s="4">
        <v>1</v>
      </c>
      <c r="H24" s="5">
        <f t="shared" ref="H24:H26" si="12">F24*G24</f>
        <v>3</v>
      </c>
      <c r="I24" s="4">
        <f>ROUND(5/60,2)</f>
        <v>0.08</v>
      </c>
      <c r="J24" s="6">
        <f t="shared" ref="J24:J26" si="13">H24*I24</f>
        <v>0.24</v>
      </c>
      <c r="K24" s="4">
        <v>1</v>
      </c>
      <c r="L24" s="4">
        <v>1</v>
      </c>
      <c r="M24" s="7">
        <f t="shared" ref="M24:M26" si="14">K24*L24</f>
        <v>1</v>
      </c>
      <c r="N24" s="4">
        <f>ROUND(5/60,2)</f>
        <v>0.08</v>
      </c>
      <c r="O24" s="8">
        <f t="shared" ref="O24:O26" si="15">N24*M24</f>
        <v>0.08</v>
      </c>
      <c r="P24" s="6">
        <f t="shared" ref="P24:P26" si="16">SUM(J24,O24)</f>
        <v>0.32</v>
      </c>
      <c r="Q24" s="9">
        <f>'GSA Rates'!$D$5</f>
        <v>54.26</v>
      </c>
      <c r="R24" s="10">
        <f t="shared" ref="R24:R26" si="17">P24*Q24</f>
        <v>17.363199999999999</v>
      </c>
    </row>
    <row r="25" spans="2:18" x14ac:dyDescent="0.2">
      <c r="B25" s="19" t="s">
        <v>14</v>
      </c>
      <c r="C25" s="20" t="s">
        <v>16</v>
      </c>
      <c r="D25" s="119"/>
      <c r="E25" s="21">
        <v>3</v>
      </c>
      <c r="F25" s="4">
        <v>3</v>
      </c>
      <c r="G25" s="4">
        <v>1</v>
      </c>
      <c r="H25" s="5">
        <f t="shared" si="12"/>
        <v>3</v>
      </c>
      <c r="I25" s="4">
        <f>ROUND(5/60,2)</f>
        <v>0.08</v>
      </c>
      <c r="J25" s="6">
        <f t="shared" si="13"/>
        <v>0.24</v>
      </c>
      <c r="K25" s="4">
        <v>0</v>
      </c>
      <c r="L25" s="4">
        <v>0</v>
      </c>
      <c r="M25" s="7">
        <f t="shared" si="14"/>
        <v>0</v>
      </c>
      <c r="N25" s="4">
        <v>0</v>
      </c>
      <c r="O25" s="8">
        <f t="shared" si="15"/>
        <v>0</v>
      </c>
      <c r="P25" s="6">
        <f t="shared" si="16"/>
        <v>0.24</v>
      </c>
      <c r="Q25" s="9">
        <f>'GSA Rates'!$D$5</f>
        <v>54.26</v>
      </c>
      <c r="R25" s="10">
        <f t="shared" si="17"/>
        <v>13.022399999999999</v>
      </c>
    </row>
    <row r="26" spans="2:18" x14ac:dyDescent="0.2">
      <c r="B26" s="19" t="s">
        <v>14</v>
      </c>
      <c r="C26" s="20" t="s">
        <v>17</v>
      </c>
      <c r="D26" s="119"/>
      <c r="E26" s="21">
        <v>3</v>
      </c>
      <c r="F26" s="4">
        <v>3</v>
      </c>
      <c r="G26" s="4">
        <v>1</v>
      </c>
      <c r="H26" s="5">
        <f t="shared" si="12"/>
        <v>3</v>
      </c>
      <c r="I26" s="11">
        <f>ROUND(180/60,2)</f>
        <v>3</v>
      </c>
      <c r="J26" s="6">
        <f t="shared" si="13"/>
        <v>9</v>
      </c>
      <c r="K26" s="4">
        <v>0</v>
      </c>
      <c r="L26" s="4">
        <v>0</v>
      </c>
      <c r="M26" s="7">
        <f t="shared" si="14"/>
        <v>0</v>
      </c>
      <c r="N26" s="4">
        <v>0</v>
      </c>
      <c r="O26" s="8">
        <f t="shared" si="15"/>
        <v>0</v>
      </c>
      <c r="P26" s="6">
        <f t="shared" si="16"/>
        <v>9</v>
      </c>
      <c r="Q26" s="9">
        <f>'GSA Rates'!$D$5</f>
        <v>54.26</v>
      </c>
      <c r="R26" s="10">
        <f t="shared" si="17"/>
        <v>488.34</v>
      </c>
    </row>
    <row r="27" spans="2:18" x14ac:dyDescent="0.2">
      <c r="B27" s="118" t="s">
        <v>70</v>
      </c>
      <c r="C27" s="118"/>
      <c r="D27" s="119"/>
      <c r="E27" s="27">
        <f>MAX(E24:E26)</f>
        <v>4</v>
      </c>
      <c r="F27" s="12">
        <f>MAX(F24:F26)</f>
        <v>3</v>
      </c>
      <c r="G27" s="12">
        <f>H27/F27</f>
        <v>3</v>
      </c>
      <c r="H27" s="13">
        <f>SUM(H24:H26)</f>
        <v>9</v>
      </c>
      <c r="I27" s="12">
        <f>ROUND(J27/H27,2)</f>
        <v>1.05</v>
      </c>
      <c r="J27" s="14">
        <f>SUM(J24:J26)</f>
        <v>9.48</v>
      </c>
      <c r="K27" s="12">
        <v>1</v>
      </c>
      <c r="L27" s="12">
        <v>1</v>
      </c>
      <c r="M27" s="15">
        <f>SUM(M24:M26)</f>
        <v>1</v>
      </c>
      <c r="N27" s="12">
        <f>O27/M27</f>
        <v>0.08</v>
      </c>
      <c r="O27" s="16">
        <f>SUM(O24:O26)</f>
        <v>0.08</v>
      </c>
      <c r="P27" s="14">
        <f>SUM(P24:P26)</f>
        <v>9.56</v>
      </c>
      <c r="Q27" s="17"/>
      <c r="R27" s="18">
        <f>SUM(R24:R26)</f>
        <v>518.72559999999999</v>
      </c>
    </row>
    <row r="28" spans="2:18" x14ac:dyDescent="0.2">
      <c r="B28" s="118" t="s">
        <v>69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2:18" x14ac:dyDescent="0.2">
      <c r="B29" s="19" t="s">
        <v>21</v>
      </c>
      <c r="C29" s="20" t="s">
        <v>15</v>
      </c>
      <c r="D29" s="119"/>
      <c r="E29" s="21">
        <v>7</v>
      </c>
      <c r="F29" s="4">
        <v>6</v>
      </c>
      <c r="G29" s="4">
        <v>1</v>
      </c>
      <c r="H29" s="5">
        <f t="shared" ref="H29:H31" si="18">F29*G29</f>
        <v>6</v>
      </c>
      <c r="I29" s="4">
        <f>ROUND(5/60,2)</f>
        <v>0.08</v>
      </c>
      <c r="J29" s="6">
        <f t="shared" ref="J29:J31" si="19">H29*I29</f>
        <v>0.48</v>
      </c>
      <c r="K29" s="4">
        <v>1</v>
      </c>
      <c r="L29" s="4">
        <v>1</v>
      </c>
      <c r="M29" s="7">
        <f t="shared" ref="M29:M31" si="20">K29*L29</f>
        <v>1</v>
      </c>
      <c r="N29" s="4">
        <f>ROUND(5/60,2)</f>
        <v>0.08</v>
      </c>
      <c r="O29" s="8">
        <f t="shared" ref="O29:O31" si="21">N29*M29</f>
        <v>0.08</v>
      </c>
      <c r="P29" s="6">
        <f t="shared" ref="P29:P31" si="22">SUM(J29,O29)</f>
        <v>0.55999999999999994</v>
      </c>
      <c r="Q29" s="9">
        <f>'GSA Rates'!$D$4</f>
        <v>26.95</v>
      </c>
      <c r="R29" s="10">
        <f t="shared" ref="R29:R31" si="23">P29*Q29</f>
        <v>15.091999999999999</v>
      </c>
    </row>
    <row r="30" spans="2:18" x14ac:dyDescent="0.2">
      <c r="B30" s="19" t="s">
        <v>21</v>
      </c>
      <c r="C30" s="20" t="s">
        <v>16</v>
      </c>
      <c r="D30" s="119"/>
      <c r="E30" s="21">
        <v>6</v>
      </c>
      <c r="F30" s="4">
        <v>6</v>
      </c>
      <c r="G30" s="4">
        <v>1</v>
      </c>
      <c r="H30" s="5">
        <f t="shared" si="18"/>
        <v>6</v>
      </c>
      <c r="I30" s="4">
        <f>ROUND(5/60,2)</f>
        <v>0.08</v>
      </c>
      <c r="J30" s="6">
        <f t="shared" si="19"/>
        <v>0.48</v>
      </c>
      <c r="K30" s="4">
        <v>0</v>
      </c>
      <c r="L30" s="4">
        <v>0</v>
      </c>
      <c r="M30" s="7">
        <f t="shared" si="20"/>
        <v>0</v>
      </c>
      <c r="N30" s="4">
        <v>0</v>
      </c>
      <c r="O30" s="8">
        <f t="shared" si="21"/>
        <v>0</v>
      </c>
      <c r="P30" s="6">
        <f t="shared" si="22"/>
        <v>0.48</v>
      </c>
      <c r="Q30" s="9">
        <f>'GSA Rates'!$D$4</f>
        <v>26.95</v>
      </c>
      <c r="R30" s="10">
        <f t="shared" si="23"/>
        <v>12.936</v>
      </c>
    </row>
    <row r="31" spans="2:18" x14ac:dyDescent="0.2">
      <c r="B31" s="19" t="s">
        <v>21</v>
      </c>
      <c r="C31" s="20" t="s">
        <v>17</v>
      </c>
      <c r="D31" s="119"/>
      <c r="E31" s="21">
        <v>6</v>
      </c>
      <c r="F31" s="4">
        <v>6</v>
      </c>
      <c r="G31" s="4">
        <v>1</v>
      </c>
      <c r="H31" s="5">
        <f t="shared" si="18"/>
        <v>6</v>
      </c>
      <c r="I31" s="11">
        <f>ROUND(180/60,2)</f>
        <v>3</v>
      </c>
      <c r="J31" s="6">
        <f t="shared" si="19"/>
        <v>18</v>
      </c>
      <c r="K31" s="4">
        <v>0</v>
      </c>
      <c r="L31" s="4">
        <v>0</v>
      </c>
      <c r="M31" s="7">
        <f t="shared" si="20"/>
        <v>0</v>
      </c>
      <c r="N31" s="4">
        <v>0</v>
      </c>
      <c r="O31" s="8">
        <f t="shared" si="21"/>
        <v>0</v>
      </c>
      <c r="P31" s="6">
        <f t="shared" si="22"/>
        <v>18</v>
      </c>
      <c r="Q31" s="9">
        <f>'GSA Rates'!$D$4</f>
        <v>26.95</v>
      </c>
      <c r="R31" s="10">
        <f t="shared" si="23"/>
        <v>485.09999999999997</v>
      </c>
    </row>
    <row r="32" spans="2:18" x14ac:dyDescent="0.2">
      <c r="B32" s="121" t="s">
        <v>71</v>
      </c>
      <c r="C32" s="121"/>
      <c r="D32" s="119"/>
      <c r="E32" s="12">
        <f>MAX(E29:E31)</f>
        <v>7</v>
      </c>
      <c r="F32" s="12">
        <f>MAX(F29:F31)</f>
        <v>6</v>
      </c>
      <c r="G32" s="22">
        <f>H32/F32</f>
        <v>3</v>
      </c>
      <c r="H32" s="23">
        <f>SUM(H29:H31)</f>
        <v>18</v>
      </c>
      <c r="I32" s="22">
        <f>ROUND(J32/H32,2)</f>
        <v>1.05</v>
      </c>
      <c r="J32" s="24">
        <f>SUM(J29:J31)</f>
        <v>18.96</v>
      </c>
      <c r="K32" s="12">
        <v>1</v>
      </c>
      <c r="L32" s="22">
        <f>M32/K32</f>
        <v>1</v>
      </c>
      <c r="M32" s="23">
        <f>SUM(M29:M31)</f>
        <v>1</v>
      </c>
      <c r="N32" s="22">
        <f>O32/M32</f>
        <v>0.08</v>
      </c>
      <c r="O32" s="24">
        <f>SUM(O29:O31)</f>
        <v>0.08</v>
      </c>
      <c r="P32" s="14">
        <f>SUM(J32,O32)</f>
        <v>19.04</v>
      </c>
      <c r="Q32" s="25"/>
      <c r="R32" s="26">
        <f>SUM(R29:R31)</f>
        <v>513.12799999999993</v>
      </c>
    </row>
    <row r="33" spans="2:22" x14ac:dyDescent="0.2">
      <c r="B33" s="121" t="s">
        <v>74</v>
      </c>
      <c r="C33" s="121"/>
      <c r="D33" s="119"/>
      <c r="E33" s="12">
        <f>SUM(E32,E27)</f>
        <v>11</v>
      </c>
      <c r="F33" s="12">
        <f t="shared" ref="F33:R33" si="24">SUM(F32,F27)</f>
        <v>9</v>
      </c>
      <c r="G33" s="12">
        <f t="shared" si="24"/>
        <v>6</v>
      </c>
      <c r="H33" s="12">
        <f t="shared" si="24"/>
        <v>27</v>
      </c>
      <c r="I33" s="12">
        <f t="shared" si="24"/>
        <v>2.1</v>
      </c>
      <c r="J33" s="12">
        <f t="shared" si="24"/>
        <v>28.44</v>
      </c>
      <c r="K33" s="12">
        <f t="shared" si="24"/>
        <v>2</v>
      </c>
      <c r="L33" s="12">
        <f t="shared" si="24"/>
        <v>2</v>
      </c>
      <c r="M33" s="12">
        <f t="shared" si="24"/>
        <v>2</v>
      </c>
      <c r="N33" s="12">
        <f t="shared" si="24"/>
        <v>0.16</v>
      </c>
      <c r="O33" s="12">
        <f t="shared" si="24"/>
        <v>0.16</v>
      </c>
      <c r="P33" s="12">
        <f t="shared" si="24"/>
        <v>28.6</v>
      </c>
      <c r="Q33" s="12"/>
      <c r="R33" s="18">
        <f t="shared" si="24"/>
        <v>1031.8535999999999</v>
      </c>
    </row>
    <row r="34" spans="2:22" ht="15" x14ac:dyDescent="0.2">
      <c r="B34" s="114" t="s">
        <v>45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</row>
    <row r="35" spans="2:22" x14ac:dyDescent="0.2">
      <c r="B35" s="116" t="s">
        <v>68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2:22" ht="48" x14ac:dyDescent="0.2">
      <c r="B36" s="19" t="s">
        <v>14</v>
      </c>
      <c r="C36" s="20" t="s">
        <v>28</v>
      </c>
      <c r="D36" s="21" t="s">
        <v>29</v>
      </c>
      <c r="E36" s="7">
        <v>51</v>
      </c>
      <c r="F36" s="5">
        <v>51</v>
      </c>
      <c r="G36" s="5">
        <v>1</v>
      </c>
      <c r="H36" s="5">
        <f t="shared" ref="H36:H43" si="25">F36*G36</f>
        <v>51</v>
      </c>
      <c r="I36" s="6">
        <f>5/60</f>
        <v>8.3333333333333329E-2</v>
      </c>
      <c r="J36" s="6">
        <f t="shared" ref="J36:J44" si="26">H36*I36</f>
        <v>4.25</v>
      </c>
      <c r="K36" s="7">
        <v>0</v>
      </c>
      <c r="L36" s="7">
        <v>0</v>
      </c>
      <c r="M36" s="7">
        <f t="shared" ref="M36:M44" si="27">K36*L36</f>
        <v>0</v>
      </c>
      <c r="N36" s="7">
        <v>0</v>
      </c>
      <c r="O36" s="8">
        <f t="shared" ref="O36:O44" si="28">N36*M36</f>
        <v>0</v>
      </c>
      <c r="P36" s="6">
        <f t="shared" ref="P36:P44" si="29">SUM(J36,O36)</f>
        <v>4.25</v>
      </c>
      <c r="Q36" s="9">
        <f>'GSA Rates'!$D$5</f>
        <v>54.26</v>
      </c>
      <c r="R36" s="28">
        <f t="shared" ref="R36:R44" si="30">P36*Q36</f>
        <v>230.60499999999999</v>
      </c>
    </row>
    <row r="37" spans="2:22" x14ac:dyDescent="0.2">
      <c r="B37" s="19" t="s">
        <v>14</v>
      </c>
      <c r="C37" s="20" t="s">
        <v>30</v>
      </c>
      <c r="D37" s="21" t="s">
        <v>31</v>
      </c>
      <c r="E37" s="7">
        <v>51</v>
      </c>
      <c r="F37" s="5">
        <v>51</v>
      </c>
      <c r="G37" s="5">
        <v>1</v>
      </c>
      <c r="H37" s="5">
        <f t="shared" si="25"/>
        <v>51</v>
      </c>
      <c r="I37" s="6">
        <f>5/60</f>
        <v>8.3333333333333329E-2</v>
      </c>
      <c r="J37" s="6">
        <f t="shared" si="26"/>
        <v>4.25</v>
      </c>
      <c r="K37" s="7">
        <v>0</v>
      </c>
      <c r="L37" s="7">
        <v>0</v>
      </c>
      <c r="M37" s="7">
        <f t="shared" si="27"/>
        <v>0</v>
      </c>
      <c r="N37" s="7">
        <v>0</v>
      </c>
      <c r="O37" s="8">
        <f t="shared" si="28"/>
        <v>0</v>
      </c>
      <c r="P37" s="6">
        <f t="shared" si="29"/>
        <v>4.25</v>
      </c>
      <c r="Q37" s="9">
        <f>'GSA Rates'!$D$5</f>
        <v>54.26</v>
      </c>
      <c r="R37" s="28">
        <f t="shared" si="30"/>
        <v>230.60499999999999</v>
      </c>
    </row>
    <row r="38" spans="2:22" x14ac:dyDescent="0.2">
      <c r="B38" s="19" t="s">
        <v>14</v>
      </c>
      <c r="C38" s="20" t="s">
        <v>32</v>
      </c>
      <c r="D38" s="21" t="s">
        <v>33</v>
      </c>
      <c r="E38" s="7">
        <v>36</v>
      </c>
      <c r="F38" s="5">
        <f t="shared" ref="F38:F43" si="31">ROUND($D$22*U38,0)</f>
        <v>0</v>
      </c>
      <c r="G38" s="5">
        <v>1</v>
      </c>
      <c r="H38" s="5">
        <f t="shared" si="25"/>
        <v>0</v>
      </c>
      <c r="I38" s="6">
        <f t="shared" ref="I38:I43" si="32">1.5/60</f>
        <v>2.5000000000000001E-2</v>
      </c>
      <c r="J38" s="6">
        <f t="shared" si="26"/>
        <v>0</v>
      </c>
      <c r="K38" s="7">
        <f t="shared" ref="K38:K43" si="33">E38-F38</f>
        <v>36</v>
      </c>
      <c r="L38" s="7">
        <v>1</v>
      </c>
      <c r="M38" s="7">
        <f t="shared" si="27"/>
        <v>36</v>
      </c>
      <c r="N38" s="8">
        <f>1.5/60</f>
        <v>2.5000000000000001E-2</v>
      </c>
      <c r="O38" s="8">
        <f t="shared" si="28"/>
        <v>0.9</v>
      </c>
      <c r="P38" s="6">
        <f t="shared" si="29"/>
        <v>0.9</v>
      </c>
      <c r="Q38" s="9">
        <f>'GSA Rates'!$D$5</f>
        <v>54.26</v>
      </c>
      <c r="R38" s="28">
        <f t="shared" si="30"/>
        <v>48.833999999999996</v>
      </c>
    </row>
    <row r="39" spans="2:22" x14ac:dyDescent="0.2">
      <c r="B39" s="19" t="s">
        <v>14</v>
      </c>
      <c r="C39" s="20" t="s">
        <v>34</v>
      </c>
      <c r="D39" s="21" t="s">
        <v>33</v>
      </c>
      <c r="E39" s="7">
        <f>K38</f>
        <v>36</v>
      </c>
      <c r="F39" s="5">
        <f t="shared" si="31"/>
        <v>0</v>
      </c>
      <c r="G39" s="5">
        <v>1</v>
      </c>
      <c r="H39" s="5">
        <f t="shared" si="25"/>
        <v>0</v>
      </c>
      <c r="I39" s="6">
        <f t="shared" si="32"/>
        <v>2.5000000000000001E-2</v>
      </c>
      <c r="J39" s="6">
        <f t="shared" si="26"/>
        <v>0</v>
      </c>
      <c r="K39" s="7">
        <f t="shared" si="33"/>
        <v>36</v>
      </c>
      <c r="L39" s="7">
        <v>1</v>
      </c>
      <c r="M39" s="7">
        <f t="shared" si="27"/>
        <v>36</v>
      </c>
      <c r="N39" s="8">
        <f>1.5/60</f>
        <v>2.5000000000000001E-2</v>
      </c>
      <c r="O39" s="8">
        <f t="shared" si="28"/>
        <v>0.9</v>
      </c>
      <c r="P39" s="6">
        <f t="shared" si="29"/>
        <v>0.9</v>
      </c>
      <c r="Q39" s="9">
        <f>'GSA Rates'!$D$5</f>
        <v>54.26</v>
      </c>
      <c r="R39" s="28">
        <f t="shared" si="30"/>
        <v>48.833999999999996</v>
      </c>
    </row>
    <row r="40" spans="2:22" x14ac:dyDescent="0.2">
      <c r="B40" s="19" t="s">
        <v>14</v>
      </c>
      <c r="C40" s="20" t="s">
        <v>35</v>
      </c>
      <c r="D40" s="21" t="s">
        <v>33</v>
      </c>
      <c r="E40" s="7">
        <f>E39-F39</f>
        <v>36</v>
      </c>
      <c r="F40" s="5">
        <f t="shared" si="31"/>
        <v>0</v>
      </c>
      <c r="G40" s="5">
        <v>1</v>
      </c>
      <c r="H40" s="5">
        <f t="shared" si="25"/>
        <v>0</v>
      </c>
      <c r="I40" s="6">
        <f t="shared" si="32"/>
        <v>2.5000000000000001E-2</v>
      </c>
      <c r="J40" s="6">
        <f t="shared" si="26"/>
        <v>0</v>
      </c>
      <c r="K40" s="7">
        <f t="shared" si="33"/>
        <v>36</v>
      </c>
      <c r="L40" s="7">
        <v>1</v>
      </c>
      <c r="M40" s="7">
        <f t="shared" si="27"/>
        <v>36</v>
      </c>
      <c r="N40" s="8">
        <f>1.5/60</f>
        <v>2.5000000000000001E-2</v>
      </c>
      <c r="O40" s="8">
        <f t="shared" si="28"/>
        <v>0.9</v>
      </c>
      <c r="P40" s="6">
        <f t="shared" si="29"/>
        <v>0.9</v>
      </c>
      <c r="Q40" s="9">
        <f>'GSA Rates'!$D$5</f>
        <v>54.26</v>
      </c>
      <c r="R40" s="28">
        <f t="shared" si="30"/>
        <v>48.833999999999996</v>
      </c>
    </row>
    <row r="41" spans="2:22" x14ac:dyDescent="0.2">
      <c r="B41" s="19" t="s">
        <v>14</v>
      </c>
      <c r="C41" s="20" t="s">
        <v>36</v>
      </c>
      <c r="D41" s="21" t="s">
        <v>37</v>
      </c>
      <c r="E41" s="7">
        <f>E40-F40</f>
        <v>36</v>
      </c>
      <c r="F41" s="5">
        <f t="shared" si="31"/>
        <v>0</v>
      </c>
      <c r="G41" s="5">
        <v>1</v>
      </c>
      <c r="H41" s="5">
        <f t="shared" si="25"/>
        <v>0</v>
      </c>
      <c r="I41" s="6">
        <f t="shared" si="32"/>
        <v>2.5000000000000001E-2</v>
      </c>
      <c r="J41" s="6">
        <f>H41*I41</f>
        <v>0</v>
      </c>
      <c r="K41" s="7">
        <f t="shared" si="33"/>
        <v>36</v>
      </c>
      <c r="L41" s="7">
        <v>1</v>
      </c>
      <c r="M41" s="7">
        <f>K41*L41</f>
        <v>36</v>
      </c>
      <c r="N41" s="8">
        <f>1.5/60</f>
        <v>2.5000000000000001E-2</v>
      </c>
      <c r="O41" s="8">
        <f>N41*M41</f>
        <v>0.9</v>
      </c>
      <c r="P41" s="6">
        <f>SUM(J41,O41)</f>
        <v>0.9</v>
      </c>
      <c r="Q41" s="9">
        <f>'GSA Rates'!$D$5</f>
        <v>54.26</v>
      </c>
      <c r="R41" s="28">
        <f t="shared" si="30"/>
        <v>48.833999999999996</v>
      </c>
    </row>
    <row r="42" spans="2:22" x14ac:dyDescent="0.2">
      <c r="B42" s="19" t="s">
        <v>14</v>
      </c>
      <c r="C42" s="20" t="s">
        <v>38</v>
      </c>
      <c r="D42" s="21" t="s">
        <v>37</v>
      </c>
      <c r="E42" s="7">
        <f>E41-F41</f>
        <v>36</v>
      </c>
      <c r="F42" s="5">
        <f t="shared" si="31"/>
        <v>0</v>
      </c>
      <c r="G42" s="5">
        <v>1</v>
      </c>
      <c r="H42" s="5">
        <f t="shared" si="25"/>
        <v>0</v>
      </c>
      <c r="I42" s="6">
        <f t="shared" si="32"/>
        <v>2.5000000000000001E-2</v>
      </c>
      <c r="J42" s="6">
        <f>H42*I42</f>
        <v>0</v>
      </c>
      <c r="K42" s="7">
        <f t="shared" si="33"/>
        <v>36</v>
      </c>
      <c r="L42" s="7">
        <v>1</v>
      </c>
      <c r="M42" s="7">
        <f>K42*L42</f>
        <v>36</v>
      </c>
      <c r="N42" s="8">
        <f>1.5/60</f>
        <v>2.5000000000000001E-2</v>
      </c>
      <c r="O42" s="8">
        <f>N42*M42</f>
        <v>0.9</v>
      </c>
      <c r="P42" s="6">
        <f>SUM(J42,O42)</f>
        <v>0.9</v>
      </c>
      <c r="Q42" s="9">
        <f>'GSA Rates'!$D$5</f>
        <v>54.26</v>
      </c>
      <c r="R42" s="28">
        <f t="shared" si="30"/>
        <v>48.833999999999996</v>
      </c>
    </row>
    <row r="43" spans="2:22" x14ac:dyDescent="0.2">
      <c r="B43" s="19" t="s">
        <v>14</v>
      </c>
      <c r="C43" s="20" t="s">
        <v>39</v>
      </c>
      <c r="D43" s="21" t="s">
        <v>37</v>
      </c>
      <c r="E43" s="7">
        <f>E42-F42</f>
        <v>36</v>
      </c>
      <c r="F43" s="5">
        <f t="shared" si="31"/>
        <v>0</v>
      </c>
      <c r="G43" s="5">
        <v>1</v>
      </c>
      <c r="H43" s="5">
        <f t="shared" si="25"/>
        <v>0</v>
      </c>
      <c r="I43" s="6">
        <f t="shared" si="32"/>
        <v>2.5000000000000001E-2</v>
      </c>
      <c r="J43" s="6">
        <f>H43*I43</f>
        <v>0</v>
      </c>
      <c r="K43" s="7">
        <f t="shared" si="33"/>
        <v>36</v>
      </c>
      <c r="L43" s="7">
        <v>0</v>
      </c>
      <c r="M43" s="7">
        <f>K43*L43</f>
        <v>0</v>
      </c>
      <c r="N43" s="7">
        <v>0</v>
      </c>
      <c r="O43" s="8">
        <f>N43*M43</f>
        <v>0</v>
      </c>
      <c r="P43" s="6">
        <f>SUM(J43,O43)</f>
        <v>0</v>
      </c>
      <c r="Q43" s="9">
        <f>'GSA Rates'!$D$5</f>
        <v>54.26</v>
      </c>
      <c r="R43" s="28">
        <f t="shared" si="30"/>
        <v>0</v>
      </c>
    </row>
    <row r="44" spans="2:22" x14ac:dyDescent="0.2">
      <c r="B44" s="2" t="s">
        <v>14</v>
      </c>
      <c r="C44" s="3" t="s">
        <v>40</v>
      </c>
      <c r="D44" s="4" t="s">
        <v>41</v>
      </c>
      <c r="E44" s="5">
        <v>51</v>
      </c>
      <c r="F44" s="5">
        <v>51</v>
      </c>
      <c r="G44" s="5">
        <v>1</v>
      </c>
      <c r="H44" s="5">
        <v>51</v>
      </c>
      <c r="I44" s="6">
        <v>1</v>
      </c>
      <c r="J44" s="6">
        <f t="shared" si="26"/>
        <v>51</v>
      </c>
      <c r="K44" s="5">
        <v>0</v>
      </c>
      <c r="L44" s="5">
        <v>0</v>
      </c>
      <c r="M44" s="7">
        <f t="shared" si="27"/>
        <v>0</v>
      </c>
      <c r="N44" s="6">
        <v>0</v>
      </c>
      <c r="O44" s="8">
        <f t="shared" si="28"/>
        <v>0</v>
      </c>
      <c r="P44" s="6">
        <f t="shared" si="29"/>
        <v>51</v>
      </c>
      <c r="Q44" s="9">
        <f>'GSA Rates'!$D$5</f>
        <v>54.26</v>
      </c>
      <c r="R44" s="28">
        <f t="shared" si="30"/>
        <v>2767.2599999999998</v>
      </c>
    </row>
    <row r="45" spans="2:22" x14ac:dyDescent="0.2">
      <c r="B45" s="107" t="s">
        <v>42</v>
      </c>
      <c r="C45" s="107"/>
      <c r="D45" s="4"/>
      <c r="E45" s="13">
        <f>MAX(E36:E44)</f>
        <v>51</v>
      </c>
      <c r="F45" s="13">
        <f>MAX(F36:F44)</f>
        <v>51</v>
      </c>
      <c r="G45" s="13">
        <f>H45/F45</f>
        <v>3</v>
      </c>
      <c r="H45" s="13">
        <f>SUM(H36:H44)</f>
        <v>153</v>
      </c>
      <c r="I45" s="14">
        <f>J45/H45</f>
        <v>0.3888888888888889</v>
      </c>
      <c r="J45" s="14">
        <f>SUM(J36:J44)</f>
        <v>59.5</v>
      </c>
      <c r="K45" s="29">
        <v>51</v>
      </c>
      <c r="L45" s="13">
        <f>M45/K45</f>
        <v>3.5294117647058822</v>
      </c>
      <c r="M45" s="15">
        <f>SUM(M36:M44)</f>
        <v>180</v>
      </c>
      <c r="N45" s="14">
        <f>O45/M45</f>
        <v>2.5000000000000001E-2</v>
      </c>
      <c r="O45" s="16">
        <f>SUM(O36:O44)</f>
        <v>4.5</v>
      </c>
      <c r="P45" s="14">
        <f>SUM(P36:P44)</f>
        <v>64</v>
      </c>
      <c r="Q45" s="17"/>
      <c r="R45" s="30">
        <f>SUM(R36:R44)</f>
        <v>3472.6399999999994</v>
      </c>
    </row>
    <row r="46" spans="2:22" x14ac:dyDescent="0.2">
      <c r="B46" s="107" t="s">
        <v>69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2:22" ht="36" x14ac:dyDescent="0.2">
      <c r="B47" s="33" t="s">
        <v>21</v>
      </c>
      <c r="C47" s="20" t="s">
        <v>46</v>
      </c>
      <c r="D47" s="21" t="s">
        <v>47</v>
      </c>
      <c r="E47" s="34">
        <v>2520</v>
      </c>
      <c r="F47" s="35">
        <v>2520</v>
      </c>
      <c r="G47" s="35">
        <v>1</v>
      </c>
      <c r="H47" s="35">
        <f t="shared" ref="H47:H55" si="34">F47*G47</f>
        <v>2520</v>
      </c>
      <c r="I47" s="36">
        <f>5/60</f>
        <v>8.3333333333333329E-2</v>
      </c>
      <c r="J47" s="36">
        <f>0.08*H47</f>
        <v>201.6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6">
        <f t="shared" ref="P47:P55" si="35">O47+J47</f>
        <v>201.6</v>
      </c>
      <c r="Q47" s="9">
        <f>'GSA Rates'!$D$4</f>
        <v>26.95</v>
      </c>
      <c r="R47" s="28">
        <f>P47*Q47</f>
        <v>5433.12</v>
      </c>
    </row>
    <row r="48" spans="2:22" x14ac:dyDescent="0.2">
      <c r="B48" s="33" t="s">
        <v>21</v>
      </c>
      <c r="C48" s="20" t="s">
        <v>48</v>
      </c>
      <c r="D48" s="21" t="s">
        <v>49</v>
      </c>
      <c r="E48" s="34">
        <v>2520</v>
      </c>
      <c r="F48" s="35">
        <v>2520</v>
      </c>
      <c r="G48" s="35">
        <v>1</v>
      </c>
      <c r="H48" s="35">
        <f t="shared" si="34"/>
        <v>2520</v>
      </c>
      <c r="I48" s="36">
        <f>5/60</f>
        <v>8.3333333333333329E-2</v>
      </c>
      <c r="J48" s="36">
        <f>0.08*H48</f>
        <v>201.6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6">
        <f t="shared" si="35"/>
        <v>201.6</v>
      </c>
      <c r="Q48" s="9">
        <f>'GSA Rates'!$D$4</f>
        <v>26.95</v>
      </c>
      <c r="R48" s="28">
        <f t="shared" ref="R48:R55" si="36">P48*Q48</f>
        <v>5433.12</v>
      </c>
      <c r="T48" s="48">
        <v>2520</v>
      </c>
      <c r="U48" s="48">
        <v>11</v>
      </c>
      <c r="V48" s="48">
        <f>ROUND(U48/100*$T$48,0)</f>
        <v>277</v>
      </c>
    </row>
    <row r="49" spans="2:23" x14ac:dyDescent="0.2">
      <c r="B49" s="33" t="s">
        <v>21</v>
      </c>
      <c r="C49" s="20" t="s">
        <v>50</v>
      </c>
      <c r="D49" s="21" t="s">
        <v>51</v>
      </c>
      <c r="E49" s="34">
        <f>0.7*(E47)</f>
        <v>1764</v>
      </c>
      <c r="F49" s="35">
        <f t="shared" ref="F49:F54" ca="1" si="37">ROUND($E$54*U49/100,0)</f>
        <v>202</v>
      </c>
      <c r="G49" s="35">
        <v>1</v>
      </c>
      <c r="H49" s="35">
        <f t="shared" ca="1" si="34"/>
        <v>202</v>
      </c>
      <c r="I49" s="36">
        <f t="shared" ref="I49:I54" si="38">1.5/60</f>
        <v>2.5000000000000001E-2</v>
      </c>
      <c r="J49" s="36">
        <f t="shared" ref="J49:J55" ca="1" si="39">I49*H49</f>
        <v>5.0500000000000007</v>
      </c>
      <c r="K49" s="34">
        <f t="shared" ref="K49:K54" ca="1" si="40">E49-F49</f>
        <v>1562</v>
      </c>
      <c r="L49" s="34">
        <v>1</v>
      </c>
      <c r="M49" s="34">
        <f t="shared" ref="M49:M55" ca="1" si="41">K49*L49</f>
        <v>1562</v>
      </c>
      <c r="N49" s="8">
        <f t="shared" ref="N49:N54" si="42">1.5/60</f>
        <v>2.5000000000000001E-2</v>
      </c>
      <c r="O49" s="8">
        <f t="shared" ref="O49:O54" ca="1" si="43">M49*N49</f>
        <v>39.050000000000004</v>
      </c>
      <c r="P49" s="6">
        <f t="shared" ca="1" si="35"/>
        <v>44.100000000000009</v>
      </c>
      <c r="Q49" s="9">
        <f>'GSA Rates'!$D$4</f>
        <v>26.95</v>
      </c>
      <c r="R49" s="28">
        <f t="shared" ca="1" si="36"/>
        <v>1188.4950000000001</v>
      </c>
      <c r="U49" s="48">
        <v>8</v>
      </c>
      <c r="V49" s="48">
        <f t="shared" ref="V49:V54" si="44">ROUND(U49/100*$T$48,0)</f>
        <v>202</v>
      </c>
    </row>
    <row r="50" spans="2:23" x14ac:dyDescent="0.2">
      <c r="B50" s="33" t="s">
        <v>21</v>
      </c>
      <c r="C50" s="20" t="s">
        <v>52</v>
      </c>
      <c r="D50" s="21" t="s">
        <v>51</v>
      </c>
      <c r="E50" s="34">
        <f ca="1">K49</f>
        <v>1562</v>
      </c>
      <c r="F50" s="35">
        <f t="shared" ca="1" si="37"/>
        <v>202</v>
      </c>
      <c r="G50" s="35">
        <v>1</v>
      </c>
      <c r="H50" s="35">
        <f t="shared" ca="1" si="34"/>
        <v>202</v>
      </c>
      <c r="I50" s="36">
        <f t="shared" si="38"/>
        <v>2.5000000000000001E-2</v>
      </c>
      <c r="J50" s="36">
        <f t="shared" ca="1" si="39"/>
        <v>5.0500000000000007</v>
      </c>
      <c r="K50" s="34">
        <f t="shared" ca="1" si="40"/>
        <v>1360</v>
      </c>
      <c r="L50" s="34">
        <v>1</v>
      </c>
      <c r="M50" s="34">
        <f t="shared" ca="1" si="41"/>
        <v>1360</v>
      </c>
      <c r="N50" s="8">
        <f t="shared" si="42"/>
        <v>2.5000000000000001E-2</v>
      </c>
      <c r="O50" s="8">
        <f t="shared" ca="1" si="43"/>
        <v>34</v>
      </c>
      <c r="P50" s="6">
        <f t="shared" ca="1" si="35"/>
        <v>39.049999999999997</v>
      </c>
      <c r="Q50" s="9">
        <f>'GSA Rates'!$D$4</f>
        <v>26.95</v>
      </c>
      <c r="R50" s="28">
        <f t="shared" ca="1" si="36"/>
        <v>1052.3974999999998</v>
      </c>
      <c r="U50" s="48">
        <v>8</v>
      </c>
      <c r="V50" s="48">
        <f t="shared" si="44"/>
        <v>202</v>
      </c>
    </row>
    <row r="51" spans="2:23" x14ac:dyDescent="0.2">
      <c r="B51" s="33" t="s">
        <v>21</v>
      </c>
      <c r="C51" s="20" t="s">
        <v>53</v>
      </c>
      <c r="D51" s="21" t="s">
        <v>51</v>
      </c>
      <c r="E51" s="34">
        <f ca="1">K50</f>
        <v>1360</v>
      </c>
      <c r="F51" s="35">
        <f t="shared" ca="1" si="37"/>
        <v>202</v>
      </c>
      <c r="G51" s="35">
        <v>1</v>
      </c>
      <c r="H51" s="35">
        <f t="shared" ca="1" si="34"/>
        <v>202</v>
      </c>
      <c r="I51" s="36">
        <f t="shared" si="38"/>
        <v>2.5000000000000001E-2</v>
      </c>
      <c r="J51" s="36">
        <f t="shared" ca="1" si="39"/>
        <v>5.0500000000000007</v>
      </c>
      <c r="K51" s="34">
        <f t="shared" ca="1" si="40"/>
        <v>1158</v>
      </c>
      <c r="L51" s="34">
        <v>1</v>
      </c>
      <c r="M51" s="34">
        <f t="shared" ca="1" si="41"/>
        <v>1158</v>
      </c>
      <c r="N51" s="8">
        <f t="shared" si="42"/>
        <v>2.5000000000000001E-2</v>
      </c>
      <c r="O51" s="8">
        <f t="shared" ca="1" si="43"/>
        <v>28.950000000000003</v>
      </c>
      <c r="P51" s="6">
        <f t="shared" ca="1" si="35"/>
        <v>34</v>
      </c>
      <c r="Q51" s="9">
        <f>'GSA Rates'!$D$4</f>
        <v>26.95</v>
      </c>
      <c r="R51" s="28">
        <f t="shared" ca="1" si="36"/>
        <v>916.3</v>
      </c>
      <c r="U51" s="48">
        <v>8</v>
      </c>
      <c r="V51" s="48">
        <f t="shared" si="44"/>
        <v>202</v>
      </c>
    </row>
    <row r="52" spans="2:23" x14ac:dyDescent="0.2">
      <c r="B52" s="33" t="s">
        <v>21</v>
      </c>
      <c r="C52" s="20" t="s">
        <v>54</v>
      </c>
      <c r="D52" s="21" t="s">
        <v>55</v>
      </c>
      <c r="E52" s="34">
        <f ca="1">K51</f>
        <v>1158</v>
      </c>
      <c r="F52" s="35">
        <f t="shared" ca="1" si="37"/>
        <v>378</v>
      </c>
      <c r="G52" s="35">
        <v>1</v>
      </c>
      <c r="H52" s="35">
        <f ca="1">F52*G52</f>
        <v>378</v>
      </c>
      <c r="I52" s="36">
        <f t="shared" si="38"/>
        <v>2.5000000000000001E-2</v>
      </c>
      <c r="J52" s="36">
        <f t="shared" ca="1" si="39"/>
        <v>9.4500000000000011</v>
      </c>
      <c r="K52" s="34">
        <f t="shared" ca="1" si="40"/>
        <v>780</v>
      </c>
      <c r="L52" s="34">
        <v>1</v>
      </c>
      <c r="M52" s="34">
        <f t="shared" ca="1" si="41"/>
        <v>780</v>
      </c>
      <c r="N52" s="8">
        <f t="shared" si="42"/>
        <v>2.5000000000000001E-2</v>
      </c>
      <c r="O52" s="8">
        <f t="shared" ca="1" si="43"/>
        <v>19.5</v>
      </c>
      <c r="P52" s="6">
        <f ca="1">O52+J52</f>
        <v>28.950000000000003</v>
      </c>
      <c r="Q52" s="9">
        <f>'GSA Rates'!$D$4</f>
        <v>26.95</v>
      </c>
      <c r="R52" s="28">
        <f t="shared" ca="1" si="36"/>
        <v>780.2025000000001</v>
      </c>
      <c r="U52" s="48">
        <v>15</v>
      </c>
      <c r="V52" s="48">
        <f t="shared" si="44"/>
        <v>378</v>
      </c>
    </row>
    <row r="53" spans="2:23" x14ac:dyDescent="0.2">
      <c r="B53" s="33" t="s">
        <v>21</v>
      </c>
      <c r="C53" s="20" t="s">
        <v>56</v>
      </c>
      <c r="D53" s="21" t="s">
        <v>55</v>
      </c>
      <c r="E53" s="34">
        <f ca="1">K52</f>
        <v>780</v>
      </c>
      <c r="F53" s="35">
        <f t="shared" ca="1" si="37"/>
        <v>378</v>
      </c>
      <c r="G53" s="35">
        <v>1</v>
      </c>
      <c r="H53" s="35">
        <f ca="1">F53*G53</f>
        <v>378</v>
      </c>
      <c r="I53" s="36">
        <f t="shared" si="38"/>
        <v>2.5000000000000001E-2</v>
      </c>
      <c r="J53" s="36">
        <f t="shared" ca="1" si="39"/>
        <v>9.4500000000000011</v>
      </c>
      <c r="K53" s="34">
        <f t="shared" ca="1" si="40"/>
        <v>402</v>
      </c>
      <c r="L53" s="34">
        <v>1</v>
      </c>
      <c r="M53" s="34">
        <f t="shared" ca="1" si="41"/>
        <v>402</v>
      </c>
      <c r="N53" s="8">
        <f t="shared" si="42"/>
        <v>2.5000000000000001E-2</v>
      </c>
      <c r="O53" s="8">
        <f t="shared" ca="1" si="43"/>
        <v>10.050000000000001</v>
      </c>
      <c r="P53" s="6">
        <f ca="1">O53+J53</f>
        <v>19.5</v>
      </c>
      <c r="Q53" s="9">
        <f>'GSA Rates'!$D$4</f>
        <v>26.95</v>
      </c>
      <c r="R53" s="28">
        <f t="shared" ca="1" si="36"/>
        <v>525.52499999999998</v>
      </c>
      <c r="U53" s="48">
        <v>15</v>
      </c>
      <c r="V53" s="48">
        <f t="shared" si="44"/>
        <v>378</v>
      </c>
    </row>
    <row r="54" spans="2:23" x14ac:dyDescent="0.2">
      <c r="B54" s="33" t="s">
        <v>21</v>
      </c>
      <c r="C54" s="20" t="s">
        <v>57</v>
      </c>
      <c r="D54" s="21" t="s">
        <v>55</v>
      </c>
      <c r="E54" s="34">
        <f ca="1">E53-F53</f>
        <v>402</v>
      </c>
      <c r="F54" s="35">
        <f t="shared" ca="1" si="37"/>
        <v>378</v>
      </c>
      <c r="G54" s="35">
        <v>1</v>
      </c>
      <c r="H54" s="35">
        <f ca="1">F54*G54</f>
        <v>378</v>
      </c>
      <c r="I54" s="36">
        <f t="shared" si="38"/>
        <v>2.5000000000000001E-2</v>
      </c>
      <c r="J54" s="36">
        <f t="shared" ca="1" si="39"/>
        <v>9.4500000000000011</v>
      </c>
      <c r="K54" s="34">
        <f t="shared" ca="1" si="40"/>
        <v>24</v>
      </c>
      <c r="L54" s="34">
        <v>1</v>
      </c>
      <c r="M54" s="34">
        <f t="shared" ca="1" si="41"/>
        <v>24</v>
      </c>
      <c r="N54" s="8">
        <f t="shared" si="42"/>
        <v>2.5000000000000001E-2</v>
      </c>
      <c r="O54" s="8">
        <f t="shared" ca="1" si="43"/>
        <v>0.60000000000000009</v>
      </c>
      <c r="P54" s="6">
        <f ca="1">O54+J54</f>
        <v>10.050000000000001</v>
      </c>
      <c r="Q54" s="9">
        <f>'GSA Rates'!$D$4</f>
        <v>26.95</v>
      </c>
      <c r="R54" s="28">
        <f t="shared" ca="1" si="36"/>
        <v>270.84750000000003</v>
      </c>
      <c r="U54" s="48">
        <v>15</v>
      </c>
      <c r="V54" s="48">
        <f t="shared" si="44"/>
        <v>378</v>
      </c>
    </row>
    <row r="55" spans="2:23" x14ac:dyDescent="0.2">
      <c r="B55" s="33" t="s">
        <v>21</v>
      </c>
      <c r="C55" s="20" t="s">
        <v>58</v>
      </c>
      <c r="D55" s="21" t="s">
        <v>59</v>
      </c>
      <c r="E55" s="34">
        <f>E47</f>
        <v>2520</v>
      </c>
      <c r="F55" s="35">
        <f>0.8*E55</f>
        <v>2016</v>
      </c>
      <c r="G55" s="35">
        <v>1</v>
      </c>
      <c r="H55" s="35">
        <f t="shared" si="34"/>
        <v>2016</v>
      </c>
      <c r="I55" s="36">
        <v>1</v>
      </c>
      <c r="J55" s="36">
        <f t="shared" si="39"/>
        <v>2016</v>
      </c>
      <c r="K55" s="34">
        <v>504</v>
      </c>
      <c r="L55" s="34">
        <v>1</v>
      </c>
      <c r="M55" s="34">
        <f t="shared" si="41"/>
        <v>504</v>
      </c>
      <c r="N55" s="8">
        <f>3/60</f>
        <v>0.05</v>
      </c>
      <c r="O55" s="8">
        <f>N55*M55</f>
        <v>25.200000000000003</v>
      </c>
      <c r="P55" s="6">
        <f t="shared" si="35"/>
        <v>2041.2</v>
      </c>
      <c r="Q55" s="9">
        <f>'GSA Rates'!$D$4</f>
        <v>26.95</v>
      </c>
      <c r="R55" s="28">
        <f t="shared" si="36"/>
        <v>55010.34</v>
      </c>
      <c r="U55" s="48">
        <f>SUM(U48:U54)</f>
        <v>80</v>
      </c>
      <c r="V55" s="48">
        <f>SUM(V48:V54)</f>
        <v>2017</v>
      </c>
      <c r="W55" s="48">
        <f>V55/T48</f>
        <v>0.80039682539682544</v>
      </c>
    </row>
    <row r="56" spans="2:23" x14ac:dyDescent="0.2">
      <c r="B56" s="115" t="s">
        <v>60</v>
      </c>
      <c r="C56" s="115"/>
      <c r="D56" s="37" t="s">
        <v>44</v>
      </c>
      <c r="E56" s="38">
        <f ca="1">MAX(E47:E55)</f>
        <v>0</v>
      </c>
      <c r="F56" s="39">
        <f ca="1">MAX(F47:F55)</f>
        <v>0</v>
      </c>
      <c r="G56" s="40">
        <f ca="1">H56/F56</f>
        <v>0</v>
      </c>
      <c r="H56" s="40">
        <f ca="1">SUM(H47:H55)</f>
        <v>8796</v>
      </c>
      <c r="I56" s="40">
        <f ca="1">J56/H56</f>
        <v>0.27997953615279669</v>
      </c>
      <c r="J56" s="40">
        <f ca="1">SUM(J47:J55)</f>
        <v>2462.6999999999998</v>
      </c>
      <c r="K56" s="39">
        <f ca="1">K49</f>
        <v>1562</v>
      </c>
      <c r="L56" s="38">
        <f ca="1">M56/K56</f>
        <v>3.7067861715749038</v>
      </c>
      <c r="M56" s="38">
        <f ca="1">SUM(M47:M55)</f>
        <v>5790</v>
      </c>
      <c r="N56" s="38">
        <f ca="1">O56/M56</f>
        <v>2.7176165803108811E-2</v>
      </c>
      <c r="O56" s="38">
        <f ca="1">SUM(O47:O55)</f>
        <v>157.35000000000002</v>
      </c>
      <c r="P56" s="40">
        <f ca="1">SUM(P47:P55)</f>
        <v>2620.0500000000002</v>
      </c>
      <c r="Q56" s="40" t="s">
        <v>44</v>
      </c>
      <c r="R56" s="32">
        <f ca="1">SUM(R47:R55)</f>
        <v>0</v>
      </c>
    </row>
    <row r="57" spans="2:23" x14ac:dyDescent="0.2">
      <c r="B57" s="116" t="s">
        <v>72</v>
      </c>
      <c r="C57" s="116"/>
      <c r="D57" s="41" t="s">
        <v>44</v>
      </c>
      <c r="E57" s="42">
        <f ca="1">E56+E45+E40</f>
        <v>87</v>
      </c>
      <c r="F57" s="42">
        <f ca="1">F56+F45+F40</f>
        <v>2571</v>
      </c>
      <c r="G57" s="40">
        <f ca="1">H57/F57</f>
        <v>3.4952606635071088</v>
      </c>
      <c r="H57" s="42">
        <f ca="1">H56+H45+H40</f>
        <v>8850</v>
      </c>
      <c r="I57" s="40">
        <f ca="1">J57/H57</f>
        <v>0.28193220338983049</v>
      </c>
      <c r="J57" s="42">
        <f ca="1">J56+J45+J40</f>
        <v>2495.1</v>
      </c>
      <c r="K57" s="43">
        <f ca="1">K56+K45+K40</f>
        <v>1565</v>
      </c>
      <c r="L57" s="38">
        <f ca="1">M57/K57</f>
        <v>3.7015974440894568</v>
      </c>
      <c r="M57" s="42">
        <f ca="1">M56+M45+M40</f>
        <v>5793</v>
      </c>
      <c r="N57" s="40">
        <f ca="1">O57/M57</f>
        <v>2.7203521491455211E-2</v>
      </c>
      <c r="O57" s="40">
        <f ca="1">O56+O45+O40</f>
        <v>157.59000000000003</v>
      </c>
      <c r="P57" s="42">
        <f ca="1">P56+P45+P40</f>
        <v>2652.69</v>
      </c>
      <c r="Q57" s="40" t="s">
        <v>44</v>
      </c>
      <c r="R57" s="32">
        <f ca="1">R56+R45+R40</f>
        <v>0</v>
      </c>
    </row>
    <row r="58" spans="2:23" x14ac:dyDescent="0.2">
      <c r="B58" s="108" t="s">
        <v>73</v>
      </c>
      <c r="C58" s="109"/>
      <c r="D58" s="110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</sheetData>
  <mergeCells count="32">
    <mergeCell ref="P2:P3"/>
    <mergeCell ref="Q2:Q3"/>
    <mergeCell ref="R2:R3"/>
    <mergeCell ref="B4:R4"/>
    <mergeCell ref="D6:D12"/>
    <mergeCell ref="B12:C12"/>
    <mergeCell ref="B2:B3"/>
    <mergeCell ref="C2:C3"/>
    <mergeCell ref="D2:D3"/>
    <mergeCell ref="E2:E3"/>
    <mergeCell ref="F2:J2"/>
    <mergeCell ref="K2:O2"/>
    <mergeCell ref="B5:R5"/>
    <mergeCell ref="B13:R13"/>
    <mergeCell ref="B23:R23"/>
    <mergeCell ref="B28:R28"/>
    <mergeCell ref="B35:R35"/>
    <mergeCell ref="D14:D20"/>
    <mergeCell ref="B20:C20"/>
    <mergeCell ref="B22:R22"/>
    <mergeCell ref="D24:D27"/>
    <mergeCell ref="B27:C27"/>
    <mergeCell ref="B32:C32"/>
    <mergeCell ref="B33:C33"/>
    <mergeCell ref="D29:D33"/>
    <mergeCell ref="B46:R46"/>
    <mergeCell ref="B58:D58"/>
    <mergeCell ref="B21:D21"/>
    <mergeCell ref="B34:R34"/>
    <mergeCell ref="B45:C45"/>
    <mergeCell ref="B56:C56"/>
    <mergeCell ref="B57:C5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34" sqref="D34"/>
    </sheetView>
  </sheetViews>
  <sheetFormatPr defaultRowHeight="14.25" x14ac:dyDescent="0.2"/>
  <cols>
    <col min="1" max="1" width="12.85546875" style="50" customWidth="1"/>
    <col min="2" max="2" width="14.28515625" style="48" customWidth="1"/>
    <col min="3" max="3" width="29.28515625" style="48" customWidth="1"/>
    <col min="4" max="5" width="9.140625" style="48"/>
    <col min="6" max="6" width="11.5703125" style="48" bestFit="1" customWidth="1"/>
    <col min="7" max="8" width="9.140625" style="48"/>
    <col min="9" max="9" width="11.42578125" style="48" bestFit="1" customWidth="1"/>
    <col min="10" max="10" width="9.140625" style="48"/>
    <col min="11" max="11" width="9.140625" style="48" customWidth="1"/>
    <col min="12" max="17" width="9.140625" style="48"/>
    <col min="18" max="18" width="12.7109375" style="48" customWidth="1"/>
    <col min="19" max="19" width="42.28515625" style="48" bestFit="1" customWidth="1"/>
    <col min="20" max="23" width="0" style="48" hidden="1" customWidth="1"/>
    <col min="24" max="24" width="9.140625" style="48"/>
    <col min="25" max="25" width="9.7109375" style="48" customWidth="1"/>
    <col min="26" max="16384" width="9.140625" style="48"/>
  </cols>
  <sheetData>
    <row r="1" spans="1:25" x14ac:dyDescent="0.2">
      <c r="A1" s="132" t="s">
        <v>101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25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25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5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25" x14ac:dyDescent="0.2">
      <c r="C5" s="64"/>
      <c r="D5" s="49"/>
      <c r="E5" s="49"/>
      <c r="F5" s="65"/>
      <c r="G5" s="65"/>
      <c r="H5" s="65"/>
      <c r="I5" s="65"/>
      <c r="J5" s="65"/>
      <c r="K5" s="49"/>
      <c r="L5" s="49"/>
      <c r="M5" s="49"/>
      <c r="N5" s="49"/>
      <c r="O5" s="49"/>
      <c r="P5" s="65"/>
      <c r="Q5" s="65"/>
      <c r="R5" s="65"/>
    </row>
    <row r="6" spans="1:25" x14ac:dyDescent="0.2">
      <c r="A6" s="144" t="s">
        <v>93</v>
      </c>
      <c r="B6" s="124" t="s">
        <v>0</v>
      </c>
      <c r="C6" s="125" t="s">
        <v>1</v>
      </c>
      <c r="D6" s="126" t="s">
        <v>2</v>
      </c>
      <c r="E6" s="126" t="s">
        <v>3</v>
      </c>
      <c r="F6" s="127" t="s">
        <v>92</v>
      </c>
      <c r="G6" s="127"/>
      <c r="H6" s="127"/>
      <c r="I6" s="127"/>
      <c r="J6" s="127"/>
      <c r="K6" s="128" t="s">
        <v>91</v>
      </c>
      <c r="L6" s="128"/>
      <c r="M6" s="128"/>
      <c r="N6" s="128"/>
      <c r="O6" s="128"/>
      <c r="P6" s="122" t="s">
        <v>95</v>
      </c>
      <c r="Q6" s="122" t="s">
        <v>7</v>
      </c>
      <c r="R6" s="143" t="s">
        <v>8</v>
      </c>
    </row>
    <row r="7" spans="1:25" ht="75" customHeight="1" x14ac:dyDescent="0.2">
      <c r="A7" s="145"/>
      <c r="B7" s="124"/>
      <c r="C7" s="125"/>
      <c r="D7" s="126"/>
      <c r="E7" s="126"/>
      <c r="F7" s="75" t="s">
        <v>9</v>
      </c>
      <c r="G7" s="75" t="s">
        <v>10</v>
      </c>
      <c r="H7" s="75" t="s">
        <v>11</v>
      </c>
      <c r="I7" s="75" t="s">
        <v>12</v>
      </c>
      <c r="J7" s="75" t="s">
        <v>13</v>
      </c>
      <c r="K7" s="75" t="s">
        <v>9</v>
      </c>
      <c r="L7" s="75" t="s">
        <v>10</v>
      </c>
      <c r="M7" s="75" t="s">
        <v>11</v>
      </c>
      <c r="N7" s="75" t="s">
        <v>12</v>
      </c>
      <c r="O7" s="75" t="s">
        <v>13</v>
      </c>
      <c r="P7" s="122"/>
      <c r="Q7" s="122"/>
      <c r="R7" s="143"/>
      <c r="S7" s="49"/>
      <c r="T7" s="49"/>
      <c r="U7" s="49"/>
      <c r="V7" s="49"/>
      <c r="W7" s="49"/>
      <c r="X7" s="49"/>
      <c r="Y7" s="49"/>
    </row>
    <row r="8" spans="1:25" ht="14.25" customHeight="1" x14ac:dyDescent="0.2">
      <c r="A8" s="130" t="s">
        <v>94</v>
      </c>
      <c r="B8" s="149" t="s">
        <v>76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1"/>
      <c r="Q8" s="87"/>
      <c r="R8" s="92"/>
      <c r="S8" s="49"/>
      <c r="T8" s="49"/>
      <c r="U8" s="49"/>
      <c r="V8" s="49"/>
      <c r="W8" s="49"/>
      <c r="X8" s="49"/>
      <c r="Y8" s="49"/>
    </row>
    <row r="9" spans="1:25" ht="14.25" customHeight="1" x14ac:dyDescent="0.2">
      <c r="A9" s="131"/>
      <c r="B9" s="152" t="s">
        <v>83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4"/>
      <c r="Q9" s="88"/>
      <c r="R9" s="93"/>
      <c r="S9" s="49"/>
      <c r="T9" s="49"/>
      <c r="U9" s="49"/>
      <c r="V9" s="49"/>
      <c r="W9" s="49"/>
      <c r="X9" s="49"/>
      <c r="Y9" s="49"/>
    </row>
    <row r="10" spans="1:25" ht="24" x14ac:dyDescent="0.2">
      <c r="A10" s="131"/>
      <c r="B10" s="19" t="s">
        <v>14</v>
      </c>
      <c r="C10" s="20" t="s">
        <v>15</v>
      </c>
      <c r="D10" s="119"/>
      <c r="E10" s="74">
        <v>4</v>
      </c>
      <c r="F10" s="76">
        <v>3</v>
      </c>
      <c r="G10" s="76">
        <v>1</v>
      </c>
      <c r="H10" s="5">
        <f t="shared" ref="H10:H12" si="0">F10*G10</f>
        <v>3</v>
      </c>
      <c r="I10" s="76">
        <f>ROUND(5/60,2)</f>
        <v>0.08</v>
      </c>
      <c r="J10" s="6">
        <f t="shared" ref="J10:J12" si="1">H10*I10</f>
        <v>0.24</v>
      </c>
      <c r="K10" s="76">
        <v>1</v>
      </c>
      <c r="L10" s="76">
        <v>1</v>
      </c>
      <c r="M10" s="7">
        <f t="shared" ref="M10:M12" si="2">K10*L10</f>
        <v>1</v>
      </c>
      <c r="N10" s="76">
        <f>ROUND(5/60,2)</f>
        <v>0.08</v>
      </c>
      <c r="O10" s="8">
        <f t="shared" ref="O10:O12" si="3">N10*M10</f>
        <v>0.08</v>
      </c>
      <c r="P10" s="6">
        <f>SUM(J10,O10)</f>
        <v>0.32</v>
      </c>
      <c r="Q10" s="9">
        <f>'GSA Rates'!$D$5</f>
        <v>54.26</v>
      </c>
      <c r="R10" s="94">
        <f t="shared" ref="R10:R12" si="4">P10*Q10</f>
        <v>17.363199999999999</v>
      </c>
      <c r="S10" s="49"/>
      <c r="T10" s="49"/>
      <c r="U10" s="49"/>
      <c r="V10" s="49"/>
      <c r="W10" s="49"/>
      <c r="X10" s="49"/>
      <c r="Y10" s="49"/>
    </row>
    <row r="11" spans="1:25" ht="24" x14ac:dyDescent="0.2">
      <c r="A11" s="131"/>
      <c r="B11" s="19" t="s">
        <v>14</v>
      </c>
      <c r="C11" s="20" t="s">
        <v>16</v>
      </c>
      <c r="D11" s="119"/>
      <c r="E11" s="74">
        <v>3</v>
      </c>
      <c r="F11" s="76">
        <v>3</v>
      </c>
      <c r="G11" s="76">
        <v>1</v>
      </c>
      <c r="H11" s="5">
        <f t="shared" si="0"/>
        <v>3</v>
      </c>
      <c r="I11" s="76">
        <f>ROUND(5/60,2)</f>
        <v>0.08</v>
      </c>
      <c r="J11" s="6">
        <f t="shared" si="1"/>
        <v>0.24</v>
      </c>
      <c r="K11" s="76">
        <v>0</v>
      </c>
      <c r="L11" s="76">
        <v>0</v>
      </c>
      <c r="M11" s="7">
        <f t="shared" si="2"/>
        <v>0</v>
      </c>
      <c r="N11" s="76">
        <v>0</v>
      </c>
      <c r="O11" s="8">
        <f t="shared" si="3"/>
        <v>0</v>
      </c>
      <c r="P11" s="6">
        <f>SUM(J11,O11)</f>
        <v>0.24</v>
      </c>
      <c r="Q11" s="9">
        <f>'GSA Rates'!$D$5</f>
        <v>54.26</v>
      </c>
      <c r="R11" s="94">
        <f t="shared" si="4"/>
        <v>13.022399999999999</v>
      </c>
      <c r="S11" s="49"/>
      <c r="T11" s="49"/>
      <c r="U11" s="49"/>
      <c r="V11" s="49"/>
      <c r="W11" s="49"/>
      <c r="X11" s="49"/>
      <c r="Y11" s="49"/>
    </row>
    <row r="12" spans="1:25" ht="24" x14ac:dyDescent="0.2">
      <c r="A12" s="131"/>
      <c r="B12" s="19" t="s">
        <v>14</v>
      </c>
      <c r="C12" s="20" t="s">
        <v>17</v>
      </c>
      <c r="D12" s="119"/>
      <c r="E12" s="74">
        <v>3</v>
      </c>
      <c r="F12" s="76">
        <v>3</v>
      </c>
      <c r="G12" s="76">
        <v>1</v>
      </c>
      <c r="H12" s="5">
        <f t="shared" si="0"/>
        <v>3</v>
      </c>
      <c r="I12" s="11">
        <f>ROUND(180/60,2)</f>
        <v>3</v>
      </c>
      <c r="J12" s="6">
        <f t="shared" si="1"/>
        <v>9</v>
      </c>
      <c r="K12" s="76">
        <v>0</v>
      </c>
      <c r="L12" s="76">
        <v>0</v>
      </c>
      <c r="M12" s="7">
        <f t="shared" si="2"/>
        <v>0</v>
      </c>
      <c r="N12" s="76">
        <v>0</v>
      </c>
      <c r="O12" s="8">
        <f t="shared" si="3"/>
        <v>0</v>
      </c>
      <c r="P12" s="6">
        <f>SUM(J12,O12)</f>
        <v>9</v>
      </c>
      <c r="Q12" s="9">
        <f>'GSA Rates'!$D$5</f>
        <v>54.26</v>
      </c>
      <c r="R12" s="94">
        <f t="shared" si="4"/>
        <v>488.34</v>
      </c>
      <c r="S12" s="49"/>
      <c r="T12" s="49"/>
      <c r="U12" s="49"/>
      <c r="V12" s="49"/>
      <c r="W12" s="49"/>
      <c r="X12" s="49"/>
      <c r="Y12" s="49"/>
    </row>
    <row r="13" spans="1:25" ht="15" customHeight="1" x14ac:dyDescent="0.2">
      <c r="A13" s="131"/>
      <c r="B13" s="118" t="s">
        <v>26</v>
      </c>
      <c r="C13" s="118"/>
      <c r="D13" s="118"/>
      <c r="E13" s="77">
        <f>MAX(E10:E12)</f>
        <v>4</v>
      </c>
      <c r="F13" s="12">
        <f>MAX(F10:F12)</f>
        <v>3</v>
      </c>
      <c r="G13" s="12">
        <f>H13/F13</f>
        <v>3</v>
      </c>
      <c r="H13" s="13">
        <f>SUM(H10:H12)</f>
        <v>9</v>
      </c>
      <c r="I13" s="105">
        <f>J13/H13</f>
        <v>1.0533333333333335</v>
      </c>
      <c r="J13" s="14">
        <f>SUM(J10:J12)</f>
        <v>9.48</v>
      </c>
      <c r="K13" s="12">
        <f>MAX(K10:K12)</f>
        <v>1</v>
      </c>
      <c r="L13" s="12">
        <f>M13/K13</f>
        <v>1</v>
      </c>
      <c r="M13" s="15">
        <f>SUM(M10:M12)</f>
        <v>1</v>
      </c>
      <c r="N13" s="12">
        <f>O13/M13</f>
        <v>0.08</v>
      </c>
      <c r="O13" s="16">
        <f>SUM(O10:O12)</f>
        <v>0.08</v>
      </c>
      <c r="P13" s="14">
        <f>SUM(P10:P12)</f>
        <v>9.56</v>
      </c>
      <c r="Q13" s="9">
        <f>'GSA Rates'!$D$5</f>
        <v>54.26</v>
      </c>
      <c r="R13" s="95">
        <f>SUM(R10:R12)</f>
        <v>518.72559999999999</v>
      </c>
      <c r="S13" s="49"/>
      <c r="T13" s="49"/>
      <c r="U13" s="66"/>
      <c r="V13" s="49"/>
      <c r="W13" s="49"/>
      <c r="X13" s="49"/>
      <c r="Y13" s="49"/>
    </row>
    <row r="14" spans="1:25" x14ac:dyDescent="0.2">
      <c r="A14" s="131"/>
      <c r="B14" s="136" t="s">
        <v>27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8"/>
      <c r="Q14" s="90"/>
      <c r="R14" s="96"/>
    </row>
    <row r="15" spans="1:25" ht="42.75" x14ac:dyDescent="0.2">
      <c r="A15" s="131"/>
      <c r="B15" s="19" t="s">
        <v>14</v>
      </c>
      <c r="C15" s="20" t="s">
        <v>28</v>
      </c>
      <c r="D15" s="20" t="s">
        <v>106</v>
      </c>
      <c r="E15" s="7">
        <v>51</v>
      </c>
      <c r="F15" s="5">
        <v>51</v>
      </c>
      <c r="G15" s="5">
        <v>1</v>
      </c>
      <c r="H15" s="5">
        <f t="shared" ref="H15:H22" si="5">F15*G15</f>
        <v>51</v>
      </c>
      <c r="I15" s="6">
        <f>5/60</f>
        <v>8.3333333333333329E-2</v>
      </c>
      <c r="J15" s="6">
        <f t="shared" ref="J15:J23" si="6">H15*I15</f>
        <v>4.25</v>
      </c>
      <c r="K15" s="7">
        <v>0</v>
      </c>
      <c r="L15" s="7">
        <v>0</v>
      </c>
      <c r="M15" s="7">
        <f t="shared" ref="M15:M23" si="7">K15*L15</f>
        <v>0</v>
      </c>
      <c r="N15" s="7">
        <v>0</v>
      </c>
      <c r="O15" s="8">
        <f t="shared" ref="O15:O23" si="8">N15*M15</f>
        <v>0</v>
      </c>
      <c r="P15" s="6">
        <f t="shared" ref="P15:P23" si="9">SUM(J15,O15)</f>
        <v>4.25</v>
      </c>
      <c r="Q15" s="9">
        <f>'GSA Rates'!$D$5</f>
        <v>54.26</v>
      </c>
      <c r="R15" s="97">
        <f t="shared" ref="R15:R23" si="10">P15*Q15</f>
        <v>230.60499999999999</v>
      </c>
      <c r="U15" s="67" t="s">
        <v>77</v>
      </c>
      <c r="V15" s="48" t="s">
        <v>4</v>
      </c>
    </row>
    <row r="16" spans="1:25" ht="24" x14ac:dyDescent="0.2">
      <c r="A16" s="131"/>
      <c r="B16" s="19" t="s">
        <v>14</v>
      </c>
      <c r="C16" s="20" t="s">
        <v>30</v>
      </c>
      <c r="D16" s="20" t="s">
        <v>49</v>
      </c>
      <c r="E16" s="7">
        <v>51</v>
      </c>
      <c r="F16" s="5">
        <v>51</v>
      </c>
      <c r="G16" s="5">
        <v>1</v>
      </c>
      <c r="H16" s="5">
        <f t="shared" si="5"/>
        <v>51</v>
      </c>
      <c r="I16" s="6">
        <f>5/60</f>
        <v>8.3333333333333329E-2</v>
      </c>
      <c r="J16" s="6">
        <f t="shared" si="6"/>
        <v>4.25</v>
      </c>
      <c r="K16" s="7">
        <v>0</v>
      </c>
      <c r="L16" s="7">
        <v>0</v>
      </c>
      <c r="M16" s="7">
        <f t="shared" si="7"/>
        <v>0</v>
      </c>
      <c r="N16" s="7">
        <v>0</v>
      </c>
      <c r="O16" s="8">
        <f t="shared" si="8"/>
        <v>0</v>
      </c>
      <c r="P16" s="6">
        <f t="shared" si="9"/>
        <v>4.25</v>
      </c>
      <c r="Q16" s="9">
        <f>'GSA Rates'!$D$5</f>
        <v>54.26</v>
      </c>
      <c r="R16" s="97">
        <f t="shared" si="10"/>
        <v>230.60499999999999</v>
      </c>
      <c r="T16" s="48">
        <v>51</v>
      </c>
      <c r="U16" s="48">
        <v>0.31</v>
      </c>
      <c r="V16" s="48">
        <f>ROUND(U16*$T$16,0)</f>
        <v>16</v>
      </c>
    </row>
    <row r="17" spans="1:25" ht="24" x14ac:dyDescent="0.2">
      <c r="A17" s="131"/>
      <c r="B17" s="19" t="s">
        <v>14</v>
      </c>
      <c r="C17" s="20" t="s">
        <v>32</v>
      </c>
      <c r="D17" s="20" t="s">
        <v>51</v>
      </c>
      <c r="E17" s="7">
        <v>36</v>
      </c>
      <c r="F17" s="5">
        <f t="shared" ref="F17:F22" si="11">ROUND($E$15*U17,0)</f>
        <v>4</v>
      </c>
      <c r="G17" s="5">
        <v>1</v>
      </c>
      <c r="H17" s="5">
        <f t="shared" si="5"/>
        <v>4</v>
      </c>
      <c r="I17" s="6">
        <f t="shared" ref="I17:I22" si="12">1.5/60</f>
        <v>2.5000000000000001E-2</v>
      </c>
      <c r="J17" s="6">
        <f t="shared" si="6"/>
        <v>0.1</v>
      </c>
      <c r="K17" s="7">
        <f t="shared" ref="K17:K22" si="13">E17-F17</f>
        <v>32</v>
      </c>
      <c r="L17" s="7">
        <v>1</v>
      </c>
      <c r="M17" s="7">
        <f t="shared" si="7"/>
        <v>32</v>
      </c>
      <c r="N17" s="8">
        <f>1.5/60</f>
        <v>2.5000000000000001E-2</v>
      </c>
      <c r="O17" s="8">
        <f t="shared" si="8"/>
        <v>0.8</v>
      </c>
      <c r="P17" s="6">
        <f t="shared" si="9"/>
        <v>0.9</v>
      </c>
      <c r="Q17" s="9">
        <f>'GSA Rates'!$D$5</f>
        <v>54.26</v>
      </c>
      <c r="R17" s="97">
        <f t="shared" si="10"/>
        <v>48.833999999999996</v>
      </c>
      <c r="T17" s="48">
        <f t="shared" ref="T17:T22" si="14">T16-V16</f>
        <v>35</v>
      </c>
      <c r="U17" s="48">
        <v>0.08</v>
      </c>
      <c r="V17" s="48">
        <f t="shared" ref="V17:V22" si="15">ROUND(U17*$T$16,0)</f>
        <v>4</v>
      </c>
    </row>
    <row r="18" spans="1:25" ht="23.25" customHeight="1" x14ac:dyDescent="0.2">
      <c r="A18" s="131"/>
      <c r="B18" s="19" t="s">
        <v>14</v>
      </c>
      <c r="C18" s="20" t="s">
        <v>34</v>
      </c>
      <c r="D18" s="20" t="s">
        <v>51</v>
      </c>
      <c r="E18" s="7">
        <f>K17</f>
        <v>32</v>
      </c>
      <c r="F18" s="5">
        <f t="shared" si="11"/>
        <v>4</v>
      </c>
      <c r="G18" s="5">
        <v>1</v>
      </c>
      <c r="H18" s="5">
        <f t="shared" si="5"/>
        <v>4</v>
      </c>
      <c r="I18" s="6">
        <f t="shared" si="12"/>
        <v>2.5000000000000001E-2</v>
      </c>
      <c r="J18" s="6">
        <f t="shared" si="6"/>
        <v>0.1</v>
      </c>
      <c r="K18" s="7">
        <f t="shared" si="13"/>
        <v>28</v>
      </c>
      <c r="L18" s="7">
        <v>1</v>
      </c>
      <c r="M18" s="7">
        <f t="shared" si="7"/>
        <v>28</v>
      </c>
      <c r="N18" s="8">
        <f>1.5/60</f>
        <v>2.5000000000000001E-2</v>
      </c>
      <c r="O18" s="8">
        <f t="shared" si="8"/>
        <v>0.70000000000000007</v>
      </c>
      <c r="P18" s="6">
        <f t="shared" si="9"/>
        <v>0.8</v>
      </c>
      <c r="Q18" s="9">
        <f>'GSA Rates'!$D$5</f>
        <v>54.26</v>
      </c>
      <c r="R18" s="97">
        <f t="shared" si="10"/>
        <v>43.408000000000001</v>
      </c>
      <c r="T18" s="48">
        <f t="shared" si="14"/>
        <v>31</v>
      </c>
      <c r="U18" s="48">
        <v>0.08</v>
      </c>
      <c r="V18" s="48">
        <f t="shared" si="15"/>
        <v>4</v>
      </c>
    </row>
    <row r="19" spans="1:25" ht="24" x14ac:dyDescent="0.2">
      <c r="A19" s="131"/>
      <c r="B19" s="19" t="s">
        <v>14</v>
      </c>
      <c r="C19" s="20" t="s">
        <v>35</v>
      </c>
      <c r="D19" s="20" t="s">
        <v>51</v>
      </c>
      <c r="E19" s="7">
        <f>E18-F18</f>
        <v>28</v>
      </c>
      <c r="F19" s="5">
        <f t="shared" si="11"/>
        <v>4</v>
      </c>
      <c r="G19" s="5">
        <v>1</v>
      </c>
      <c r="H19" s="5">
        <f t="shared" si="5"/>
        <v>4</v>
      </c>
      <c r="I19" s="6">
        <f t="shared" si="12"/>
        <v>2.5000000000000001E-2</v>
      </c>
      <c r="J19" s="6">
        <f t="shared" si="6"/>
        <v>0.1</v>
      </c>
      <c r="K19" s="7">
        <f t="shared" si="13"/>
        <v>24</v>
      </c>
      <c r="L19" s="7">
        <v>1</v>
      </c>
      <c r="M19" s="7">
        <f t="shared" si="7"/>
        <v>24</v>
      </c>
      <c r="N19" s="8">
        <f>1.5/60</f>
        <v>2.5000000000000001E-2</v>
      </c>
      <c r="O19" s="8">
        <f t="shared" si="8"/>
        <v>0.60000000000000009</v>
      </c>
      <c r="P19" s="6">
        <f t="shared" si="9"/>
        <v>0.70000000000000007</v>
      </c>
      <c r="Q19" s="9">
        <f>'GSA Rates'!$D$5</f>
        <v>54.26</v>
      </c>
      <c r="R19" s="97">
        <f t="shared" si="10"/>
        <v>37.981999999999999</v>
      </c>
      <c r="T19" s="48">
        <f t="shared" si="14"/>
        <v>27</v>
      </c>
      <c r="U19" s="48">
        <v>0.08</v>
      </c>
      <c r="V19" s="48">
        <f t="shared" si="15"/>
        <v>4</v>
      </c>
    </row>
    <row r="20" spans="1:25" ht="24" x14ac:dyDescent="0.2">
      <c r="A20" s="131"/>
      <c r="B20" s="19" t="s">
        <v>14</v>
      </c>
      <c r="C20" s="20" t="s">
        <v>36</v>
      </c>
      <c r="D20" s="20" t="s">
        <v>55</v>
      </c>
      <c r="E20" s="7">
        <f>E19-F19</f>
        <v>24</v>
      </c>
      <c r="F20" s="5">
        <f t="shared" si="11"/>
        <v>8</v>
      </c>
      <c r="G20" s="5">
        <v>1</v>
      </c>
      <c r="H20" s="5">
        <f t="shared" si="5"/>
        <v>8</v>
      </c>
      <c r="I20" s="6">
        <f t="shared" si="12"/>
        <v>2.5000000000000001E-2</v>
      </c>
      <c r="J20" s="6">
        <f>H20*I20</f>
        <v>0.2</v>
      </c>
      <c r="K20" s="7">
        <f t="shared" si="13"/>
        <v>16</v>
      </c>
      <c r="L20" s="7">
        <v>1</v>
      </c>
      <c r="M20" s="7">
        <f>K20*L20</f>
        <v>16</v>
      </c>
      <c r="N20" s="8">
        <f>1.5/60</f>
        <v>2.5000000000000001E-2</v>
      </c>
      <c r="O20" s="8">
        <f>N20*M20</f>
        <v>0.4</v>
      </c>
      <c r="P20" s="6">
        <f t="shared" si="9"/>
        <v>0.60000000000000009</v>
      </c>
      <c r="Q20" s="9">
        <f>'GSA Rates'!$D$5</f>
        <v>54.26</v>
      </c>
      <c r="R20" s="97">
        <f t="shared" si="10"/>
        <v>32.556000000000004</v>
      </c>
      <c r="T20" s="48">
        <f t="shared" si="14"/>
        <v>23</v>
      </c>
      <c r="U20" s="48">
        <v>0.15</v>
      </c>
      <c r="V20" s="48">
        <f t="shared" si="15"/>
        <v>8</v>
      </c>
    </row>
    <row r="21" spans="1:25" ht="24" x14ac:dyDescent="0.2">
      <c r="A21" s="131"/>
      <c r="B21" s="19" t="s">
        <v>14</v>
      </c>
      <c r="C21" s="20" t="s">
        <v>38</v>
      </c>
      <c r="D21" s="20" t="s">
        <v>55</v>
      </c>
      <c r="E21" s="7">
        <f>E20-F20</f>
        <v>16</v>
      </c>
      <c r="F21" s="5">
        <f t="shared" si="11"/>
        <v>8</v>
      </c>
      <c r="G21" s="5">
        <v>1</v>
      </c>
      <c r="H21" s="5">
        <f t="shared" si="5"/>
        <v>8</v>
      </c>
      <c r="I21" s="6">
        <f t="shared" si="12"/>
        <v>2.5000000000000001E-2</v>
      </c>
      <c r="J21" s="6">
        <f>H21*I21</f>
        <v>0.2</v>
      </c>
      <c r="K21" s="7">
        <f t="shared" si="13"/>
        <v>8</v>
      </c>
      <c r="L21" s="7">
        <v>1</v>
      </c>
      <c r="M21" s="7">
        <f>K21*L21</f>
        <v>8</v>
      </c>
      <c r="N21" s="8">
        <f>1.5/60</f>
        <v>2.5000000000000001E-2</v>
      </c>
      <c r="O21" s="8">
        <f>N21*M21</f>
        <v>0.2</v>
      </c>
      <c r="P21" s="6">
        <f t="shared" si="9"/>
        <v>0.4</v>
      </c>
      <c r="Q21" s="9">
        <f>'GSA Rates'!$D$5</f>
        <v>54.26</v>
      </c>
      <c r="R21" s="97">
        <f t="shared" si="10"/>
        <v>21.704000000000001</v>
      </c>
      <c r="T21" s="48">
        <f t="shared" si="14"/>
        <v>15</v>
      </c>
      <c r="U21" s="48">
        <v>0.15</v>
      </c>
      <c r="V21" s="48">
        <f t="shared" si="15"/>
        <v>8</v>
      </c>
    </row>
    <row r="22" spans="1:25" ht="24" x14ac:dyDescent="0.2">
      <c r="A22" s="131"/>
      <c r="B22" s="19" t="s">
        <v>14</v>
      </c>
      <c r="C22" s="20" t="s">
        <v>39</v>
      </c>
      <c r="D22" s="20" t="s">
        <v>55</v>
      </c>
      <c r="E22" s="7">
        <f>E21-F21</f>
        <v>8</v>
      </c>
      <c r="F22" s="5">
        <f t="shared" si="11"/>
        <v>8</v>
      </c>
      <c r="G22" s="5">
        <v>1</v>
      </c>
      <c r="H22" s="5">
        <f t="shared" si="5"/>
        <v>8</v>
      </c>
      <c r="I22" s="6">
        <f t="shared" si="12"/>
        <v>2.5000000000000001E-2</v>
      </c>
      <c r="J22" s="6">
        <f>H22*I22</f>
        <v>0.2</v>
      </c>
      <c r="K22" s="7">
        <f t="shared" si="13"/>
        <v>0</v>
      </c>
      <c r="L22" s="7">
        <v>0</v>
      </c>
      <c r="M22" s="7">
        <f>K22*L22</f>
        <v>0</v>
      </c>
      <c r="N22" s="7">
        <v>0</v>
      </c>
      <c r="O22" s="8">
        <f>N22*M22</f>
        <v>0</v>
      </c>
      <c r="P22" s="6">
        <f t="shared" si="9"/>
        <v>0.2</v>
      </c>
      <c r="Q22" s="9">
        <f>'GSA Rates'!$D$5</f>
        <v>54.26</v>
      </c>
      <c r="R22" s="97">
        <f t="shared" si="10"/>
        <v>10.852</v>
      </c>
      <c r="T22" s="48">
        <f t="shared" si="14"/>
        <v>7</v>
      </c>
      <c r="U22" s="48">
        <v>0.15</v>
      </c>
      <c r="V22" s="48">
        <f t="shared" si="15"/>
        <v>8</v>
      </c>
    </row>
    <row r="23" spans="1:25" ht="24" x14ac:dyDescent="0.2">
      <c r="A23" s="131"/>
      <c r="B23" s="2" t="s">
        <v>14</v>
      </c>
      <c r="C23" s="3" t="s">
        <v>40</v>
      </c>
      <c r="D23" s="3" t="s">
        <v>102</v>
      </c>
      <c r="E23" s="5">
        <v>51</v>
      </c>
      <c r="F23" s="5">
        <v>51</v>
      </c>
      <c r="G23" s="5">
        <v>1</v>
      </c>
      <c r="H23" s="5">
        <v>51</v>
      </c>
      <c r="I23" s="6">
        <f>60/60</f>
        <v>1</v>
      </c>
      <c r="J23" s="6">
        <f t="shared" si="6"/>
        <v>51</v>
      </c>
      <c r="K23" s="5">
        <v>0</v>
      </c>
      <c r="L23" s="5">
        <v>0</v>
      </c>
      <c r="M23" s="7">
        <f t="shared" si="7"/>
        <v>0</v>
      </c>
      <c r="N23" s="6">
        <v>0</v>
      </c>
      <c r="O23" s="8">
        <f t="shared" si="8"/>
        <v>0</v>
      </c>
      <c r="P23" s="6">
        <f t="shared" si="9"/>
        <v>51</v>
      </c>
      <c r="Q23" s="9">
        <f>'GSA Rates'!$D$5</f>
        <v>54.26</v>
      </c>
      <c r="R23" s="97">
        <f t="shared" si="10"/>
        <v>2767.2599999999998</v>
      </c>
      <c r="S23" s="68"/>
      <c r="T23" s="68"/>
      <c r="U23" s="68">
        <f>SUM(U16:U22)</f>
        <v>1</v>
      </c>
      <c r="V23" s="68">
        <f>SUM(V16:V22)</f>
        <v>52</v>
      </c>
      <c r="W23" s="68"/>
      <c r="X23" s="68"/>
      <c r="Y23" s="68"/>
    </row>
    <row r="24" spans="1:25" ht="15" customHeight="1" x14ac:dyDescent="0.2">
      <c r="A24" s="131"/>
      <c r="B24" s="107" t="s">
        <v>42</v>
      </c>
      <c r="C24" s="107"/>
      <c r="D24" s="107"/>
      <c r="E24" s="13">
        <v>51</v>
      </c>
      <c r="F24" s="13">
        <v>51</v>
      </c>
      <c r="G24" s="13">
        <f>H24/F24</f>
        <v>3.7058823529411766</v>
      </c>
      <c r="H24" s="13">
        <f>SUM(H15:H23)</f>
        <v>189</v>
      </c>
      <c r="I24" s="14">
        <f>J24/H24</f>
        <v>0.31957671957671957</v>
      </c>
      <c r="J24" s="14">
        <f>SUM(J15:J23)</f>
        <v>60.4</v>
      </c>
      <c r="K24" s="13">
        <v>36</v>
      </c>
      <c r="L24" s="13">
        <f>M24/K24</f>
        <v>3</v>
      </c>
      <c r="M24" s="15">
        <f>SUM(M15:M23)</f>
        <v>108</v>
      </c>
      <c r="N24" s="14">
        <f>O24/M24</f>
        <v>2.5000000000000001E-2</v>
      </c>
      <c r="O24" s="16">
        <f>SUM(O15:O23)</f>
        <v>2.7</v>
      </c>
      <c r="P24" s="14">
        <f>SUM(P15:P23)</f>
        <v>63.1</v>
      </c>
      <c r="Q24" s="9">
        <f>'GSA Rates'!$D$5</f>
        <v>54.26</v>
      </c>
      <c r="R24" s="98">
        <f>SUM(R15:R23)</f>
        <v>3423.8059999999996</v>
      </c>
      <c r="S24" s="68"/>
      <c r="T24" s="68"/>
      <c r="U24" s="68"/>
      <c r="V24" s="68"/>
      <c r="W24" s="68"/>
      <c r="X24" s="68"/>
      <c r="Y24" s="68"/>
    </row>
    <row r="25" spans="1:25" x14ac:dyDescent="0.2">
      <c r="A25" s="131"/>
      <c r="B25" s="156" t="s">
        <v>43</v>
      </c>
      <c r="C25" s="156"/>
      <c r="D25" s="156"/>
      <c r="E25" s="55">
        <f>E24+E13</f>
        <v>55</v>
      </c>
      <c r="F25" s="55">
        <f t="shared" ref="F25:R25" si="16">F24+F13</f>
        <v>54</v>
      </c>
      <c r="G25" s="55">
        <f>H25/F25</f>
        <v>3.6666666666666665</v>
      </c>
      <c r="H25" s="55">
        <f t="shared" si="16"/>
        <v>198</v>
      </c>
      <c r="I25" s="72">
        <f>J25/H25</f>
        <v>0.35292929292929293</v>
      </c>
      <c r="J25" s="72">
        <f t="shared" si="16"/>
        <v>69.88</v>
      </c>
      <c r="K25" s="55">
        <f t="shared" si="16"/>
        <v>37</v>
      </c>
      <c r="L25" s="55">
        <f>M25/K25</f>
        <v>2.9459459459459461</v>
      </c>
      <c r="M25" s="55">
        <f t="shared" si="16"/>
        <v>109</v>
      </c>
      <c r="N25" s="72">
        <f>O25/M25</f>
        <v>2.5504587155963303E-2</v>
      </c>
      <c r="O25" s="72">
        <f t="shared" si="16"/>
        <v>2.7800000000000002</v>
      </c>
      <c r="P25" s="72">
        <f t="shared" si="16"/>
        <v>72.66</v>
      </c>
      <c r="Q25" s="71">
        <f>AVERAGE(Q15:Q24)</f>
        <v>54.260000000000005</v>
      </c>
      <c r="R25" s="99">
        <f t="shared" si="16"/>
        <v>3942.5315999999993</v>
      </c>
      <c r="S25" s="68"/>
      <c r="T25" s="68"/>
    </row>
    <row r="26" spans="1:25" ht="15" customHeight="1" x14ac:dyDescent="0.2">
      <c r="A26" s="131"/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91"/>
      <c r="R26" s="91"/>
      <c r="T26" s="68"/>
    </row>
    <row r="27" spans="1:25" x14ac:dyDescent="0.2">
      <c r="A27" s="131"/>
      <c r="B27" s="133" t="s">
        <v>78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89"/>
      <c r="R27" s="100"/>
      <c r="T27" s="68"/>
    </row>
    <row r="28" spans="1:25" x14ac:dyDescent="0.2">
      <c r="A28" s="131"/>
      <c r="B28" s="141" t="s">
        <v>84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03"/>
      <c r="R28" s="93"/>
      <c r="T28" s="68"/>
    </row>
    <row r="29" spans="1:25" x14ac:dyDescent="0.2">
      <c r="A29" s="131"/>
      <c r="B29" s="19" t="s">
        <v>21</v>
      </c>
      <c r="C29" s="20" t="s">
        <v>15</v>
      </c>
      <c r="D29" s="119"/>
      <c r="E29" s="74">
        <v>7</v>
      </c>
      <c r="F29" s="76">
        <v>6</v>
      </c>
      <c r="G29" s="76">
        <v>1</v>
      </c>
      <c r="H29" s="5">
        <f t="shared" ref="H29:H31" si="17">F29*G29</f>
        <v>6</v>
      </c>
      <c r="I29" s="76">
        <f>ROUND(5/60,2)</f>
        <v>0.08</v>
      </c>
      <c r="J29" s="6">
        <f t="shared" ref="J29:J31" si="18">H29*I29</f>
        <v>0.48</v>
      </c>
      <c r="K29" s="76">
        <v>1</v>
      </c>
      <c r="L29" s="76">
        <v>1</v>
      </c>
      <c r="M29" s="7">
        <f t="shared" ref="M29:M31" si="19">K29*L29</f>
        <v>1</v>
      </c>
      <c r="N29" s="76">
        <f>ROUND(5/60,2)</f>
        <v>0.08</v>
      </c>
      <c r="O29" s="8">
        <f t="shared" ref="O29:O31" si="20">N29*M29</f>
        <v>0.08</v>
      </c>
      <c r="P29" s="6">
        <f>SUM(J29,O29)</f>
        <v>0.55999999999999994</v>
      </c>
      <c r="Q29" s="9">
        <f>'GSA Rates'!D4</f>
        <v>26.95</v>
      </c>
      <c r="R29" s="94">
        <f t="shared" ref="R29:R31" si="21">P29*Q29</f>
        <v>15.091999999999999</v>
      </c>
      <c r="T29" s="68"/>
    </row>
    <row r="30" spans="1:25" x14ac:dyDescent="0.2">
      <c r="A30" s="131"/>
      <c r="B30" s="19" t="s">
        <v>21</v>
      </c>
      <c r="C30" s="20" t="s">
        <v>16</v>
      </c>
      <c r="D30" s="119"/>
      <c r="E30" s="74">
        <v>6</v>
      </c>
      <c r="F30" s="76">
        <v>6</v>
      </c>
      <c r="G30" s="76">
        <v>1</v>
      </c>
      <c r="H30" s="5">
        <f t="shared" si="17"/>
        <v>6</v>
      </c>
      <c r="I30" s="76">
        <f>ROUND(5/60,2)</f>
        <v>0.08</v>
      </c>
      <c r="J30" s="6">
        <f t="shared" si="18"/>
        <v>0.48</v>
      </c>
      <c r="K30" s="76">
        <v>0</v>
      </c>
      <c r="L30" s="76">
        <v>0</v>
      </c>
      <c r="M30" s="7">
        <f t="shared" si="19"/>
        <v>0</v>
      </c>
      <c r="N30" s="76">
        <v>0</v>
      </c>
      <c r="O30" s="8">
        <f t="shared" si="20"/>
        <v>0</v>
      </c>
      <c r="P30" s="6">
        <f>SUM(J30,O30)</f>
        <v>0.48</v>
      </c>
      <c r="Q30" s="9">
        <f>'GSA Rates'!D4</f>
        <v>26.95</v>
      </c>
      <c r="R30" s="94">
        <f t="shared" si="21"/>
        <v>12.936</v>
      </c>
      <c r="T30" s="68"/>
    </row>
    <row r="31" spans="1:25" x14ac:dyDescent="0.2">
      <c r="A31" s="131"/>
      <c r="B31" s="19" t="s">
        <v>21</v>
      </c>
      <c r="C31" s="20" t="s">
        <v>17</v>
      </c>
      <c r="D31" s="119"/>
      <c r="E31" s="74">
        <v>6</v>
      </c>
      <c r="F31" s="76">
        <v>6</v>
      </c>
      <c r="G31" s="76">
        <v>1</v>
      </c>
      <c r="H31" s="5">
        <f t="shared" si="17"/>
        <v>6</v>
      </c>
      <c r="I31" s="11">
        <f>ROUND(180/60,2)</f>
        <v>3</v>
      </c>
      <c r="J31" s="6">
        <f t="shared" si="18"/>
        <v>18</v>
      </c>
      <c r="K31" s="76">
        <v>0</v>
      </c>
      <c r="L31" s="76">
        <v>0</v>
      </c>
      <c r="M31" s="7">
        <f t="shared" si="19"/>
        <v>0</v>
      </c>
      <c r="N31" s="76">
        <v>0</v>
      </c>
      <c r="O31" s="8">
        <f t="shared" si="20"/>
        <v>0</v>
      </c>
      <c r="P31" s="6">
        <f>SUM(J31,O31)</f>
        <v>18</v>
      </c>
      <c r="Q31" s="9">
        <f>'GSA Rates'!D4</f>
        <v>26.95</v>
      </c>
      <c r="R31" s="94">
        <f t="shared" si="21"/>
        <v>485.09999999999997</v>
      </c>
      <c r="T31" s="68"/>
    </row>
    <row r="32" spans="1:25" ht="15" customHeight="1" x14ac:dyDescent="0.2">
      <c r="A32" s="131"/>
      <c r="B32" s="107" t="s">
        <v>26</v>
      </c>
      <c r="C32" s="107"/>
      <c r="D32" s="107"/>
      <c r="E32" s="12">
        <f>MAX(E29:E31)</f>
        <v>7</v>
      </c>
      <c r="F32" s="12">
        <f>MAX(F29:F31)</f>
        <v>6</v>
      </c>
      <c r="G32" s="22">
        <f>H32/F32</f>
        <v>3</v>
      </c>
      <c r="H32" s="23">
        <f>SUM(H29:H31)</f>
        <v>18</v>
      </c>
      <c r="I32" s="22">
        <f>ROUND(J32/H32,2)</f>
        <v>1.05</v>
      </c>
      <c r="J32" s="24">
        <f>SUM(J29:J31)</f>
        <v>18.96</v>
      </c>
      <c r="K32" s="12">
        <v>1</v>
      </c>
      <c r="L32" s="22">
        <f>M32/K32</f>
        <v>1</v>
      </c>
      <c r="M32" s="23">
        <f>SUM(M29:M31)</f>
        <v>1</v>
      </c>
      <c r="N32" s="22">
        <f>O32/M32</f>
        <v>0.08</v>
      </c>
      <c r="O32" s="24">
        <f>SUM(O29:O31)</f>
        <v>0.08</v>
      </c>
      <c r="P32" s="14">
        <f>SUM(J32,O32)</f>
        <v>19.04</v>
      </c>
      <c r="Q32" s="73">
        <f>AVERAGE(Q29:Q31)</f>
        <v>26.95</v>
      </c>
      <c r="R32" s="101">
        <f>SUM(R29:R31)</f>
        <v>513.12799999999993</v>
      </c>
      <c r="S32" s="50"/>
      <c r="T32" s="51"/>
      <c r="U32" s="50"/>
      <c r="V32" s="50"/>
      <c r="W32" s="50"/>
      <c r="X32" s="50"/>
      <c r="Y32" s="50"/>
    </row>
    <row r="33" spans="1:23" x14ac:dyDescent="0.2">
      <c r="A33" s="131"/>
      <c r="B33" s="136" t="s">
        <v>79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8"/>
      <c r="Q33" s="90"/>
      <c r="R33" s="96"/>
      <c r="T33" s="68"/>
    </row>
    <row r="34" spans="1:23" ht="36" x14ac:dyDescent="0.2">
      <c r="A34" s="131"/>
      <c r="B34" s="33" t="s">
        <v>21</v>
      </c>
      <c r="C34" s="20" t="s">
        <v>46</v>
      </c>
      <c r="D34" s="20" t="s">
        <v>107</v>
      </c>
      <c r="E34" s="34">
        <v>2520</v>
      </c>
      <c r="F34" s="35">
        <v>2520</v>
      </c>
      <c r="G34" s="35">
        <v>1</v>
      </c>
      <c r="H34" s="35">
        <f t="shared" ref="H34:H42" si="22">F34*G34</f>
        <v>2520</v>
      </c>
      <c r="I34" s="36">
        <f>5/60</f>
        <v>8.3333333333333329E-2</v>
      </c>
      <c r="J34" s="36">
        <f>0.08*H34</f>
        <v>201.6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6">
        <f t="shared" ref="P34:P42" si="23">O34+J34</f>
        <v>201.6</v>
      </c>
      <c r="Q34" s="9">
        <f>'GSA Rates'!D4</f>
        <v>26.95</v>
      </c>
      <c r="R34" s="97">
        <f t="shared" ref="R34:R42" si="24">P34*Q34</f>
        <v>5433.12</v>
      </c>
      <c r="T34" s="68"/>
    </row>
    <row r="35" spans="1:23" x14ac:dyDescent="0.2">
      <c r="A35" s="131"/>
      <c r="B35" s="33" t="s">
        <v>21</v>
      </c>
      <c r="C35" s="20" t="s">
        <v>48</v>
      </c>
      <c r="D35" s="74" t="s">
        <v>103</v>
      </c>
      <c r="E35" s="34">
        <v>2520</v>
      </c>
      <c r="F35" s="35">
        <v>2520</v>
      </c>
      <c r="G35" s="35">
        <v>1</v>
      </c>
      <c r="H35" s="35">
        <f t="shared" si="22"/>
        <v>2520</v>
      </c>
      <c r="I35" s="36">
        <f>5/60</f>
        <v>8.3333333333333329E-2</v>
      </c>
      <c r="J35" s="36">
        <f>0.08*H35</f>
        <v>201.6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6">
        <f t="shared" si="23"/>
        <v>201.6</v>
      </c>
      <c r="Q35" s="9">
        <f>Q34</f>
        <v>26.95</v>
      </c>
      <c r="R35" s="97">
        <f t="shared" si="24"/>
        <v>5433.12</v>
      </c>
      <c r="T35" s="48">
        <v>2520</v>
      </c>
      <c r="U35" s="48">
        <v>11</v>
      </c>
      <c r="V35" s="48">
        <f>ROUND(U35/100*$T$35,0)</f>
        <v>277</v>
      </c>
    </row>
    <row r="36" spans="1:23" x14ac:dyDescent="0.2">
      <c r="A36" s="131"/>
      <c r="B36" s="33" t="s">
        <v>21</v>
      </c>
      <c r="C36" s="20" t="s">
        <v>50</v>
      </c>
      <c r="D36" s="74" t="s">
        <v>31</v>
      </c>
      <c r="E36" s="34">
        <f>0.7*(E34)</f>
        <v>1764</v>
      </c>
      <c r="F36" s="35">
        <f t="shared" ref="F36:F41" si="25">ROUND($E$35*U36/100,0)</f>
        <v>202</v>
      </c>
      <c r="G36" s="35">
        <v>1</v>
      </c>
      <c r="H36" s="35">
        <f t="shared" si="22"/>
        <v>202</v>
      </c>
      <c r="I36" s="36">
        <f t="shared" ref="I36:I41" si="26">1.5/60</f>
        <v>2.5000000000000001E-2</v>
      </c>
      <c r="J36" s="36">
        <f t="shared" ref="J36:J42" si="27">I36*H36</f>
        <v>5.0500000000000007</v>
      </c>
      <c r="K36" s="34">
        <f t="shared" ref="K36:K41" si="28">E36-F36</f>
        <v>1562</v>
      </c>
      <c r="L36" s="34">
        <v>1</v>
      </c>
      <c r="M36" s="34">
        <f t="shared" ref="M36:M42" si="29">K36*L36</f>
        <v>1562</v>
      </c>
      <c r="N36" s="8">
        <f t="shared" ref="N36:N41" si="30">1.5/60</f>
        <v>2.5000000000000001E-2</v>
      </c>
      <c r="O36" s="8">
        <f t="shared" ref="O36:O41" si="31">M36*N36</f>
        <v>39.050000000000004</v>
      </c>
      <c r="P36" s="6">
        <f t="shared" si="23"/>
        <v>44.100000000000009</v>
      </c>
      <c r="Q36" s="9">
        <f t="shared" ref="Q36:Q42" si="32">Q35</f>
        <v>26.95</v>
      </c>
      <c r="R36" s="97">
        <f t="shared" si="24"/>
        <v>1188.4950000000001</v>
      </c>
      <c r="S36" s="69"/>
      <c r="U36" s="48">
        <v>8</v>
      </c>
      <c r="V36" s="48">
        <f t="shared" ref="V36:V41" si="33">ROUND(U36/100*$T$35,0)</f>
        <v>202</v>
      </c>
    </row>
    <row r="37" spans="1:23" x14ac:dyDescent="0.2">
      <c r="A37" s="131"/>
      <c r="B37" s="33" t="s">
        <v>21</v>
      </c>
      <c r="C37" s="20" t="s">
        <v>52</v>
      </c>
      <c r="D37" s="74" t="s">
        <v>31</v>
      </c>
      <c r="E37" s="34">
        <f>K36</f>
        <v>1562</v>
      </c>
      <c r="F37" s="35">
        <f t="shared" si="25"/>
        <v>202</v>
      </c>
      <c r="G37" s="35">
        <v>1</v>
      </c>
      <c r="H37" s="35">
        <f t="shared" si="22"/>
        <v>202</v>
      </c>
      <c r="I37" s="36">
        <f t="shared" si="26"/>
        <v>2.5000000000000001E-2</v>
      </c>
      <c r="J37" s="36">
        <f t="shared" si="27"/>
        <v>5.0500000000000007</v>
      </c>
      <c r="K37" s="34">
        <f t="shared" si="28"/>
        <v>1360</v>
      </c>
      <c r="L37" s="34">
        <v>1</v>
      </c>
      <c r="M37" s="34">
        <f t="shared" si="29"/>
        <v>1360</v>
      </c>
      <c r="N37" s="8">
        <f t="shared" si="30"/>
        <v>2.5000000000000001E-2</v>
      </c>
      <c r="O37" s="8">
        <f t="shared" si="31"/>
        <v>34</v>
      </c>
      <c r="P37" s="6">
        <f t="shared" si="23"/>
        <v>39.049999999999997</v>
      </c>
      <c r="Q37" s="9">
        <f t="shared" si="32"/>
        <v>26.95</v>
      </c>
      <c r="R37" s="97">
        <f t="shared" si="24"/>
        <v>1052.3974999999998</v>
      </c>
      <c r="U37" s="48">
        <v>8</v>
      </c>
      <c r="V37" s="48">
        <f t="shared" si="33"/>
        <v>202</v>
      </c>
    </row>
    <row r="38" spans="1:23" x14ac:dyDescent="0.2">
      <c r="A38" s="131"/>
      <c r="B38" s="33" t="s">
        <v>21</v>
      </c>
      <c r="C38" s="20" t="s">
        <v>53</v>
      </c>
      <c r="D38" s="74" t="s">
        <v>31</v>
      </c>
      <c r="E38" s="34">
        <f>K37</f>
        <v>1360</v>
      </c>
      <c r="F38" s="35">
        <f t="shared" si="25"/>
        <v>202</v>
      </c>
      <c r="G38" s="35">
        <v>1</v>
      </c>
      <c r="H38" s="35">
        <f t="shared" si="22"/>
        <v>202</v>
      </c>
      <c r="I38" s="36">
        <f t="shared" si="26"/>
        <v>2.5000000000000001E-2</v>
      </c>
      <c r="J38" s="36">
        <f t="shared" si="27"/>
        <v>5.0500000000000007</v>
      </c>
      <c r="K38" s="34">
        <f t="shared" si="28"/>
        <v>1158</v>
      </c>
      <c r="L38" s="34">
        <v>1</v>
      </c>
      <c r="M38" s="34">
        <f t="shared" si="29"/>
        <v>1158</v>
      </c>
      <c r="N38" s="8">
        <f t="shared" si="30"/>
        <v>2.5000000000000001E-2</v>
      </c>
      <c r="O38" s="8">
        <f t="shared" si="31"/>
        <v>28.950000000000003</v>
      </c>
      <c r="P38" s="6">
        <f t="shared" si="23"/>
        <v>34</v>
      </c>
      <c r="Q38" s="9">
        <f t="shared" si="32"/>
        <v>26.95</v>
      </c>
      <c r="R38" s="97">
        <f t="shared" si="24"/>
        <v>916.3</v>
      </c>
      <c r="U38" s="48">
        <v>8</v>
      </c>
      <c r="V38" s="48">
        <f t="shared" si="33"/>
        <v>202</v>
      </c>
    </row>
    <row r="39" spans="1:23" x14ac:dyDescent="0.2">
      <c r="A39" s="131"/>
      <c r="B39" s="33" t="s">
        <v>21</v>
      </c>
      <c r="C39" s="20" t="s">
        <v>54</v>
      </c>
      <c r="D39" s="74" t="s">
        <v>33</v>
      </c>
      <c r="E39" s="34">
        <f>K38</f>
        <v>1158</v>
      </c>
      <c r="F39" s="35">
        <f t="shared" si="25"/>
        <v>378</v>
      </c>
      <c r="G39" s="35">
        <v>1</v>
      </c>
      <c r="H39" s="35">
        <f>F39*G39</f>
        <v>378</v>
      </c>
      <c r="I39" s="36">
        <f t="shared" si="26"/>
        <v>2.5000000000000001E-2</v>
      </c>
      <c r="J39" s="36">
        <f t="shared" si="27"/>
        <v>9.4500000000000011</v>
      </c>
      <c r="K39" s="34">
        <f t="shared" si="28"/>
        <v>780</v>
      </c>
      <c r="L39" s="34">
        <v>1</v>
      </c>
      <c r="M39" s="34">
        <f t="shared" si="29"/>
        <v>780</v>
      </c>
      <c r="N39" s="8">
        <f t="shared" si="30"/>
        <v>2.5000000000000001E-2</v>
      </c>
      <c r="O39" s="8">
        <f t="shared" si="31"/>
        <v>19.5</v>
      </c>
      <c r="P39" s="6">
        <f t="shared" si="23"/>
        <v>28.950000000000003</v>
      </c>
      <c r="Q39" s="9">
        <f t="shared" si="32"/>
        <v>26.95</v>
      </c>
      <c r="R39" s="97">
        <f t="shared" si="24"/>
        <v>780.2025000000001</v>
      </c>
      <c r="S39" s="69"/>
      <c r="U39" s="48">
        <v>15</v>
      </c>
      <c r="V39" s="48">
        <f t="shared" si="33"/>
        <v>378</v>
      </c>
    </row>
    <row r="40" spans="1:23" x14ac:dyDescent="0.2">
      <c r="A40" s="131"/>
      <c r="B40" s="33" t="s">
        <v>21</v>
      </c>
      <c r="C40" s="20" t="s">
        <v>56</v>
      </c>
      <c r="D40" s="74" t="s">
        <v>33</v>
      </c>
      <c r="E40" s="34">
        <f>K39</f>
        <v>780</v>
      </c>
      <c r="F40" s="35">
        <f t="shared" si="25"/>
        <v>378</v>
      </c>
      <c r="G40" s="35">
        <v>1</v>
      </c>
      <c r="H40" s="35">
        <f>F40*G40</f>
        <v>378</v>
      </c>
      <c r="I40" s="36">
        <f t="shared" si="26"/>
        <v>2.5000000000000001E-2</v>
      </c>
      <c r="J40" s="36">
        <f t="shared" si="27"/>
        <v>9.4500000000000011</v>
      </c>
      <c r="K40" s="34">
        <f t="shared" si="28"/>
        <v>402</v>
      </c>
      <c r="L40" s="34">
        <v>1</v>
      </c>
      <c r="M40" s="34">
        <f t="shared" si="29"/>
        <v>402</v>
      </c>
      <c r="N40" s="8">
        <f t="shared" si="30"/>
        <v>2.5000000000000001E-2</v>
      </c>
      <c r="O40" s="8">
        <f t="shared" si="31"/>
        <v>10.050000000000001</v>
      </c>
      <c r="P40" s="6">
        <f t="shared" si="23"/>
        <v>19.5</v>
      </c>
      <c r="Q40" s="9">
        <f t="shared" si="32"/>
        <v>26.95</v>
      </c>
      <c r="R40" s="97">
        <f t="shared" si="24"/>
        <v>525.52499999999998</v>
      </c>
      <c r="U40" s="48">
        <v>15</v>
      </c>
      <c r="V40" s="48">
        <f t="shared" si="33"/>
        <v>378</v>
      </c>
    </row>
    <row r="41" spans="1:23" x14ac:dyDescent="0.2">
      <c r="A41" s="131"/>
      <c r="B41" s="33" t="s">
        <v>21</v>
      </c>
      <c r="C41" s="20" t="s">
        <v>57</v>
      </c>
      <c r="D41" s="74" t="s">
        <v>33</v>
      </c>
      <c r="E41" s="34">
        <f>E40-F40</f>
        <v>402</v>
      </c>
      <c r="F41" s="35">
        <f t="shared" si="25"/>
        <v>378</v>
      </c>
      <c r="G41" s="35">
        <v>1</v>
      </c>
      <c r="H41" s="35">
        <f>F41*G41</f>
        <v>378</v>
      </c>
      <c r="I41" s="36">
        <f t="shared" si="26"/>
        <v>2.5000000000000001E-2</v>
      </c>
      <c r="J41" s="36">
        <f t="shared" si="27"/>
        <v>9.4500000000000011</v>
      </c>
      <c r="K41" s="34">
        <f t="shared" si="28"/>
        <v>24</v>
      </c>
      <c r="L41" s="34">
        <v>1</v>
      </c>
      <c r="M41" s="34">
        <f t="shared" si="29"/>
        <v>24</v>
      </c>
      <c r="N41" s="8">
        <f t="shared" si="30"/>
        <v>2.5000000000000001E-2</v>
      </c>
      <c r="O41" s="8">
        <f t="shared" si="31"/>
        <v>0.60000000000000009</v>
      </c>
      <c r="P41" s="6">
        <f t="shared" si="23"/>
        <v>10.050000000000001</v>
      </c>
      <c r="Q41" s="9">
        <f t="shared" si="32"/>
        <v>26.95</v>
      </c>
      <c r="R41" s="97">
        <f t="shared" si="24"/>
        <v>270.84750000000003</v>
      </c>
      <c r="U41" s="48">
        <v>15</v>
      </c>
      <c r="V41" s="48">
        <f t="shared" si="33"/>
        <v>378</v>
      </c>
    </row>
    <row r="42" spans="1:23" x14ac:dyDescent="0.2">
      <c r="A42" s="131"/>
      <c r="B42" s="33" t="s">
        <v>21</v>
      </c>
      <c r="C42" s="20" t="s">
        <v>58</v>
      </c>
      <c r="D42" s="74" t="s">
        <v>41</v>
      </c>
      <c r="E42" s="34">
        <f>E34</f>
        <v>2520</v>
      </c>
      <c r="F42" s="35">
        <f>0.8*E42</f>
        <v>2016</v>
      </c>
      <c r="G42" s="35">
        <v>1</v>
      </c>
      <c r="H42" s="35">
        <f t="shared" si="22"/>
        <v>2016</v>
      </c>
      <c r="I42" s="36">
        <f>60/60</f>
        <v>1</v>
      </c>
      <c r="J42" s="36">
        <f t="shared" si="27"/>
        <v>2016</v>
      </c>
      <c r="K42" s="34">
        <v>504</v>
      </c>
      <c r="L42" s="34">
        <v>1</v>
      </c>
      <c r="M42" s="34">
        <f t="shared" si="29"/>
        <v>504</v>
      </c>
      <c r="N42" s="8">
        <f>3/60</f>
        <v>0.05</v>
      </c>
      <c r="O42" s="8">
        <f>N42*M42</f>
        <v>25.200000000000003</v>
      </c>
      <c r="P42" s="6">
        <f t="shared" si="23"/>
        <v>2041.2</v>
      </c>
      <c r="Q42" s="9">
        <f t="shared" si="32"/>
        <v>26.95</v>
      </c>
      <c r="R42" s="97">
        <f t="shared" si="24"/>
        <v>55010.34</v>
      </c>
      <c r="U42" s="48">
        <f>SUM(U35:U41)</f>
        <v>80</v>
      </c>
      <c r="V42" s="48">
        <f>SUM(V35:V41)</f>
        <v>2017</v>
      </c>
      <c r="W42" s="48">
        <f>V42/T35</f>
        <v>0.80039682539682544</v>
      </c>
    </row>
    <row r="43" spans="1:23" ht="15" customHeight="1" x14ac:dyDescent="0.2">
      <c r="A43" s="131"/>
      <c r="B43" s="155" t="s">
        <v>60</v>
      </c>
      <c r="C43" s="155"/>
      <c r="D43" s="155"/>
      <c r="E43" s="40">
        <v>2520</v>
      </c>
      <c r="F43" s="40">
        <f>F34</f>
        <v>2520</v>
      </c>
      <c r="G43" s="40">
        <f>H43/F43</f>
        <v>3.4904761904761905</v>
      </c>
      <c r="H43" s="40">
        <f>SUM(H34:H42)</f>
        <v>8796</v>
      </c>
      <c r="I43" s="40">
        <f>J43/H43</f>
        <v>0.27997953615279669</v>
      </c>
      <c r="J43" s="40">
        <f>SUM(J34:J42)</f>
        <v>2462.6999999999998</v>
      </c>
      <c r="K43" s="40">
        <f>E36</f>
        <v>1764</v>
      </c>
      <c r="L43" s="40">
        <f>M43/K43</f>
        <v>3.2823129251700682</v>
      </c>
      <c r="M43" s="40">
        <f>SUM(M34:M42)</f>
        <v>5790</v>
      </c>
      <c r="N43" s="40">
        <f>O43/M43</f>
        <v>2.7176165803108811E-2</v>
      </c>
      <c r="O43" s="40">
        <f>SUM(O34:O42)</f>
        <v>157.35000000000002</v>
      </c>
      <c r="P43" s="40">
        <f>SUM(P34:P42)</f>
        <v>2620.0500000000002</v>
      </c>
      <c r="Q43" s="31">
        <f>AVERAGE(Q34:Q42)</f>
        <v>26.949999999999996</v>
      </c>
      <c r="R43" s="102">
        <f>SUM(R34:R42)</f>
        <v>70610.347499999989</v>
      </c>
    </row>
    <row r="44" spans="1:23" x14ac:dyDescent="0.2">
      <c r="A44" s="131"/>
      <c r="B44" s="116" t="s">
        <v>61</v>
      </c>
      <c r="C44" s="116"/>
      <c r="D44" s="116"/>
      <c r="E44" s="42">
        <f>E43+E32</f>
        <v>2527</v>
      </c>
      <c r="F44" s="42">
        <f>F43+F32</f>
        <v>2526</v>
      </c>
      <c r="G44" s="40">
        <f>H44/F44</f>
        <v>3.4893111638954868</v>
      </c>
      <c r="H44" s="42">
        <f>H43+H32</f>
        <v>8814</v>
      </c>
      <c r="I44" s="40">
        <f>J44/H44</f>
        <v>0.28155888359428183</v>
      </c>
      <c r="J44" s="42">
        <f>J43+J32</f>
        <v>2481.66</v>
      </c>
      <c r="K44" s="42">
        <f>K43+K32</f>
        <v>1765</v>
      </c>
      <c r="L44" s="40">
        <f>M44/K44</f>
        <v>3.2810198300283284</v>
      </c>
      <c r="M44" s="42">
        <f>M43+M32</f>
        <v>5791</v>
      </c>
      <c r="N44" s="40">
        <f>O44/M44</f>
        <v>2.7185287515109659E-2</v>
      </c>
      <c r="O44" s="40">
        <f>O43+O32</f>
        <v>157.43000000000004</v>
      </c>
      <c r="P44" s="42">
        <f>P43+P32</f>
        <v>2639.09</v>
      </c>
      <c r="Q44" s="31">
        <f>AVERAGE(Q43,Q32)</f>
        <v>26.949999999999996</v>
      </c>
      <c r="R44" s="102">
        <f>R43+R32</f>
        <v>71123.475499999986</v>
      </c>
    </row>
    <row r="45" spans="1:23" x14ac:dyDescent="0.2">
      <c r="A45" s="131"/>
      <c r="B45" s="158" t="s">
        <v>80</v>
      </c>
      <c r="C45" s="159"/>
      <c r="D45" s="160"/>
      <c r="E45" s="42">
        <f>E44+E25</f>
        <v>2582</v>
      </c>
      <c r="F45" s="42">
        <f>F44+F25</f>
        <v>2580</v>
      </c>
      <c r="G45" s="40">
        <f>H45/F45</f>
        <v>3.4930232558139536</v>
      </c>
      <c r="H45" s="42">
        <f>H44+H25</f>
        <v>9012</v>
      </c>
      <c r="I45" s="40">
        <f>J45/H45</f>
        <v>0.28312694185530402</v>
      </c>
      <c r="J45" s="42">
        <f>J44+J25</f>
        <v>2551.54</v>
      </c>
      <c r="K45" s="42">
        <f>K44+K25</f>
        <v>1802</v>
      </c>
      <c r="L45" s="40">
        <f>M45/K45</f>
        <v>3.2741398446170922</v>
      </c>
      <c r="M45" s="42">
        <f>M44+M25</f>
        <v>5900</v>
      </c>
      <c r="N45" s="40">
        <f>O45/M45</f>
        <v>2.71542372881356E-2</v>
      </c>
      <c r="O45" s="40">
        <f>O44+O25</f>
        <v>160.21000000000004</v>
      </c>
      <c r="P45" s="42">
        <f>P44+P25</f>
        <v>2711.75</v>
      </c>
      <c r="Q45" s="40" t="s">
        <v>44</v>
      </c>
      <c r="R45" s="102">
        <f>R44+R25</f>
        <v>75066.007099999988</v>
      </c>
    </row>
    <row r="46" spans="1:23" x14ac:dyDescent="0.2">
      <c r="A46" s="131"/>
      <c r="B46" s="146" t="s">
        <v>104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  <c r="Q46" s="86"/>
      <c r="R46" s="86"/>
    </row>
    <row r="47" spans="1:23" x14ac:dyDescent="0.2">
      <c r="A47" s="131"/>
      <c r="B47" s="146" t="s">
        <v>81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  <c r="Q47" s="86"/>
      <c r="R47" s="86"/>
    </row>
    <row r="48" spans="1:23" ht="17.25" customHeight="1" x14ac:dyDescent="0.2">
      <c r="A48" s="131"/>
      <c r="B48" s="161" t="s">
        <v>105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  <c r="Q48" s="85"/>
      <c r="R48" s="85"/>
      <c r="V48" s="48">
        <f>378*3</f>
        <v>1134</v>
      </c>
    </row>
    <row r="49" spans="1:18" ht="15.75" customHeight="1" x14ac:dyDescent="0.2">
      <c r="A49" s="131"/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  <c r="Q49" s="106"/>
      <c r="R49" s="106"/>
    </row>
    <row r="50" spans="1:18" x14ac:dyDescent="0.2">
      <c r="B50" s="52"/>
      <c r="C50" s="5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</row>
    <row r="51" spans="1:18" x14ac:dyDescent="0.2">
      <c r="B51" s="157" t="s">
        <v>97</v>
      </c>
      <c r="C51" s="157"/>
      <c r="D51" s="157"/>
      <c r="E51" s="157"/>
      <c r="F51" s="157"/>
      <c r="G51" s="157"/>
      <c r="H51" s="157"/>
      <c r="I51" s="157"/>
      <c r="J51" s="54"/>
      <c r="K51" s="54"/>
      <c r="L51" s="54"/>
      <c r="M51" s="54"/>
      <c r="N51" s="54"/>
      <c r="O51" s="54"/>
      <c r="P51" s="54"/>
      <c r="Q51" s="54"/>
      <c r="R51" s="54"/>
    </row>
    <row r="52" spans="1:18" x14ac:dyDescent="0.2">
      <c r="B52" s="78"/>
      <c r="C52" s="78" t="s">
        <v>68</v>
      </c>
      <c r="D52" s="157" t="s">
        <v>69</v>
      </c>
      <c r="E52" s="157"/>
      <c r="F52" s="157"/>
      <c r="G52" s="157" t="s">
        <v>90</v>
      </c>
      <c r="H52" s="157"/>
      <c r="I52" s="157"/>
      <c r="J52" s="54"/>
      <c r="K52" s="54"/>
      <c r="L52" s="54"/>
      <c r="M52" s="54"/>
      <c r="N52" s="54"/>
      <c r="O52" s="54"/>
      <c r="P52" s="54"/>
      <c r="Q52" s="54"/>
      <c r="R52" s="54"/>
    </row>
    <row r="53" spans="1:18" ht="15" customHeight="1" x14ac:dyDescent="0.2">
      <c r="B53" s="79" t="s">
        <v>100</v>
      </c>
      <c r="C53" s="81">
        <f>F25+K25</f>
        <v>91</v>
      </c>
      <c r="D53" s="171">
        <f>F44+K44</f>
        <v>4291</v>
      </c>
      <c r="E53" s="171"/>
      <c r="F53" s="171"/>
      <c r="G53" s="169">
        <f>F45+K45</f>
        <v>4382</v>
      </c>
      <c r="H53" s="169"/>
      <c r="I53" s="169"/>
      <c r="J53" s="65"/>
      <c r="K53" s="49"/>
      <c r="L53" s="49"/>
      <c r="M53" s="49"/>
      <c r="N53" s="49"/>
      <c r="O53" s="49"/>
      <c r="P53" s="70"/>
      <c r="Q53" s="65"/>
      <c r="R53" s="65"/>
    </row>
    <row r="54" spans="1:18" ht="15" customHeight="1" x14ac:dyDescent="0.2">
      <c r="B54" s="79" t="s">
        <v>99</v>
      </c>
      <c r="C54" s="81">
        <f>H25+M25</f>
        <v>307</v>
      </c>
      <c r="D54" s="171">
        <f>H44+M44</f>
        <v>14605</v>
      </c>
      <c r="E54" s="171"/>
      <c r="F54" s="171"/>
      <c r="G54" s="169">
        <f>H45+M45</f>
        <v>14912</v>
      </c>
      <c r="H54" s="169"/>
      <c r="I54" s="169"/>
      <c r="J54" s="65"/>
      <c r="K54" s="49"/>
      <c r="L54" s="49"/>
      <c r="M54" s="49"/>
      <c r="N54" s="49"/>
      <c r="O54" s="49"/>
      <c r="P54" s="65"/>
      <c r="Q54" s="65"/>
      <c r="R54" s="65"/>
    </row>
    <row r="55" spans="1:18" ht="15" customHeight="1" x14ac:dyDescent="0.2">
      <c r="B55" s="79" t="s">
        <v>82</v>
      </c>
      <c r="C55" s="82">
        <f>P25</f>
        <v>72.66</v>
      </c>
      <c r="D55" s="170">
        <f>P44</f>
        <v>2639.09</v>
      </c>
      <c r="E55" s="170"/>
      <c r="F55" s="170"/>
      <c r="G55" s="170">
        <f>ROUND(J45+O45,2)</f>
        <v>2711.75</v>
      </c>
      <c r="H55" s="170"/>
      <c r="I55" s="170"/>
      <c r="J55" s="83"/>
      <c r="K55" s="49"/>
      <c r="L55" s="49"/>
      <c r="M55" s="49"/>
      <c r="N55" s="49"/>
      <c r="O55" s="49"/>
      <c r="P55" s="65"/>
      <c r="Q55" s="65"/>
      <c r="R55" s="65"/>
    </row>
    <row r="56" spans="1:18" ht="15" hidden="1" customHeight="1" x14ac:dyDescent="0.2">
      <c r="B56" s="80" t="s">
        <v>96</v>
      </c>
      <c r="C56" s="56">
        <f>ROUND(0.99*C54,0)</f>
        <v>304</v>
      </c>
      <c r="D56" s="171">
        <f>ROUND(0.99*D54,0)</f>
        <v>14459</v>
      </c>
      <c r="E56" s="171"/>
      <c r="F56" s="171"/>
      <c r="G56" s="169">
        <f>(G54*0.99)</f>
        <v>14762.88</v>
      </c>
      <c r="H56" s="169"/>
      <c r="I56" s="169"/>
      <c r="J56" s="65"/>
      <c r="K56" s="49"/>
      <c r="L56" s="49"/>
      <c r="M56" s="49"/>
      <c r="N56" s="49"/>
      <c r="O56" s="49"/>
      <c r="P56" s="65"/>
      <c r="Q56" s="65"/>
      <c r="R56" s="65"/>
    </row>
    <row r="57" spans="1:18" x14ac:dyDescent="0.2">
      <c r="B57" s="61" t="s">
        <v>98</v>
      </c>
      <c r="C57" s="56">
        <v>0</v>
      </c>
      <c r="D57" s="167">
        <f>0.86*D53</f>
        <v>3690.2599999999998</v>
      </c>
      <c r="E57" s="167"/>
      <c r="F57" s="167"/>
      <c r="G57" s="168">
        <f>ROUND(F25+K25+(0.87)*(F44+K44),0)</f>
        <v>3824</v>
      </c>
      <c r="H57" s="168"/>
      <c r="I57" s="168"/>
      <c r="J57" s="84"/>
    </row>
    <row r="58" spans="1:18" x14ac:dyDescent="0.2">
      <c r="B58" s="56" t="s">
        <v>96</v>
      </c>
      <c r="C58" s="60">
        <f>ROUND(0.99*H23,0)</f>
        <v>50</v>
      </c>
      <c r="D58" s="129">
        <f>ROUND(0.99*H42,0)</f>
        <v>1996</v>
      </c>
      <c r="E58" s="129"/>
      <c r="F58" s="129"/>
      <c r="G58" s="129">
        <f>ROUND(C58+D58,0)</f>
        <v>2046</v>
      </c>
      <c r="H58" s="129"/>
      <c r="I58" s="129"/>
    </row>
    <row r="62" spans="1:18" x14ac:dyDescent="0.2">
      <c r="I62" s="84"/>
    </row>
  </sheetData>
  <mergeCells count="46">
    <mergeCell ref="B51:I51"/>
    <mergeCell ref="B45:D45"/>
    <mergeCell ref="B48:P49"/>
    <mergeCell ref="D57:F57"/>
    <mergeCell ref="D52:F52"/>
    <mergeCell ref="G52:I52"/>
    <mergeCell ref="G57:I57"/>
    <mergeCell ref="G56:I56"/>
    <mergeCell ref="G55:I55"/>
    <mergeCell ref="G54:I54"/>
    <mergeCell ref="G53:I53"/>
    <mergeCell ref="D56:F56"/>
    <mergeCell ref="D55:F55"/>
    <mergeCell ref="D54:F54"/>
    <mergeCell ref="D53:F53"/>
    <mergeCell ref="B46:P46"/>
    <mergeCell ref="B47:P47"/>
    <mergeCell ref="B8:P8"/>
    <mergeCell ref="B9:P9"/>
    <mergeCell ref="B13:D13"/>
    <mergeCell ref="B44:D44"/>
    <mergeCell ref="B43:D43"/>
    <mergeCell ref="B25:D25"/>
    <mergeCell ref="B24:D24"/>
    <mergeCell ref="D10:D12"/>
    <mergeCell ref="F6:J6"/>
    <mergeCell ref="K6:O6"/>
    <mergeCell ref="A6:A7"/>
    <mergeCell ref="P6:P7"/>
    <mergeCell ref="Q6:Q7"/>
    <mergeCell ref="D58:F58"/>
    <mergeCell ref="G58:I58"/>
    <mergeCell ref="A8:A49"/>
    <mergeCell ref="A1:R4"/>
    <mergeCell ref="B27:P27"/>
    <mergeCell ref="B14:P14"/>
    <mergeCell ref="B33:P33"/>
    <mergeCell ref="B26:P26"/>
    <mergeCell ref="B28:P28"/>
    <mergeCell ref="D29:D31"/>
    <mergeCell ref="B32:D32"/>
    <mergeCell ref="R6:R7"/>
    <mergeCell ref="B6:B7"/>
    <mergeCell ref="C6:C7"/>
    <mergeCell ref="D6:D7"/>
    <mergeCell ref="E6:E7"/>
  </mergeCells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4"/>
  <sheetViews>
    <sheetView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5" x14ac:dyDescent="0.25"/>
  <cols>
    <col min="2" max="2" width="21.42578125" style="50" customWidth="1"/>
    <col min="3" max="3" width="29.28515625" style="50" bestFit="1" customWidth="1"/>
    <col min="4" max="4" width="13.5703125" style="50" customWidth="1"/>
    <col min="5" max="5" width="9.140625" style="50"/>
    <col min="6" max="6" width="11.7109375" style="50" customWidth="1"/>
  </cols>
  <sheetData>
    <row r="1" spans="2:19" ht="15" customHeight="1" x14ac:dyDescent="0.25">
      <c r="B1" s="173" t="s">
        <v>101</v>
      </c>
      <c r="C1" s="173"/>
      <c r="D1" s="173"/>
      <c r="E1" s="173"/>
      <c r="F1" s="17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2:19" ht="15" customHeight="1" x14ac:dyDescent="0.25">
      <c r="B2" s="173"/>
      <c r="C2" s="173"/>
      <c r="D2" s="173"/>
      <c r="E2" s="173"/>
      <c r="F2" s="173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2:19" ht="15" customHeight="1" x14ac:dyDescent="0.25">
      <c r="B3" s="173"/>
      <c r="C3" s="173"/>
      <c r="D3" s="173"/>
      <c r="E3" s="173"/>
      <c r="F3" s="173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2:19" ht="15" customHeight="1" x14ac:dyDescent="0.25">
      <c r="B4" s="173"/>
      <c r="C4" s="173"/>
      <c r="D4" s="173"/>
      <c r="E4" s="173"/>
      <c r="F4" s="17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6" spans="2:19" x14ac:dyDescent="0.25">
      <c r="B6" s="124" t="s">
        <v>0</v>
      </c>
      <c r="C6" s="125" t="s">
        <v>1</v>
      </c>
      <c r="D6" s="126" t="s">
        <v>2</v>
      </c>
      <c r="E6" s="122" t="s">
        <v>7</v>
      </c>
      <c r="F6" s="122" t="s">
        <v>8</v>
      </c>
    </row>
    <row r="7" spans="2:19" ht="64.5" customHeight="1" x14ac:dyDescent="0.25">
      <c r="B7" s="124"/>
      <c r="C7" s="125"/>
      <c r="D7" s="126"/>
      <c r="E7" s="122"/>
      <c r="F7" s="122"/>
    </row>
    <row r="8" spans="2:19" x14ac:dyDescent="0.25">
      <c r="B8" s="172" t="s">
        <v>76</v>
      </c>
      <c r="C8" s="172"/>
      <c r="D8" s="172"/>
      <c r="E8" s="172"/>
      <c r="F8" s="172"/>
    </row>
    <row r="9" spans="2:19" x14ac:dyDescent="0.25">
      <c r="B9" s="174" t="s">
        <v>84</v>
      </c>
      <c r="C9" s="174"/>
      <c r="D9" s="174"/>
      <c r="E9" s="174"/>
      <c r="F9" s="174"/>
    </row>
    <row r="10" spans="2:19" x14ac:dyDescent="0.25">
      <c r="B10" s="19" t="s">
        <v>14</v>
      </c>
      <c r="C10" s="20" t="s">
        <v>15</v>
      </c>
      <c r="D10" s="56"/>
      <c r="E10" s="57">
        <f>'GSA Rates'!$D$5</f>
        <v>54.26</v>
      </c>
      <c r="F10" s="57">
        <f>'Table A.1'!R10</f>
        <v>17.363199999999999</v>
      </c>
    </row>
    <row r="11" spans="2:19" x14ac:dyDescent="0.25">
      <c r="B11" s="19" t="s">
        <v>14</v>
      </c>
      <c r="C11" s="20" t="s">
        <v>16</v>
      </c>
      <c r="D11" s="56"/>
      <c r="E11" s="57">
        <f>'GSA Rates'!$D$5</f>
        <v>54.26</v>
      </c>
      <c r="F11" s="57">
        <f>'Table A.1'!R11</f>
        <v>13.022399999999999</v>
      </c>
    </row>
    <row r="12" spans="2:19" x14ac:dyDescent="0.25">
      <c r="B12" s="19" t="s">
        <v>14</v>
      </c>
      <c r="C12" s="20" t="s">
        <v>17</v>
      </c>
      <c r="D12" s="56"/>
      <c r="E12" s="57">
        <f>'GSA Rates'!$D$5</f>
        <v>54.26</v>
      </c>
      <c r="F12" s="57">
        <f>'Table A.1'!R12</f>
        <v>488.34</v>
      </c>
    </row>
    <row r="13" spans="2:19" ht="15" customHeight="1" x14ac:dyDescent="0.25">
      <c r="B13" s="118" t="s">
        <v>26</v>
      </c>
      <c r="C13" s="118"/>
      <c r="D13" s="118"/>
      <c r="E13" s="57">
        <f>'GSA Rates'!$D$5</f>
        <v>54.26</v>
      </c>
      <c r="F13" s="58">
        <f>'Table A.1'!R13</f>
        <v>518.72559999999999</v>
      </c>
    </row>
    <row r="14" spans="2:19" x14ac:dyDescent="0.25">
      <c r="B14" s="124" t="s">
        <v>45</v>
      </c>
      <c r="C14" s="124"/>
      <c r="D14" s="124"/>
      <c r="E14" s="124"/>
      <c r="F14" s="124"/>
    </row>
    <row r="15" spans="2:19" ht="36" x14ac:dyDescent="0.25">
      <c r="B15" s="19" t="s">
        <v>14</v>
      </c>
      <c r="C15" s="20" t="s">
        <v>28</v>
      </c>
      <c r="D15" s="21" t="s">
        <v>29</v>
      </c>
      <c r="E15" s="57">
        <f>'GSA Rates'!$D$5</f>
        <v>54.26</v>
      </c>
      <c r="F15" s="57">
        <f>'Table A.1'!R15</f>
        <v>230.60499999999999</v>
      </c>
    </row>
    <row r="16" spans="2:19" x14ac:dyDescent="0.25">
      <c r="B16" s="19" t="s">
        <v>14</v>
      </c>
      <c r="C16" s="20" t="s">
        <v>30</v>
      </c>
      <c r="D16" s="21" t="s">
        <v>31</v>
      </c>
      <c r="E16" s="57">
        <f>'GSA Rates'!$D$5</f>
        <v>54.26</v>
      </c>
      <c r="F16" s="57">
        <f>'Table A.1'!R16</f>
        <v>230.60499999999999</v>
      </c>
    </row>
    <row r="17" spans="2:6" x14ac:dyDescent="0.25">
      <c r="B17" s="19" t="s">
        <v>14</v>
      </c>
      <c r="C17" s="20" t="s">
        <v>32</v>
      </c>
      <c r="D17" s="21" t="s">
        <v>33</v>
      </c>
      <c r="E17" s="57">
        <f>'GSA Rates'!$D$5</f>
        <v>54.26</v>
      </c>
      <c r="F17" s="57">
        <f>'Table A.1'!R17</f>
        <v>48.833999999999996</v>
      </c>
    </row>
    <row r="18" spans="2:6" x14ac:dyDescent="0.25">
      <c r="B18" s="19" t="s">
        <v>14</v>
      </c>
      <c r="C18" s="20" t="s">
        <v>34</v>
      </c>
      <c r="D18" s="21" t="s">
        <v>33</v>
      </c>
      <c r="E18" s="57">
        <f>'GSA Rates'!$D$5</f>
        <v>54.26</v>
      </c>
      <c r="F18" s="57">
        <f>'Table A.1'!R18</f>
        <v>43.408000000000001</v>
      </c>
    </row>
    <row r="19" spans="2:6" x14ac:dyDescent="0.25">
      <c r="B19" s="19" t="s">
        <v>14</v>
      </c>
      <c r="C19" s="20" t="s">
        <v>35</v>
      </c>
      <c r="D19" s="21" t="s">
        <v>33</v>
      </c>
      <c r="E19" s="57">
        <f>'GSA Rates'!$D$5</f>
        <v>54.26</v>
      </c>
      <c r="F19" s="57">
        <f>'Table A.1'!R19</f>
        <v>37.981999999999999</v>
      </c>
    </row>
    <row r="20" spans="2:6" x14ac:dyDescent="0.25">
      <c r="B20" s="19" t="s">
        <v>14</v>
      </c>
      <c r="C20" s="20" t="s">
        <v>36</v>
      </c>
      <c r="D20" s="21" t="s">
        <v>37</v>
      </c>
      <c r="E20" s="57">
        <f>'GSA Rates'!$D$5</f>
        <v>54.26</v>
      </c>
      <c r="F20" s="57">
        <f>'Table A.1'!R20</f>
        <v>32.556000000000004</v>
      </c>
    </row>
    <row r="21" spans="2:6" x14ac:dyDescent="0.25">
      <c r="B21" s="19" t="s">
        <v>14</v>
      </c>
      <c r="C21" s="20" t="s">
        <v>38</v>
      </c>
      <c r="D21" s="21" t="s">
        <v>37</v>
      </c>
      <c r="E21" s="57">
        <f>'GSA Rates'!$D$5</f>
        <v>54.26</v>
      </c>
      <c r="F21" s="57">
        <f>'Table A.1'!R21</f>
        <v>21.704000000000001</v>
      </c>
    </row>
    <row r="22" spans="2:6" x14ac:dyDescent="0.25">
      <c r="B22" s="19" t="s">
        <v>14</v>
      </c>
      <c r="C22" s="20" t="s">
        <v>39</v>
      </c>
      <c r="D22" s="21" t="s">
        <v>37</v>
      </c>
      <c r="E22" s="57">
        <f>'GSA Rates'!$D$5</f>
        <v>54.26</v>
      </c>
      <c r="F22" s="57">
        <f>'Table A.1'!R22</f>
        <v>10.852</v>
      </c>
    </row>
    <row r="23" spans="2:6" x14ac:dyDescent="0.25">
      <c r="B23" s="2" t="s">
        <v>14</v>
      </c>
      <c r="C23" s="3" t="s">
        <v>40</v>
      </c>
      <c r="D23" s="4" t="s">
        <v>41</v>
      </c>
      <c r="E23" s="57">
        <f>'GSA Rates'!$D$5</f>
        <v>54.26</v>
      </c>
      <c r="F23" s="57">
        <f>'Table A.1'!R23</f>
        <v>2767.2599999999998</v>
      </c>
    </row>
    <row r="24" spans="2:6" ht="15" customHeight="1" x14ac:dyDescent="0.25">
      <c r="B24" s="107" t="s">
        <v>42</v>
      </c>
      <c r="C24" s="107"/>
      <c r="D24" s="107"/>
      <c r="E24" s="58">
        <f>'GSA Rates'!$D$5</f>
        <v>54.26</v>
      </c>
      <c r="F24" s="58">
        <f>'Table A.1'!R24</f>
        <v>3423.8059999999996</v>
      </c>
    </row>
    <row r="25" spans="2:6" x14ac:dyDescent="0.25">
      <c r="B25" s="156" t="s">
        <v>43</v>
      </c>
      <c r="C25" s="156"/>
      <c r="D25" s="156"/>
      <c r="E25" s="58">
        <f>'GSA Rates'!$D$5</f>
        <v>54.26</v>
      </c>
      <c r="F25" s="58">
        <f>'Table A.1'!R25</f>
        <v>3942.5315999999993</v>
      </c>
    </row>
    <row r="26" spans="2:6" x14ac:dyDescent="0.25">
      <c r="B26" s="172" t="s">
        <v>78</v>
      </c>
      <c r="C26" s="172"/>
      <c r="D26" s="172"/>
      <c r="E26" s="172"/>
      <c r="F26" s="172"/>
    </row>
    <row r="27" spans="2:6" x14ac:dyDescent="0.25">
      <c r="B27" s="174" t="s">
        <v>84</v>
      </c>
      <c r="C27" s="174"/>
      <c r="D27" s="174"/>
      <c r="E27" s="174"/>
      <c r="F27" s="174"/>
    </row>
    <row r="28" spans="2:6" x14ac:dyDescent="0.25">
      <c r="B28" s="19" t="s">
        <v>21</v>
      </c>
      <c r="C28" s="20" t="s">
        <v>15</v>
      </c>
      <c r="D28" s="56"/>
      <c r="E28" s="57">
        <f>'GSA Rates'!$D$4</f>
        <v>26.95</v>
      </c>
      <c r="F28" s="57">
        <f>'Table A.1'!R29</f>
        <v>15.091999999999999</v>
      </c>
    </row>
    <row r="29" spans="2:6" x14ac:dyDescent="0.25">
      <c r="B29" s="19" t="s">
        <v>21</v>
      </c>
      <c r="C29" s="20" t="s">
        <v>16</v>
      </c>
      <c r="D29" s="56"/>
      <c r="E29" s="57">
        <f>'GSA Rates'!$D$4</f>
        <v>26.95</v>
      </c>
      <c r="F29" s="57">
        <f>'Table A.1'!R30</f>
        <v>12.936</v>
      </c>
    </row>
    <row r="30" spans="2:6" x14ac:dyDescent="0.25">
      <c r="B30" s="19" t="s">
        <v>21</v>
      </c>
      <c r="C30" s="20" t="s">
        <v>17</v>
      </c>
      <c r="D30" s="56"/>
      <c r="E30" s="57">
        <f>'GSA Rates'!$D$4</f>
        <v>26.95</v>
      </c>
      <c r="F30" s="57">
        <f>'Table A.1'!R31</f>
        <v>485.09999999999997</v>
      </c>
    </row>
    <row r="31" spans="2:6" ht="15" customHeight="1" x14ac:dyDescent="0.25">
      <c r="B31" s="121" t="s">
        <v>26</v>
      </c>
      <c r="C31" s="121"/>
      <c r="D31" s="121"/>
      <c r="E31" s="58">
        <f>'GSA Rates'!$D$4</f>
        <v>26.95</v>
      </c>
      <c r="F31" s="58">
        <f>'Table A.1'!R32</f>
        <v>513.12799999999993</v>
      </c>
    </row>
    <row r="32" spans="2:6" x14ac:dyDescent="0.25">
      <c r="B32" s="124" t="s">
        <v>45</v>
      </c>
      <c r="C32" s="124"/>
      <c r="D32" s="124"/>
      <c r="E32" s="124"/>
      <c r="F32" s="124"/>
    </row>
    <row r="33" spans="2:6" x14ac:dyDescent="0.25">
      <c r="B33" s="33" t="s">
        <v>21</v>
      </c>
      <c r="C33" s="20" t="s">
        <v>46</v>
      </c>
      <c r="D33" s="56"/>
      <c r="E33" s="57">
        <f>'GSA Rates'!$D$4</f>
        <v>26.95</v>
      </c>
      <c r="F33" s="57">
        <f>'Table A.1'!R34</f>
        <v>5433.12</v>
      </c>
    </row>
    <row r="34" spans="2:6" x14ac:dyDescent="0.25">
      <c r="B34" s="33" t="s">
        <v>21</v>
      </c>
      <c r="C34" s="20" t="s">
        <v>48</v>
      </c>
      <c r="D34" s="56"/>
      <c r="E34" s="57">
        <f>'GSA Rates'!$D$4</f>
        <v>26.95</v>
      </c>
      <c r="F34" s="57">
        <f>'Table A.1'!R35</f>
        <v>5433.12</v>
      </c>
    </row>
    <row r="35" spans="2:6" x14ac:dyDescent="0.25">
      <c r="B35" s="33" t="s">
        <v>21</v>
      </c>
      <c r="C35" s="20" t="s">
        <v>50</v>
      </c>
      <c r="D35" s="56"/>
      <c r="E35" s="57">
        <f>'GSA Rates'!$D$4</f>
        <v>26.95</v>
      </c>
      <c r="F35" s="57">
        <f>'Table A.1'!R36</f>
        <v>1188.4950000000001</v>
      </c>
    </row>
    <row r="36" spans="2:6" x14ac:dyDescent="0.25">
      <c r="B36" s="33" t="s">
        <v>21</v>
      </c>
      <c r="C36" s="20" t="s">
        <v>52</v>
      </c>
      <c r="D36" s="56"/>
      <c r="E36" s="57">
        <f>'GSA Rates'!$D$4</f>
        <v>26.95</v>
      </c>
      <c r="F36" s="57">
        <f>'Table A.1'!R37</f>
        <v>1052.3974999999998</v>
      </c>
    </row>
    <row r="37" spans="2:6" x14ac:dyDescent="0.25">
      <c r="B37" s="33" t="s">
        <v>21</v>
      </c>
      <c r="C37" s="20" t="s">
        <v>53</v>
      </c>
      <c r="D37" s="56"/>
      <c r="E37" s="57">
        <f>'GSA Rates'!$D$4</f>
        <v>26.95</v>
      </c>
      <c r="F37" s="57">
        <f>'Table A.1'!R38</f>
        <v>916.3</v>
      </c>
    </row>
    <row r="38" spans="2:6" x14ac:dyDescent="0.25">
      <c r="B38" s="33" t="s">
        <v>21</v>
      </c>
      <c r="C38" s="20" t="s">
        <v>54</v>
      </c>
      <c r="D38" s="56"/>
      <c r="E38" s="57">
        <f>'GSA Rates'!$D$4</f>
        <v>26.95</v>
      </c>
      <c r="F38" s="57">
        <f>'Table A.1'!R39</f>
        <v>780.2025000000001</v>
      </c>
    </row>
    <row r="39" spans="2:6" x14ac:dyDescent="0.25">
      <c r="B39" s="33" t="s">
        <v>21</v>
      </c>
      <c r="C39" s="20" t="s">
        <v>56</v>
      </c>
      <c r="D39" s="56"/>
      <c r="E39" s="57">
        <f>'GSA Rates'!$D$4</f>
        <v>26.95</v>
      </c>
      <c r="F39" s="57">
        <f>'Table A.1'!R40</f>
        <v>525.52499999999998</v>
      </c>
    </row>
    <row r="40" spans="2:6" x14ac:dyDescent="0.25">
      <c r="B40" s="33" t="s">
        <v>21</v>
      </c>
      <c r="C40" s="20" t="s">
        <v>57</v>
      </c>
      <c r="D40" s="56"/>
      <c r="E40" s="57">
        <f>'GSA Rates'!$D$4</f>
        <v>26.95</v>
      </c>
      <c r="F40" s="57">
        <f>'Table A.1'!R41</f>
        <v>270.84750000000003</v>
      </c>
    </row>
    <row r="41" spans="2:6" x14ac:dyDescent="0.25">
      <c r="B41" s="33" t="s">
        <v>21</v>
      </c>
      <c r="C41" s="20" t="s">
        <v>58</v>
      </c>
      <c r="D41" s="56"/>
      <c r="E41" s="57">
        <f>'GSA Rates'!$D$4</f>
        <v>26.95</v>
      </c>
      <c r="F41" s="57">
        <f>'Table A.1'!R42</f>
        <v>55010.34</v>
      </c>
    </row>
    <row r="42" spans="2:6" ht="15" customHeight="1" x14ac:dyDescent="0.25">
      <c r="B42" s="115" t="s">
        <v>60</v>
      </c>
      <c r="C42" s="115"/>
      <c r="D42" s="115"/>
      <c r="E42" s="58">
        <f>'GSA Rates'!$D$4</f>
        <v>26.95</v>
      </c>
      <c r="F42" s="58">
        <f>'Table A.1'!R43</f>
        <v>70610.347499999989</v>
      </c>
    </row>
    <row r="43" spans="2:6" x14ac:dyDescent="0.25">
      <c r="B43" s="116" t="s">
        <v>61</v>
      </c>
      <c r="C43" s="116"/>
      <c r="D43" s="116"/>
      <c r="E43" s="58">
        <f>'GSA Rates'!$D$4</f>
        <v>26.95</v>
      </c>
      <c r="F43" s="58">
        <f>'Table A.1'!R44</f>
        <v>71123.475499999986</v>
      </c>
    </row>
    <row r="44" spans="2:6" x14ac:dyDescent="0.25">
      <c r="B44" s="116" t="s">
        <v>80</v>
      </c>
      <c r="C44" s="116"/>
      <c r="D44" s="116"/>
      <c r="E44" s="25" t="s">
        <v>44</v>
      </c>
      <c r="F44" s="58">
        <f>'Table A.1'!R45</f>
        <v>75066.007099999988</v>
      </c>
    </row>
  </sheetData>
  <mergeCells count="19">
    <mergeCell ref="B44:D44"/>
    <mergeCell ref="B24:D24"/>
    <mergeCell ref="B25:D25"/>
    <mergeCell ref="B13:D13"/>
    <mergeCell ref="B31:D31"/>
    <mergeCell ref="B42:D42"/>
    <mergeCell ref="B43:D43"/>
    <mergeCell ref="B26:F26"/>
    <mergeCell ref="B27:F27"/>
    <mergeCell ref="B32:F32"/>
    <mergeCell ref="F6:F7"/>
    <mergeCell ref="B8:F8"/>
    <mergeCell ref="B1:F4"/>
    <mergeCell ref="B9:F9"/>
    <mergeCell ref="B14:F14"/>
    <mergeCell ref="B6:B7"/>
    <mergeCell ref="C6:C7"/>
    <mergeCell ref="D6:D7"/>
    <mergeCell ref="E6:E7"/>
  </mergeCells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F6"/>
  <sheetViews>
    <sheetView workbookViewId="0">
      <selection activeCell="C13" sqref="C13"/>
    </sheetView>
  </sheetViews>
  <sheetFormatPr defaultRowHeight="15" x14ac:dyDescent="0.25"/>
  <cols>
    <col min="3" max="3" width="27.28515625" bestFit="1" customWidth="1"/>
    <col min="5" max="5" width="6.5703125" bestFit="1" customWidth="1"/>
    <col min="6" max="6" width="12.28515625" bestFit="1" customWidth="1"/>
  </cols>
  <sheetData>
    <row r="2" spans="3:6" x14ac:dyDescent="0.25">
      <c r="C2" s="59" t="s">
        <v>85</v>
      </c>
      <c r="D2" s="59" t="s">
        <v>63</v>
      </c>
      <c r="E2" s="59" t="s">
        <v>86</v>
      </c>
      <c r="F2" s="59" t="s">
        <v>87</v>
      </c>
    </row>
    <row r="3" spans="3:6" x14ac:dyDescent="0.25">
      <c r="C3" s="56" t="s">
        <v>66</v>
      </c>
      <c r="D3" s="57">
        <v>42.08</v>
      </c>
      <c r="E3" s="60">
        <v>2010</v>
      </c>
      <c r="F3" s="57">
        <f>D3*E3</f>
        <v>84580.800000000003</v>
      </c>
    </row>
    <row r="4" spans="3:6" x14ac:dyDescent="0.25">
      <c r="C4" s="56" t="s">
        <v>88</v>
      </c>
      <c r="D4" s="57">
        <v>42.08</v>
      </c>
      <c r="E4" s="60">
        <f>51*20</f>
        <v>1020</v>
      </c>
      <c r="F4" s="57">
        <f>D4*E4</f>
        <v>42921.599999999999</v>
      </c>
    </row>
    <row r="5" spans="3:6" x14ac:dyDescent="0.25">
      <c r="C5" s="56" t="s">
        <v>89</v>
      </c>
      <c r="D5" s="56"/>
      <c r="E5" s="56"/>
      <c r="F5" s="57">
        <v>1099787</v>
      </c>
    </row>
    <row r="6" spans="3:6" x14ac:dyDescent="0.25">
      <c r="C6" s="61" t="s">
        <v>90</v>
      </c>
      <c r="D6" s="62">
        <f>D4</f>
        <v>42.08</v>
      </c>
      <c r="E6" s="63">
        <f>SUM(E3:E4)</f>
        <v>3030</v>
      </c>
      <c r="F6" s="62">
        <f>SUM(F3:F5)</f>
        <v>1227289.3999999999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workbookViewId="0">
      <selection activeCell="D34" sqref="D34"/>
    </sheetView>
  </sheetViews>
  <sheetFormatPr defaultRowHeight="15" x14ac:dyDescent="0.25"/>
  <cols>
    <col min="3" max="3" width="30.5703125" bestFit="1" customWidth="1"/>
  </cols>
  <sheetData>
    <row r="3" spans="3:4" x14ac:dyDescent="0.25">
      <c r="C3" s="46" t="s">
        <v>62</v>
      </c>
      <c r="D3" s="46" t="s">
        <v>63</v>
      </c>
    </row>
    <row r="4" spans="3:4" x14ac:dyDescent="0.25">
      <c r="C4" s="45" t="s">
        <v>64</v>
      </c>
      <c r="D4" s="47">
        <v>26.95</v>
      </c>
    </row>
    <row r="5" spans="3:4" x14ac:dyDescent="0.25">
      <c r="C5" s="45" t="s">
        <v>65</v>
      </c>
      <c r="D5" s="47">
        <v>54.26</v>
      </c>
    </row>
    <row r="6" spans="3:4" x14ac:dyDescent="0.25">
      <c r="C6" s="45" t="s">
        <v>66</v>
      </c>
      <c r="D6" s="47">
        <v>42.08</v>
      </c>
    </row>
    <row r="7" spans="3:4" x14ac:dyDescent="0.25">
      <c r="C7" s="45" t="s">
        <v>67</v>
      </c>
      <c r="D7" s="47">
        <v>42.08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Table A.1</vt:lpstr>
      <vt:lpstr>Table A.2</vt:lpstr>
      <vt:lpstr>Table A.3</vt:lpstr>
      <vt:lpstr>GSA Rates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Kofi Ampaabeng</dc:creator>
  <cp:lastModifiedBy>CS</cp:lastModifiedBy>
  <cp:lastPrinted>2016-09-19T22:44:08Z</cp:lastPrinted>
  <dcterms:created xsi:type="dcterms:W3CDTF">2016-08-21T01:27:08Z</dcterms:created>
  <dcterms:modified xsi:type="dcterms:W3CDTF">2016-10-04T20:18:31Z</dcterms:modified>
</cp:coreProperties>
</file>