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1835" activeTab="1"/>
  </bookViews>
  <sheets>
    <sheet name="Sources" sheetId="1" r:id="rId1"/>
    <sheet name="Table 1" sheetId="2" r:id="rId2"/>
    <sheet name="Table 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F31" i="2"/>
  <c r="I9" i="2"/>
  <c r="H9" i="2"/>
  <c r="G9" i="2"/>
  <c r="E9" i="2"/>
  <c r="F9" i="2"/>
  <c r="D9" i="2"/>
  <c r="I71" i="2"/>
  <c r="E30" i="2" l="1"/>
  <c r="F30" i="2" s="1"/>
  <c r="G30" i="2" s="1"/>
  <c r="E29" i="2"/>
  <c r="F29" i="2" s="1"/>
  <c r="H29" i="2" s="1"/>
  <c r="E14" i="3"/>
  <c r="E13" i="3"/>
  <c r="E11" i="3"/>
  <c r="F11" i="3" s="1"/>
  <c r="E10" i="3"/>
  <c r="E7" i="3"/>
  <c r="E8" i="3"/>
  <c r="E9" i="3"/>
  <c r="E6" i="3"/>
  <c r="E67" i="2"/>
  <c r="E65" i="2"/>
  <c r="F65" i="2" s="1"/>
  <c r="E64" i="2"/>
  <c r="F64" i="2" s="1"/>
  <c r="G64" i="2" s="1"/>
  <c r="E57" i="2"/>
  <c r="F57" i="2" s="1"/>
  <c r="E53" i="2"/>
  <c r="F53" i="2" s="1"/>
  <c r="E51" i="2"/>
  <c r="F51" i="2" s="1"/>
  <c r="E40" i="2"/>
  <c r="F40" i="2" s="1"/>
  <c r="H40" i="2" s="1"/>
  <c r="E37" i="2"/>
  <c r="E50" i="2" s="1"/>
  <c r="F50" i="2" s="1"/>
  <c r="E35" i="2"/>
  <c r="F35" i="2" s="1"/>
  <c r="E34" i="2"/>
  <c r="E24" i="2"/>
  <c r="F24" i="2" s="1"/>
  <c r="E23" i="2"/>
  <c r="F23" i="2" s="1"/>
  <c r="G23" i="2" s="1"/>
  <c r="E21" i="2"/>
  <c r="F21" i="2" s="1"/>
  <c r="E20" i="2"/>
  <c r="F20" i="2" s="1"/>
  <c r="H20" i="2" s="1"/>
  <c r="E16" i="2"/>
  <c r="F16" i="2" s="1"/>
  <c r="H16" i="2" s="1"/>
  <c r="E17" i="2"/>
  <c r="F17" i="2" s="1"/>
  <c r="H17" i="2" s="1"/>
  <c r="E18" i="2"/>
  <c r="F18" i="2" s="1"/>
  <c r="E19" i="2"/>
  <c r="E15" i="2"/>
  <c r="F15" i="2" s="1"/>
  <c r="G15" i="2" s="1"/>
  <c r="E12" i="2"/>
  <c r="F12" i="2" s="1"/>
  <c r="G14" i="1"/>
  <c r="G13" i="1"/>
  <c r="G15" i="1" s="1"/>
  <c r="G12" i="1"/>
  <c r="F14" i="1"/>
  <c r="F13" i="1"/>
  <c r="F15" i="1" s="1"/>
  <c r="F12" i="1"/>
  <c r="I12" i="1"/>
  <c r="E14" i="1"/>
  <c r="E13" i="1"/>
  <c r="E12" i="1"/>
  <c r="C15" i="1"/>
  <c r="D15" i="1"/>
  <c r="E15" i="1"/>
  <c r="H15" i="1"/>
  <c r="B15" i="1"/>
  <c r="I15" i="3"/>
  <c r="I16" i="3"/>
  <c r="I17" i="3"/>
  <c r="H15" i="3"/>
  <c r="H16" i="3"/>
  <c r="H17" i="3"/>
  <c r="G14" i="3"/>
  <c r="G15" i="3"/>
  <c r="G16" i="3"/>
  <c r="G17" i="3"/>
  <c r="F14" i="3"/>
  <c r="H14" i="3" s="1"/>
  <c r="I14" i="3" s="1"/>
  <c r="F15" i="3"/>
  <c r="F16" i="3"/>
  <c r="F17" i="3"/>
  <c r="F13" i="3"/>
  <c r="H13" i="3" s="1"/>
  <c r="H8" i="3"/>
  <c r="H9" i="3"/>
  <c r="G8" i="3"/>
  <c r="I8" i="3" s="1"/>
  <c r="F7" i="3"/>
  <c r="F8" i="3"/>
  <c r="F9" i="3"/>
  <c r="G9" i="3" s="1"/>
  <c r="I9" i="3" s="1"/>
  <c r="F10" i="3"/>
  <c r="G10" i="3" s="1"/>
  <c r="F6" i="3"/>
  <c r="G6" i="3" s="1"/>
  <c r="D14" i="3"/>
  <c r="D15" i="3"/>
  <c r="D16" i="3"/>
  <c r="D17" i="3"/>
  <c r="D18" i="3"/>
  <c r="D19" i="3"/>
  <c r="D13" i="3"/>
  <c r="D7" i="3"/>
  <c r="D8" i="3"/>
  <c r="D9" i="3"/>
  <c r="D10" i="3"/>
  <c r="D11" i="3"/>
  <c r="D6" i="3"/>
  <c r="I54" i="2"/>
  <c r="I45" i="2"/>
  <c r="I44" i="2"/>
  <c r="I25" i="2"/>
  <c r="I26" i="2"/>
  <c r="I27" i="2"/>
  <c r="I8" i="2"/>
  <c r="F67" i="2"/>
  <c r="G67" i="2" s="1"/>
  <c r="H54" i="2"/>
  <c r="F54" i="2"/>
  <c r="G54" i="2" s="1"/>
  <c r="H45" i="2"/>
  <c r="F45" i="2"/>
  <c r="G45" i="2" s="1"/>
  <c r="H44" i="2"/>
  <c r="F44" i="2"/>
  <c r="G44" i="2" s="1"/>
  <c r="F34" i="2"/>
  <c r="H34" i="2" s="1"/>
  <c r="H27" i="2"/>
  <c r="F27" i="2"/>
  <c r="G27" i="2" s="1"/>
  <c r="F26" i="2"/>
  <c r="H26" i="2" s="1"/>
  <c r="F25" i="2"/>
  <c r="H25" i="2" s="1"/>
  <c r="F19" i="2"/>
  <c r="G19" i="2" s="1"/>
  <c r="H8" i="2"/>
  <c r="G8" i="2"/>
  <c r="F8" i="2"/>
  <c r="D65" i="2"/>
  <c r="D66" i="2"/>
  <c r="D67" i="2"/>
  <c r="D68" i="2"/>
  <c r="D64" i="2"/>
  <c r="D62" i="2"/>
  <c r="D61" i="2"/>
  <c r="D58" i="2"/>
  <c r="D59" i="2"/>
  <c r="D57" i="2"/>
  <c r="D54" i="2"/>
  <c r="D53" i="2"/>
  <c r="D51" i="2"/>
  <c r="D50" i="2"/>
  <c r="D45" i="2"/>
  <c r="D46" i="2"/>
  <c r="D47" i="2"/>
  <c r="D44" i="2"/>
  <c r="D40" i="2"/>
  <c r="D39" i="2"/>
  <c r="D37" i="2"/>
  <c r="D35" i="2"/>
  <c r="D34" i="2"/>
  <c r="D24" i="2"/>
  <c r="D25" i="2"/>
  <c r="D26" i="2"/>
  <c r="D27" i="2"/>
  <c r="D28" i="2"/>
  <c r="D29" i="2"/>
  <c r="D30" i="2"/>
  <c r="D23" i="2"/>
  <c r="D16" i="2"/>
  <c r="D17" i="2"/>
  <c r="D18" i="2"/>
  <c r="D19" i="2"/>
  <c r="D20" i="2"/>
  <c r="D21" i="2"/>
  <c r="D15" i="2"/>
  <c r="D12" i="2"/>
  <c r="D8" i="2"/>
  <c r="H67" i="2" l="1"/>
  <c r="G50" i="2"/>
  <c r="I50" i="2" s="1"/>
  <c r="H50" i="2"/>
  <c r="E58" i="2"/>
  <c r="F58" i="2" s="1"/>
  <c r="G58" i="2" s="1"/>
  <c r="E19" i="3"/>
  <c r="F19" i="3" s="1"/>
  <c r="H19" i="3" s="1"/>
  <c r="F37" i="2"/>
  <c r="G37" i="2" s="1"/>
  <c r="E28" i="2"/>
  <c r="E59" i="2"/>
  <c r="F59" i="2" s="1"/>
  <c r="H59" i="2" s="1"/>
  <c r="E18" i="3"/>
  <c r="F18" i="3" s="1"/>
  <c r="H18" i="3" s="1"/>
  <c r="H30" i="2"/>
  <c r="I30" i="2" s="1"/>
  <c r="H11" i="3"/>
  <c r="G11" i="3"/>
  <c r="I11" i="3" s="1"/>
  <c r="I10" i="3"/>
  <c r="H10" i="3"/>
  <c r="G7" i="3"/>
  <c r="I7" i="3" s="1"/>
  <c r="H7" i="3"/>
  <c r="I6" i="3"/>
  <c r="H6" i="3"/>
  <c r="I67" i="2"/>
  <c r="H65" i="2"/>
  <c r="H64" i="2"/>
  <c r="I64" i="2"/>
  <c r="H58" i="2"/>
  <c r="H57" i="2"/>
  <c r="H53" i="2"/>
  <c r="H51" i="2"/>
  <c r="G35" i="2"/>
  <c r="H35" i="2"/>
  <c r="I35" i="2" s="1"/>
  <c r="H24" i="2"/>
  <c r="H23" i="2"/>
  <c r="I23" i="2" s="1"/>
  <c r="H21" i="2"/>
  <c r="H18" i="2"/>
  <c r="H19" i="2"/>
  <c r="I19" i="2" s="1"/>
  <c r="H15" i="2"/>
  <c r="I15" i="2" s="1"/>
  <c r="H12" i="2"/>
  <c r="I14" i="1"/>
  <c r="I13" i="1"/>
  <c r="I15" i="1" s="1"/>
  <c r="G13" i="3"/>
  <c r="I13" i="3" s="1"/>
  <c r="G65" i="2"/>
  <c r="G57" i="2"/>
  <c r="I57" i="2" s="1"/>
  <c r="G53" i="2"/>
  <c r="G51" i="2"/>
  <c r="I51" i="2" s="1"/>
  <c r="G40" i="2"/>
  <c r="I40" i="2" s="1"/>
  <c r="G34" i="2"/>
  <c r="G29" i="2"/>
  <c r="I29" i="2" s="1"/>
  <c r="G26" i="2"/>
  <c r="G25" i="2"/>
  <c r="G24" i="2"/>
  <c r="I24" i="2" s="1"/>
  <c r="G21" i="2"/>
  <c r="G20" i="2"/>
  <c r="I20" i="2" s="1"/>
  <c r="G18" i="2"/>
  <c r="G17" i="2"/>
  <c r="I17" i="2" s="1"/>
  <c r="G16" i="2"/>
  <c r="I16" i="2" s="1"/>
  <c r="G12" i="2"/>
  <c r="I18" i="2" l="1"/>
  <c r="G19" i="3"/>
  <c r="I19" i="3" s="1"/>
  <c r="G18" i="3"/>
  <c r="I18" i="3" s="1"/>
  <c r="I53" i="2"/>
  <c r="I65" i="2"/>
  <c r="I58" i="2"/>
  <c r="E39" i="2"/>
  <c r="F28" i="2"/>
  <c r="I21" i="2"/>
  <c r="G59" i="2"/>
  <c r="I59" i="2" s="1"/>
  <c r="H37" i="2"/>
  <c r="I37" i="2" s="1"/>
  <c r="I34" i="2"/>
  <c r="I12" i="2"/>
  <c r="I20" i="3" l="1"/>
  <c r="F20" i="3"/>
  <c r="F39" i="2"/>
  <c r="E46" i="2"/>
  <c r="E47" i="2"/>
  <c r="F47" i="2" s="1"/>
  <c r="H28" i="2"/>
  <c r="G28" i="2"/>
  <c r="I28" i="2" l="1"/>
  <c r="G47" i="2"/>
  <c r="H47" i="2"/>
  <c r="I47" i="2" s="1"/>
  <c r="E66" i="2"/>
  <c r="F66" i="2" s="1"/>
  <c r="E62" i="2"/>
  <c r="F62" i="2" s="1"/>
  <c r="E61" i="2"/>
  <c r="F61" i="2" s="1"/>
  <c r="E68" i="2"/>
  <c r="F68" i="2" s="1"/>
  <c r="F46" i="2"/>
  <c r="G39" i="2"/>
  <c r="I39" i="2" s="1"/>
  <c r="H39" i="2"/>
  <c r="H62" i="2" l="1"/>
  <c r="G62" i="2"/>
  <c r="G68" i="2"/>
  <c r="H68" i="2"/>
  <c r="G61" i="2"/>
  <c r="I61" i="2" s="1"/>
  <c r="H61" i="2"/>
  <c r="H46" i="2"/>
  <c r="G46" i="2"/>
  <c r="I46" i="2" s="1"/>
  <c r="H66" i="2"/>
  <c r="G66" i="2"/>
  <c r="I66" i="2" l="1"/>
  <c r="F69" i="2"/>
  <c r="F70" i="2" s="1"/>
  <c r="K73" i="2" s="1"/>
  <c r="I62" i="2"/>
  <c r="I68" i="2"/>
  <c r="I69" i="2" l="1"/>
  <c r="I70" i="2" s="1"/>
  <c r="I72" i="2" s="1"/>
</calcChain>
</file>

<file path=xl/sharedStrings.xml><?xml version="1.0" encoding="utf-8"?>
<sst xmlns="http://schemas.openxmlformats.org/spreadsheetml/2006/main" count="155" uniqueCount="130">
  <si>
    <t>Number of Respondents</t>
  </si>
  <si>
    <t>Year</t>
  </si>
  <si>
    <t>(A)</t>
  </si>
  <si>
    <t>(B)</t>
  </si>
  <si>
    <t>(C)</t>
  </si>
  <si>
    <t>(D)</t>
  </si>
  <si>
    <t>(E)</t>
  </si>
  <si>
    <t>Major</t>
  </si>
  <si>
    <t>Area</t>
  </si>
  <si>
    <t xml:space="preserve">Area Only Keep Records </t>
  </si>
  <si>
    <t>Average</t>
  </si>
  <si>
    <r>
      <t xml:space="preserve">Number of New Respondents </t>
    </r>
    <r>
      <rPr>
        <vertAlign val="superscript"/>
        <sz val="10"/>
        <color theme="1"/>
        <rFont val="Times New Roman"/>
        <family val="1"/>
      </rPr>
      <t>1 &amp; 2</t>
    </r>
  </si>
  <si>
    <r>
      <t xml:space="preserve">Number of Existing Respondents </t>
    </r>
    <r>
      <rPr>
        <vertAlign val="superscript"/>
        <sz val="10"/>
        <color theme="1"/>
        <rFont val="Times New Roman"/>
        <family val="1"/>
      </rPr>
      <t>3</t>
    </r>
  </si>
  <si>
    <r>
      <t xml:space="preserve">Number of Existing Respondents that keep records but do not submit reports </t>
    </r>
    <r>
      <rPr>
        <vertAlign val="superscript"/>
        <sz val="10"/>
        <color theme="1"/>
        <rFont val="Times New Roman"/>
        <family val="1"/>
      </rPr>
      <t>4</t>
    </r>
  </si>
  <si>
    <t>Number of Respondents (E=A+B)</t>
  </si>
  <si>
    <t>Burden item</t>
  </si>
  <si>
    <t>(F)</t>
  </si>
  <si>
    <t>(G)</t>
  </si>
  <si>
    <t>(H)</t>
  </si>
  <si>
    <t>Technical Person hours per occurrence</t>
  </si>
  <si>
    <t>No. of occurrences per respondent per year</t>
  </si>
  <si>
    <t>(C=AxB)</t>
  </si>
  <si>
    <r>
      <t xml:space="preserve">Respondents per year  </t>
    </r>
    <r>
      <rPr>
        <b/>
        <vertAlign val="superscript"/>
        <sz val="12"/>
        <color rgb="FF000000"/>
        <rFont val="Times New Roman"/>
        <family val="1"/>
      </rPr>
      <t>a</t>
    </r>
  </si>
  <si>
    <t>Technical person- hours per year</t>
  </si>
  <si>
    <t>(E=CxD)</t>
  </si>
  <si>
    <t>(Ex0.05)</t>
  </si>
  <si>
    <t>(Ex0.1)</t>
  </si>
  <si>
    <t>1.  Applications</t>
  </si>
  <si>
    <t>N/A</t>
  </si>
  <si>
    <t>2.  Surveys and studies</t>
  </si>
  <si>
    <t>3.  Reporting requirements</t>
  </si>
  <si>
    <t xml:space="preserve">    b.  Required activities</t>
  </si>
  <si>
    <t xml:space="preserve">    c.  Create information</t>
  </si>
  <si>
    <r>
      <t xml:space="preserve">    d.  Gather existing information</t>
    </r>
    <r>
      <rPr>
        <vertAlign val="superscript"/>
        <sz val="10"/>
        <color rgb="FF000000"/>
        <rFont val="Times New Roman"/>
        <family val="1"/>
      </rPr>
      <t xml:space="preserve"> c</t>
    </r>
  </si>
  <si>
    <r>
      <t xml:space="preserve">    e.  Affirmative defense </t>
    </r>
    <r>
      <rPr>
        <vertAlign val="superscript"/>
        <sz val="10"/>
        <color rgb="FF000000"/>
        <rFont val="Times New Roman"/>
        <family val="1"/>
      </rPr>
      <t>d</t>
    </r>
  </si>
  <si>
    <t xml:space="preserve">    Major sources</t>
  </si>
  <si>
    <r>
      <t xml:space="preserve">      i. Notification of construction/reconstruction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</si>
  <si>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    ii. Notification of actual startup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</si>
  <si>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iii. Notification of date of CMS performance evaluation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</si>
  <si>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  iv.  Notification of date of performance test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</si>
  <si>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   v.  Notification of compliance status report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</si>
  <si>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  vi.  Startup, shutdown, malfunction reports </t>
    </r>
    <r>
      <rPr>
        <vertAlign val="superscript"/>
        <sz val="10"/>
        <color rgb="FF000000"/>
        <rFont val="Times New Roman"/>
        <family val="1"/>
      </rPr>
      <t>e</t>
    </r>
  </si>
  <si>
    <r>
      <t xml:space="preserve">  vii.  Semiannual periodic report </t>
    </r>
    <r>
      <rPr>
        <vertAlign val="superscript"/>
        <sz val="10"/>
        <color rgb="FF000000"/>
        <rFont val="Times New Roman"/>
        <family val="1"/>
      </rPr>
      <t>e</t>
    </r>
  </si>
  <si>
    <t xml:space="preserve">    Area sources</t>
  </si>
  <si>
    <r>
      <t xml:space="preserve">     i.  Notification of intent to construct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</si>
  <si>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   ii.  Notification of actual startup date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</si>
  <si>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iii.  Notification of intent to conduct  performance test </t>
    </r>
    <r>
      <rPr>
        <vertAlign val="superscript"/>
        <sz val="10"/>
        <color rgb="FF000000"/>
        <rFont val="Times New Roman"/>
        <family val="1"/>
      </rPr>
      <t>c, f</t>
    </r>
  </si>
  <si>
    <r>
      <t xml:space="preserve">   iv.  Notification of date of CMS performance evaluation </t>
    </r>
    <r>
      <rPr>
        <vertAlign val="superscript"/>
        <sz val="10"/>
        <color rgb="FF000000"/>
        <rFont val="Times New Roman"/>
        <family val="1"/>
      </rPr>
      <t>c, f</t>
    </r>
  </si>
  <si>
    <t xml:space="preserve">    v.  Notification of compliance status</t>
  </si>
  <si>
    <r>
      <t xml:space="preserve">   vi.  First periodic report </t>
    </r>
    <r>
      <rPr>
        <vertAlign val="superscript"/>
        <sz val="10"/>
        <color rgb="FF000000"/>
        <rFont val="Times New Roman"/>
        <family val="1"/>
      </rPr>
      <t>g</t>
    </r>
  </si>
  <si>
    <r>
      <t xml:space="preserve">  vii.  Subsequent periodic reports </t>
    </r>
    <r>
      <rPr>
        <vertAlign val="superscript"/>
        <sz val="10"/>
        <color rgb="FF000000"/>
        <rFont val="Times New Roman"/>
        <family val="1"/>
      </rPr>
      <t>g</t>
    </r>
  </si>
  <si>
    <r>
      <t xml:space="preserve"> viii.  Startup, shutdown, malfunction reports </t>
    </r>
    <r>
      <rPr>
        <vertAlign val="superscript"/>
        <sz val="10"/>
        <color rgb="FF000000"/>
        <rFont val="Times New Roman"/>
        <family val="1"/>
      </rPr>
      <t>h</t>
    </r>
  </si>
  <si>
    <t>Subtotal  for Reporting  Requirements</t>
  </si>
  <si>
    <t>4  Recordkeeping requirements</t>
  </si>
  <si>
    <r>
      <t xml:space="preserve">         -  Major source </t>
    </r>
    <r>
      <rPr>
        <vertAlign val="superscript"/>
        <sz val="10"/>
        <color rgb="FF000000"/>
        <rFont val="Times New Roman"/>
        <family val="1"/>
      </rPr>
      <t>i</t>
    </r>
  </si>
  <si>
    <r>
      <t xml:space="preserve">         -  Area source </t>
    </r>
    <r>
      <rPr>
        <vertAlign val="superscript"/>
        <sz val="10"/>
        <color rgb="FF000000"/>
        <rFont val="Times New Roman"/>
        <family val="1"/>
      </rPr>
      <t>i</t>
    </r>
  </si>
  <si>
    <t xml:space="preserve">     b.  Plan activities </t>
  </si>
  <si>
    <t xml:space="preserve">         -  Major source </t>
  </si>
  <si>
    <t xml:space="preserve">         -  Area source</t>
  </si>
  <si>
    <r>
      <t xml:space="preserve">    i.  Sources required to operate add-on controls </t>
    </r>
    <r>
      <rPr>
        <vertAlign val="superscript"/>
        <sz val="10"/>
        <color rgb="FF000000"/>
        <rFont val="Times New Roman"/>
        <family val="1"/>
      </rPr>
      <t>j</t>
    </r>
  </si>
  <si>
    <r>
      <t xml:space="preserve">   ii.  Sources required to implement MP </t>
    </r>
    <r>
      <rPr>
        <vertAlign val="superscript"/>
        <sz val="10"/>
        <color rgb="FF000000"/>
        <rFont val="Times New Roman"/>
        <family val="1"/>
      </rPr>
      <t>k</t>
    </r>
  </si>
  <si>
    <t xml:space="preserve">     c.  Implement activities</t>
  </si>
  <si>
    <t xml:space="preserve">         -  Major source</t>
  </si>
  <si>
    <r>
      <t xml:space="preserve">   i.   Performance test </t>
    </r>
    <r>
      <rPr>
        <vertAlign val="superscript"/>
        <sz val="10"/>
        <color rgb="FF000000"/>
        <rFont val="Times New Roman"/>
        <family val="1"/>
      </rPr>
      <t>l</t>
    </r>
  </si>
  <si>
    <r>
      <t xml:space="preserve">  ii.   Design analysis </t>
    </r>
    <r>
      <rPr>
        <vertAlign val="superscript"/>
        <sz val="10"/>
        <color rgb="FF000000"/>
        <rFont val="Times New Roman"/>
        <family val="1"/>
      </rPr>
      <t>l</t>
    </r>
  </si>
  <si>
    <r>
      <t xml:space="preserve">  iii.   Control equipment leak monitoring </t>
    </r>
    <r>
      <rPr>
        <vertAlign val="superscript"/>
        <sz val="10"/>
        <color rgb="FF000000"/>
        <rFont val="Times New Roman"/>
        <family val="1"/>
      </rPr>
      <t>j</t>
    </r>
  </si>
  <si>
    <r>
      <t xml:space="preserve">  iv.   Operate and maintain CMS </t>
    </r>
    <r>
      <rPr>
        <vertAlign val="superscript"/>
        <sz val="10"/>
        <color rgb="FF000000"/>
        <rFont val="Times New Roman"/>
        <family val="1"/>
      </rPr>
      <t>j, m</t>
    </r>
  </si>
  <si>
    <t xml:space="preserve">     d.  Develop record system </t>
  </si>
  <si>
    <r>
      <t xml:space="preserve">   i.  Control equipment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</si>
  <si>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 ii.  Equipment inspection and monitoring</t>
    </r>
    <r>
      <rPr>
        <vertAlign val="superscript"/>
        <sz val="10"/>
        <color rgb="FF000000"/>
        <rFont val="Times New Roman"/>
        <family val="1"/>
      </rPr>
      <t>n</t>
    </r>
  </si>
  <si>
    <t xml:space="preserve">        -  Area source</t>
  </si>
  <si>
    <r>
      <t xml:space="preserve">   i.   Startup, shutdown, malfunction plan </t>
    </r>
    <r>
      <rPr>
        <vertAlign val="superscript"/>
        <sz val="10"/>
        <color rgb="FF000000"/>
        <rFont val="Times New Roman"/>
        <family val="1"/>
      </rPr>
      <t>l</t>
    </r>
  </si>
  <si>
    <r>
      <t xml:space="preserve">  ii.   Control equipment </t>
    </r>
    <r>
      <rPr>
        <vertAlign val="superscript"/>
        <sz val="10"/>
        <color rgb="FF000000"/>
        <rFont val="Times New Roman"/>
        <family val="1"/>
      </rPr>
      <t>l</t>
    </r>
  </si>
  <si>
    <t xml:space="preserve">     e.  Time to enter information</t>
  </si>
  <si>
    <r>
      <t xml:space="preserve">  i.   Control equipment monitoring  </t>
    </r>
    <r>
      <rPr>
        <vertAlign val="superscript"/>
        <sz val="10"/>
        <color rgb="FF000000"/>
        <rFont val="Times New Roman"/>
        <family val="1"/>
      </rPr>
      <t>n, o</t>
    </r>
  </si>
  <si>
    <r>
      <t xml:space="preserve"> ii.   Control device CMS </t>
    </r>
    <r>
      <rPr>
        <vertAlign val="superscript"/>
        <sz val="10"/>
        <color rgb="FF000000"/>
        <rFont val="Times New Roman"/>
        <family val="1"/>
      </rPr>
      <t>n, o, p</t>
    </r>
  </si>
  <si>
    <r>
      <t xml:space="preserve"> i    Control equipment leak monitoring </t>
    </r>
    <r>
      <rPr>
        <vertAlign val="superscript"/>
        <sz val="10"/>
        <color rgb="FF000000"/>
        <rFont val="Times New Roman"/>
        <family val="1"/>
      </rPr>
      <t>j, q</t>
    </r>
  </si>
  <si>
    <r>
      <t xml:space="preserve">ii.   CMS measurements </t>
    </r>
    <r>
      <rPr>
        <vertAlign val="superscript"/>
        <sz val="10"/>
        <color rgb="FF000000"/>
        <rFont val="Times New Roman"/>
        <family val="1"/>
      </rPr>
      <t>j</t>
    </r>
  </si>
  <si>
    <t xml:space="preserve">  f.  Time to train personnel </t>
  </si>
  <si>
    <r>
      <t xml:space="preserve">         -  Major source </t>
    </r>
    <r>
      <rPr>
        <vertAlign val="superscript"/>
        <sz val="10"/>
        <color rgb="FF000000"/>
        <rFont val="Times New Roman"/>
        <family val="1"/>
      </rPr>
      <t>c, l</t>
    </r>
  </si>
  <si>
    <r>
      <t xml:space="preserve">         -  Area source </t>
    </r>
    <r>
      <rPr>
        <vertAlign val="superscript"/>
        <sz val="10"/>
        <color rgb="FF000000"/>
        <rFont val="Times New Roman"/>
        <family val="1"/>
      </rPr>
      <t xml:space="preserve">c, l </t>
    </r>
  </si>
  <si>
    <r>
      <t xml:space="preserve">g.  Maintain records (area  source) </t>
    </r>
    <r>
      <rPr>
        <vertAlign val="superscript"/>
        <sz val="10"/>
        <color rgb="FF000000"/>
        <rFont val="Times New Roman"/>
        <family val="1"/>
      </rPr>
      <t xml:space="preserve">j, s </t>
    </r>
  </si>
  <si>
    <r>
      <t xml:space="preserve">h. Retain records of emission </t>
    </r>
    <r>
      <rPr>
        <vertAlign val="superscript"/>
        <sz val="10"/>
        <color rgb="FF000000"/>
        <rFont val="Times New Roman"/>
        <family val="1"/>
      </rPr>
      <t>t</t>
    </r>
  </si>
  <si>
    <r>
      <t xml:space="preserve">i.  Retrieve records/reports </t>
    </r>
    <r>
      <rPr>
        <vertAlign val="superscript"/>
        <sz val="10"/>
        <color rgb="FF000000"/>
        <rFont val="Times New Roman"/>
        <family val="1"/>
      </rPr>
      <t>j, u</t>
    </r>
  </si>
  <si>
    <t xml:space="preserve">Subtotal  for Recordkeeping Requirements  </t>
  </si>
  <si>
    <t>TOTAL LABOR BURDEN AND COST (rounded)</t>
  </si>
  <si>
    <r>
      <t xml:space="preserve">Total Cost Per Year </t>
    </r>
    <r>
      <rPr>
        <b/>
        <vertAlign val="superscript"/>
        <sz val="10"/>
        <color rgb="FF000000"/>
        <rFont val="Times New Roman"/>
        <family val="1"/>
      </rPr>
      <t>b</t>
    </r>
  </si>
  <si>
    <t>Technical Person hours per respondent per year (C=AxB)</t>
  </si>
  <si>
    <t>Technical person- hours per year (E=CxD)</t>
  </si>
  <si>
    <t>Management person hours per year (Ex0.05)</t>
  </si>
  <si>
    <t>Clerical person hours per year (Ex0.1)</t>
  </si>
  <si>
    <r>
      <t xml:space="preserve">    a.  Familiarize with rule requirement </t>
    </r>
    <r>
      <rPr>
        <vertAlign val="superscript"/>
        <sz val="10"/>
        <color rgb="FF000000"/>
        <rFont val="Times New Roman"/>
        <family val="1"/>
      </rPr>
      <t>c</t>
    </r>
  </si>
  <si>
    <t xml:space="preserve">     a.   Familiarize with rule requirement</t>
  </si>
  <si>
    <r>
      <t>iii.   Equipment inspection and monitoring</t>
    </r>
    <r>
      <rPr>
        <vertAlign val="superscript"/>
        <sz val="10"/>
        <color rgb="FF000000"/>
        <rFont val="Times New Roman"/>
        <family val="1"/>
      </rPr>
      <t xml:space="preserve">   n, o, p</t>
    </r>
  </si>
  <si>
    <t>Activity</t>
  </si>
  <si>
    <t>EPA person- hours per occurrence</t>
  </si>
  <si>
    <t>No. of occurrences per plant per year</t>
  </si>
  <si>
    <t>EPA person- hours per plant per year</t>
  </si>
  <si>
    <r>
      <t xml:space="preserve">Plants per year  </t>
    </r>
    <r>
      <rPr>
        <b/>
        <vertAlign val="superscript"/>
        <sz val="12"/>
        <color rgb="FF000000"/>
        <rFont val="Times New Roman"/>
        <family val="1"/>
      </rPr>
      <t>a</t>
    </r>
  </si>
  <si>
    <t>Management person-hours per year</t>
  </si>
  <si>
    <t>Clerical person-hours per year</t>
  </si>
  <si>
    <r>
      <t xml:space="preserve">Cost, $ </t>
    </r>
    <r>
      <rPr>
        <b/>
        <vertAlign val="superscript"/>
        <sz val="12"/>
        <color rgb="FF000000"/>
        <rFont val="Times New Roman"/>
        <family val="1"/>
      </rPr>
      <t>b</t>
    </r>
  </si>
  <si>
    <t>Major source</t>
  </si>
  <si>
    <r>
      <t xml:space="preserve">    Initial notification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</si>
  <si>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   Preconstruction review application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</si>
  <si>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   Performance test notification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</si>
  <si>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   Compliance status notification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</si>
  <si>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   Startup, shutdown, malfunction reports </t>
    </r>
    <r>
      <rPr>
        <vertAlign val="superscript"/>
        <sz val="10"/>
        <color rgb="FF000000"/>
        <rFont val="Times New Roman"/>
        <family val="1"/>
      </rPr>
      <t>d</t>
    </r>
  </si>
  <si>
    <r>
      <t xml:space="preserve">    Semiannual periodic reports </t>
    </r>
    <r>
      <rPr>
        <vertAlign val="superscript"/>
        <sz val="10"/>
        <color rgb="FF000000"/>
        <rFont val="Times New Roman"/>
        <family val="1"/>
      </rPr>
      <t>e</t>
    </r>
  </si>
  <si>
    <t>Area sources</t>
  </si>
  <si>
    <t xml:space="preserve">   Notification of intent to construct</t>
  </si>
  <si>
    <t xml:space="preserve">   Notification of actual startup date</t>
  </si>
  <si>
    <r>
      <t xml:space="preserve">   Notification of intent to conduct performance test </t>
    </r>
    <r>
      <rPr>
        <vertAlign val="superscript"/>
        <sz val="10"/>
        <color rgb="FF000000"/>
        <rFont val="Times New Roman"/>
        <family val="1"/>
      </rPr>
      <t>f</t>
    </r>
  </si>
  <si>
    <t xml:space="preserve">   Notification of date of CMS performance evaluation </t>
  </si>
  <si>
    <t xml:space="preserve">   Notification of compliance status </t>
  </si>
  <si>
    <r>
      <t xml:space="preserve">   Startup, shutdown, malfunction reports </t>
    </r>
    <r>
      <rPr>
        <vertAlign val="superscript"/>
        <sz val="10"/>
        <color rgb="FF000000"/>
        <rFont val="Times New Roman"/>
        <family val="1"/>
      </rPr>
      <t>g, h</t>
    </r>
  </si>
  <si>
    <t>TOTAL ANNUAL BURDEN AND COST (rounded)</t>
  </si>
  <si>
    <r>
      <t xml:space="preserve">Number of Existing Respondents That Are Also New Respondents </t>
    </r>
    <r>
      <rPr>
        <vertAlign val="superscript"/>
        <sz val="10"/>
        <color theme="1"/>
        <rFont val="Times New Roman"/>
        <family val="1"/>
      </rPr>
      <t>5</t>
    </r>
    <r>
      <rPr>
        <sz val="10"/>
        <color theme="1"/>
        <rFont val="Times New Roman"/>
        <family val="1"/>
      </rPr>
      <t xml:space="preserve"> </t>
    </r>
  </si>
  <si>
    <t>ICR 1788.11</t>
  </si>
  <si>
    <t>ICR 1788.10</t>
  </si>
  <si>
    <t>2% of existing area sources</t>
  </si>
  <si>
    <t>0.4% of existing area sources</t>
  </si>
  <si>
    <t>2% of existing area sources and 3 new area sources</t>
  </si>
  <si>
    <r>
      <t xml:space="preserve">   Periodic reports - first and subsequent </t>
    </r>
    <r>
      <rPr>
        <vertAlign val="superscript"/>
        <sz val="10"/>
        <color rgb="FF000000"/>
        <rFont val="Times New Roman"/>
        <family val="1"/>
      </rPr>
      <t>g</t>
    </r>
  </si>
  <si>
    <t>hr/response</t>
  </si>
  <si>
    <t># response</t>
  </si>
  <si>
    <t>New sources</t>
  </si>
  <si>
    <t>Existing sources (major source only)</t>
  </si>
  <si>
    <t>Capital and O&amp;M Cost, see Section 6(b)(iii)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</si>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</sst>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rgb="FF000000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9"/>
      <color theme="0" tint="-0.34998626667073579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0" fillId="0" borderId="0" xfId="0" applyNumberFormat="1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8" fontId="9" fillId="0" borderId="5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8" fontId="5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wrapText="1" indent="3"/>
    </xf>
    <xf numFmtId="0" fontId="9" fillId="0" borderId="5" xfId="0" applyFont="1" applyBorder="1" applyAlignment="1">
      <alignment vertical="center" wrapText="1"/>
    </xf>
    <xf numFmtId="6" fontId="5" fillId="0" borderId="5" xfId="0" applyNumberFormat="1" applyFont="1" applyBorder="1" applyAlignment="1">
      <alignment horizontal="righ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right" vertical="center" wrapText="1" indent="1"/>
    </xf>
    <xf numFmtId="8" fontId="9" fillId="0" borderId="5" xfId="0" applyNumberFormat="1" applyFont="1" applyBorder="1" applyAlignment="1">
      <alignment horizontal="right" vertical="center" wrapText="1" indent="1"/>
    </xf>
    <xf numFmtId="6" fontId="5" fillId="0" borderId="5" xfId="0" applyNumberFormat="1" applyFont="1" applyBorder="1" applyAlignment="1">
      <alignment vertical="center" wrapText="1"/>
    </xf>
    <xf numFmtId="0" fontId="11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8" fontId="9" fillId="0" borderId="5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" fontId="0" fillId="0" borderId="0" xfId="0" applyNumberFormat="1"/>
    <xf numFmtId="0" fontId="13" fillId="0" borderId="5" xfId="0" applyFont="1" applyBorder="1"/>
    <xf numFmtId="164" fontId="13" fillId="0" borderId="5" xfId="0" applyNumberFormat="1" applyFont="1" applyBorder="1"/>
    <xf numFmtId="6" fontId="14" fillId="0" borderId="5" xfId="0" applyNumberFormat="1" applyFont="1" applyBorder="1"/>
    <xf numFmtId="0" fontId="9" fillId="0" borderId="5" xfId="0" applyFont="1" applyFill="1" applyBorder="1" applyAlignment="1">
      <alignment horizontal="left" vertical="center" wrapText="1" indent="4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20" sqref="D20"/>
    </sheetView>
  </sheetViews>
  <sheetFormatPr defaultRowHeight="15" x14ac:dyDescent="0.25"/>
  <cols>
    <col min="4" max="4" width="12.5703125" customWidth="1"/>
    <col min="7" max="7" width="16.28515625" customWidth="1"/>
    <col min="8" max="8" width="15.7109375" customWidth="1"/>
    <col min="9" max="9" width="13.42578125" customWidth="1"/>
  </cols>
  <sheetData>
    <row r="1" spans="1:9" x14ac:dyDescent="0.25">
      <c r="A1" s="38"/>
      <c r="B1" s="40" t="s">
        <v>0</v>
      </c>
      <c r="C1" s="40"/>
      <c r="D1" s="40"/>
      <c r="E1" s="40"/>
      <c r="F1" s="40"/>
      <c r="G1" s="40"/>
      <c r="H1" s="40"/>
      <c r="I1" s="42"/>
    </row>
    <row r="2" spans="1:9" x14ac:dyDescent="0.25">
      <c r="A2" s="39"/>
      <c r="B2" s="41"/>
      <c r="C2" s="41"/>
      <c r="D2" s="41"/>
      <c r="E2" s="41"/>
      <c r="F2" s="41"/>
      <c r="G2" s="41"/>
      <c r="H2" s="41"/>
      <c r="I2" s="43"/>
    </row>
    <row r="3" spans="1:9" x14ac:dyDescent="0.25">
      <c r="A3" s="2"/>
      <c r="B3" s="37" t="s">
        <v>2</v>
      </c>
      <c r="C3" s="37"/>
      <c r="D3" s="37"/>
      <c r="E3" s="37" t="s">
        <v>3</v>
      </c>
      <c r="F3" s="37"/>
      <c r="G3" s="2" t="s">
        <v>4</v>
      </c>
      <c r="H3" s="2" t="s">
        <v>5</v>
      </c>
      <c r="I3" s="2" t="s">
        <v>6</v>
      </c>
    </row>
    <row r="4" spans="1:9" ht="54" x14ac:dyDescent="0.25">
      <c r="A4" s="2" t="s">
        <v>1</v>
      </c>
      <c r="B4" s="37" t="s">
        <v>11</v>
      </c>
      <c r="C4" s="37"/>
      <c r="D4" s="37"/>
      <c r="E4" s="37" t="s">
        <v>12</v>
      </c>
      <c r="F4" s="37"/>
      <c r="G4" s="2" t="s">
        <v>13</v>
      </c>
      <c r="H4" s="2" t="s">
        <v>117</v>
      </c>
      <c r="I4" s="2" t="s">
        <v>14</v>
      </c>
    </row>
    <row r="5" spans="1:9" ht="24" x14ac:dyDescent="0.25">
      <c r="A5" s="3"/>
      <c r="B5" s="3" t="s">
        <v>7</v>
      </c>
      <c r="C5" s="3" t="s">
        <v>8</v>
      </c>
      <c r="D5" s="3" t="s">
        <v>9</v>
      </c>
      <c r="E5" s="3" t="s">
        <v>7</v>
      </c>
      <c r="F5" s="3" t="s">
        <v>8</v>
      </c>
      <c r="G5" s="3"/>
      <c r="H5" s="3"/>
      <c r="I5" s="3"/>
    </row>
    <row r="6" spans="1:9" x14ac:dyDescent="0.25">
      <c r="A6" s="24" t="s">
        <v>119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25">
        <v>1</v>
      </c>
      <c r="B7" s="25">
        <v>28</v>
      </c>
      <c r="C7" s="25">
        <v>3</v>
      </c>
      <c r="D7" s="25">
        <v>138</v>
      </c>
      <c r="E7" s="25">
        <v>470</v>
      </c>
      <c r="F7" s="26">
        <v>2927</v>
      </c>
      <c r="G7" s="26">
        <v>3003</v>
      </c>
      <c r="H7" s="25">
        <v>25</v>
      </c>
      <c r="I7" s="26">
        <v>3566</v>
      </c>
    </row>
    <row r="8" spans="1:9" x14ac:dyDescent="0.25">
      <c r="A8" s="25">
        <v>2</v>
      </c>
      <c r="B8" s="25">
        <v>28</v>
      </c>
      <c r="C8" s="25">
        <v>3</v>
      </c>
      <c r="D8" s="25">
        <v>138</v>
      </c>
      <c r="E8" s="25">
        <v>498</v>
      </c>
      <c r="F8" s="26">
        <v>3068</v>
      </c>
      <c r="G8" s="26">
        <v>3141</v>
      </c>
      <c r="H8" s="25">
        <v>25</v>
      </c>
      <c r="I8" s="26">
        <v>3735</v>
      </c>
    </row>
    <row r="9" spans="1:9" x14ac:dyDescent="0.25">
      <c r="A9" s="25">
        <v>3</v>
      </c>
      <c r="B9" s="25">
        <v>28</v>
      </c>
      <c r="C9" s="25">
        <v>3</v>
      </c>
      <c r="D9" s="25">
        <v>138</v>
      </c>
      <c r="E9" s="25">
        <v>526</v>
      </c>
      <c r="F9" s="26">
        <v>3209</v>
      </c>
      <c r="G9" s="26">
        <v>3279</v>
      </c>
      <c r="H9" s="25">
        <v>25</v>
      </c>
      <c r="I9" s="26">
        <v>3904</v>
      </c>
    </row>
    <row r="10" spans="1:9" x14ac:dyDescent="0.25">
      <c r="A10" s="27" t="s">
        <v>10</v>
      </c>
      <c r="B10" s="25">
        <v>28</v>
      </c>
      <c r="C10" s="25">
        <v>3</v>
      </c>
      <c r="D10" s="25">
        <v>138</v>
      </c>
      <c r="E10" s="25">
        <v>498</v>
      </c>
      <c r="F10" s="26">
        <v>3068</v>
      </c>
      <c r="G10" s="26">
        <v>3141</v>
      </c>
      <c r="H10" s="25">
        <v>25</v>
      </c>
      <c r="I10" s="26">
        <v>3735</v>
      </c>
    </row>
    <row r="11" spans="1:9" x14ac:dyDescent="0.25">
      <c r="A11" s="24" t="s">
        <v>118</v>
      </c>
    </row>
    <row r="12" spans="1:9" x14ac:dyDescent="0.25">
      <c r="A12" s="3">
        <v>1</v>
      </c>
      <c r="B12" s="3">
        <v>28</v>
      </c>
      <c r="C12" s="3">
        <v>3</v>
      </c>
      <c r="D12" s="3">
        <v>138</v>
      </c>
      <c r="E12" s="3">
        <f>E9+B9</f>
        <v>554</v>
      </c>
      <c r="F12" s="4">
        <f>F9+C9+D9</f>
        <v>3350</v>
      </c>
      <c r="G12" s="4">
        <f>G9+D9</f>
        <v>3417</v>
      </c>
      <c r="H12" s="3">
        <v>25</v>
      </c>
      <c r="I12" s="4">
        <f>SUM(B12:F12)</f>
        <v>4073</v>
      </c>
    </row>
    <row r="13" spans="1:9" x14ac:dyDescent="0.25">
      <c r="A13" s="3">
        <v>2</v>
      </c>
      <c r="B13" s="3">
        <v>28</v>
      </c>
      <c r="C13" s="3">
        <v>3</v>
      </c>
      <c r="D13" s="3">
        <v>138</v>
      </c>
      <c r="E13" s="3">
        <f>E12+B12</f>
        <v>582</v>
      </c>
      <c r="F13" s="4">
        <f>F12+C12+D12</f>
        <v>3491</v>
      </c>
      <c r="G13" s="4">
        <f>G12+D12</f>
        <v>3555</v>
      </c>
      <c r="H13" s="3">
        <v>25</v>
      </c>
      <c r="I13" s="4">
        <f t="shared" ref="I13:I14" si="0">SUM(B13:F13)</f>
        <v>4242</v>
      </c>
    </row>
    <row r="14" spans="1:9" x14ac:dyDescent="0.25">
      <c r="A14" s="3">
        <v>3</v>
      </c>
      <c r="B14" s="3">
        <v>28</v>
      </c>
      <c r="C14" s="3">
        <v>3</v>
      </c>
      <c r="D14" s="3">
        <v>138</v>
      </c>
      <c r="E14" s="3">
        <f>E13+B13</f>
        <v>610</v>
      </c>
      <c r="F14" s="4">
        <f>F13+C13+D13</f>
        <v>3632</v>
      </c>
      <c r="G14" s="4">
        <f>G13+D13</f>
        <v>3693</v>
      </c>
      <c r="H14" s="3">
        <v>25</v>
      </c>
      <c r="I14" s="4">
        <f t="shared" si="0"/>
        <v>4411</v>
      </c>
    </row>
    <row r="15" spans="1:9" x14ac:dyDescent="0.25">
      <c r="A15" s="5" t="s">
        <v>10</v>
      </c>
      <c r="B15" s="3">
        <f>B13</f>
        <v>28</v>
      </c>
      <c r="C15" s="3">
        <f t="shared" ref="C15:H15" si="1">C13</f>
        <v>3</v>
      </c>
      <c r="D15" s="3">
        <f t="shared" si="1"/>
        <v>138</v>
      </c>
      <c r="E15" s="3">
        <f t="shared" si="1"/>
        <v>582</v>
      </c>
      <c r="F15" s="4">
        <f t="shared" si="1"/>
        <v>3491</v>
      </c>
      <c r="G15" s="4">
        <f t="shared" si="1"/>
        <v>3555</v>
      </c>
      <c r="H15" s="3">
        <f t="shared" si="1"/>
        <v>25</v>
      </c>
      <c r="I15" s="4">
        <f>I13</f>
        <v>4242</v>
      </c>
    </row>
    <row r="19" spans="6:7" x14ac:dyDescent="0.25">
      <c r="F19" s="1"/>
      <c r="G19" s="1"/>
    </row>
    <row r="20" spans="6:7" x14ac:dyDescent="0.25">
      <c r="F20" s="1"/>
    </row>
  </sheetData>
  <mergeCells count="7">
    <mergeCell ref="E3:F3"/>
    <mergeCell ref="E4:F4"/>
    <mergeCell ref="A1:A2"/>
    <mergeCell ref="B1:H2"/>
    <mergeCell ref="I1:I2"/>
    <mergeCell ref="B3:D3"/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37.7109375" customWidth="1"/>
    <col min="2" max="8" width="12.7109375" customWidth="1"/>
    <col min="9" max="9" width="14" customWidth="1"/>
  </cols>
  <sheetData>
    <row r="1" spans="1:9" x14ac:dyDescent="0.25">
      <c r="F1">
        <v>106.45</v>
      </c>
      <c r="G1">
        <v>138.43</v>
      </c>
      <c r="H1">
        <v>52.77</v>
      </c>
    </row>
    <row r="2" spans="1:9" x14ac:dyDescent="0.25">
      <c r="A2" s="6"/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16</v>
      </c>
      <c r="H2" s="7" t="s">
        <v>17</v>
      </c>
      <c r="I2" s="7" t="s">
        <v>18</v>
      </c>
    </row>
    <row r="3" spans="1:9" ht="63.75" x14ac:dyDescent="0.25">
      <c r="A3" s="8" t="s">
        <v>15</v>
      </c>
      <c r="B3" s="7" t="s">
        <v>19</v>
      </c>
      <c r="C3" s="7" t="s">
        <v>20</v>
      </c>
      <c r="D3" s="7" t="s">
        <v>87</v>
      </c>
      <c r="E3" s="7" t="s">
        <v>22</v>
      </c>
      <c r="F3" s="7" t="s">
        <v>88</v>
      </c>
      <c r="G3" s="7" t="s">
        <v>89</v>
      </c>
      <c r="H3" s="7" t="s">
        <v>90</v>
      </c>
      <c r="I3" s="7" t="s">
        <v>86</v>
      </c>
    </row>
    <row r="4" spans="1:9" x14ac:dyDescent="0.25">
      <c r="A4" s="9" t="s">
        <v>27</v>
      </c>
      <c r="B4" s="10" t="s">
        <v>28</v>
      </c>
      <c r="C4" s="10"/>
      <c r="D4" s="10"/>
      <c r="E4" s="10"/>
      <c r="F4" s="10"/>
      <c r="G4" s="10"/>
      <c r="H4" s="10"/>
      <c r="I4" s="11"/>
    </row>
    <row r="5" spans="1:9" x14ac:dyDescent="0.25">
      <c r="A5" s="9" t="s">
        <v>29</v>
      </c>
      <c r="B5" s="10" t="s">
        <v>28</v>
      </c>
      <c r="C5" s="10"/>
      <c r="D5" s="10"/>
      <c r="E5" s="10"/>
      <c r="F5" s="10"/>
      <c r="G5" s="10"/>
      <c r="H5" s="10"/>
      <c r="I5" s="11"/>
    </row>
    <row r="6" spans="1:9" x14ac:dyDescent="0.25">
      <c r="A6" s="9" t="s">
        <v>30</v>
      </c>
      <c r="B6" s="10"/>
      <c r="C6" s="10"/>
      <c r="D6" s="10"/>
      <c r="E6" s="10"/>
      <c r="F6" s="10"/>
      <c r="G6" s="10"/>
      <c r="H6" s="10"/>
      <c r="I6" s="11"/>
    </row>
    <row r="7" spans="1:9" ht="15.75" x14ac:dyDescent="0.25">
      <c r="A7" s="9" t="s">
        <v>91</v>
      </c>
      <c r="B7" s="10"/>
      <c r="C7" s="10"/>
      <c r="D7" s="10"/>
      <c r="E7" s="10"/>
      <c r="F7" s="10"/>
      <c r="G7" s="10"/>
      <c r="H7" s="10"/>
      <c r="I7" s="11"/>
    </row>
    <row r="8" spans="1:9" x14ac:dyDescent="0.25">
      <c r="A8" s="36" t="s">
        <v>126</v>
      </c>
      <c r="B8" s="10">
        <v>4</v>
      </c>
      <c r="C8" s="10">
        <v>1</v>
      </c>
      <c r="D8" s="10">
        <f>B8*C8</f>
        <v>4</v>
      </c>
      <c r="E8" s="28">
        <v>169</v>
      </c>
      <c r="F8" s="10">
        <f>D8*E8</f>
        <v>676</v>
      </c>
      <c r="G8" s="10">
        <f>F8*0.05</f>
        <v>33.800000000000004</v>
      </c>
      <c r="H8" s="10">
        <f>F8*0.1</f>
        <v>67.600000000000009</v>
      </c>
      <c r="I8" s="12">
        <f>F8*$F$1+G8*$G$1+H8*$H$1</f>
        <v>80206.385999999999</v>
      </c>
    </row>
    <row r="9" spans="1:9" x14ac:dyDescent="0.25">
      <c r="A9" s="36" t="s">
        <v>127</v>
      </c>
      <c r="B9" s="10">
        <v>1</v>
      </c>
      <c r="C9" s="10">
        <v>1</v>
      </c>
      <c r="D9" s="10">
        <f>B9*C9</f>
        <v>1</v>
      </c>
      <c r="E9" s="28">
        <f>Sources!E15</f>
        <v>582</v>
      </c>
      <c r="F9" s="10">
        <f>D9*E9</f>
        <v>582</v>
      </c>
      <c r="G9" s="10">
        <f>F9*0.05</f>
        <v>29.1</v>
      </c>
      <c r="H9" s="10">
        <f>F9*0.1</f>
        <v>58.2</v>
      </c>
      <c r="I9" s="12">
        <f>F9*$F$1+G9*$G$1+H9*$H$1</f>
        <v>69053.427000000011</v>
      </c>
    </row>
    <row r="10" spans="1:9" x14ac:dyDescent="0.25">
      <c r="A10" s="9" t="s">
        <v>31</v>
      </c>
      <c r="B10" s="10" t="s">
        <v>28</v>
      </c>
      <c r="C10" s="10"/>
      <c r="D10" s="10"/>
      <c r="E10" s="10"/>
      <c r="F10" s="10"/>
      <c r="G10" s="10"/>
      <c r="H10" s="10"/>
      <c r="I10" s="11"/>
    </row>
    <row r="11" spans="1:9" x14ac:dyDescent="0.25">
      <c r="A11" s="9" t="s">
        <v>32</v>
      </c>
      <c r="B11" s="10" t="s">
        <v>28</v>
      </c>
      <c r="C11" s="10"/>
      <c r="D11" s="10"/>
      <c r="E11" s="10"/>
      <c r="F11" s="10"/>
      <c r="G11" s="10"/>
      <c r="H11" s="10"/>
      <c r="I11" s="11"/>
    </row>
    <row r="12" spans="1:9" ht="15.75" x14ac:dyDescent="0.25">
      <c r="A12" s="9" t="s">
        <v>33</v>
      </c>
      <c r="B12" s="10">
        <v>8</v>
      </c>
      <c r="C12" s="10">
        <v>1</v>
      </c>
      <c r="D12" s="10">
        <f>B12*C12</f>
        <v>8</v>
      </c>
      <c r="E12" s="10">
        <f>SUM(Sources!B15:D15)</f>
        <v>169</v>
      </c>
      <c r="F12" s="10">
        <f>D12*E12</f>
        <v>1352</v>
      </c>
      <c r="G12" s="10">
        <f>F12*0.05</f>
        <v>67.600000000000009</v>
      </c>
      <c r="H12" s="10">
        <f>F12*0.1</f>
        <v>135.20000000000002</v>
      </c>
      <c r="I12" s="12">
        <f>F12*$F$1+G12*$G$1+H12*$H$1</f>
        <v>160412.772</v>
      </c>
    </row>
    <row r="13" spans="1:9" ht="15.75" x14ac:dyDescent="0.25">
      <c r="A13" s="19" t="s">
        <v>34</v>
      </c>
      <c r="B13" s="10" t="s">
        <v>28</v>
      </c>
      <c r="C13" s="28"/>
      <c r="D13" s="28"/>
      <c r="E13" s="28"/>
      <c r="F13" s="28"/>
      <c r="G13" s="28"/>
      <c r="H13" s="28"/>
      <c r="I13" s="29"/>
    </row>
    <row r="14" spans="1:9" x14ac:dyDescent="0.25">
      <c r="A14" s="9" t="s">
        <v>35</v>
      </c>
      <c r="B14" s="10"/>
      <c r="C14" s="10"/>
      <c r="D14" s="10"/>
      <c r="E14" s="10"/>
      <c r="F14" s="10"/>
      <c r="G14" s="10"/>
      <c r="H14" s="10"/>
      <c r="I14" s="11"/>
    </row>
    <row r="15" spans="1:9" ht="28.5" x14ac:dyDescent="0.25">
      <c r="A15" s="9" t="s">
        <v>36</v>
      </c>
      <c r="B15" s="10">
        <v>2</v>
      </c>
      <c r="C15" s="10">
        <v>1</v>
      </c>
      <c r="D15" s="10">
        <f>B15*C15</f>
        <v>2</v>
      </c>
      <c r="E15" s="10">
        <f>Sources!$B$15</f>
        <v>28</v>
      </c>
      <c r="F15" s="10">
        <f t="shared" ref="F15:F21" si="0">D15*E15</f>
        <v>56</v>
      </c>
      <c r="G15" s="10">
        <f t="shared" ref="G15:G21" si="1">F15*0.05</f>
        <v>2.8000000000000003</v>
      </c>
      <c r="H15" s="10">
        <f t="shared" ref="H15:H21" si="2">F15*0.1</f>
        <v>5.6000000000000005</v>
      </c>
      <c r="I15" s="12">
        <f>F15*$F$1+G15*$G$1+H15*$H$1</f>
        <v>6644.3159999999998</v>
      </c>
    </row>
    <row r="16" spans="1:9" ht="15.75" x14ac:dyDescent="0.25">
      <c r="A16" s="9" t="s">
        <v>37</v>
      </c>
      <c r="B16" s="10">
        <v>2</v>
      </c>
      <c r="C16" s="10">
        <v>1</v>
      </c>
      <c r="D16" s="10">
        <f t="shared" ref="D16:D30" si="3">B16*C16</f>
        <v>2</v>
      </c>
      <c r="E16" s="10">
        <f>Sources!$B$15</f>
        <v>28</v>
      </c>
      <c r="F16" s="10">
        <f t="shared" si="0"/>
        <v>56</v>
      </c>
      <c r="G16" s="10">
        <f t="shared" si="1"/>
        <v>2.8000000000000003</v>
      </c>
      <c r="H16" s="10">
        <f t="shared" si="2"/>
        <v>5.6000000000000005</v>
      </c>
      <c r="I16" s="12">
        <f t="shared" ref="I16:I30" si="4">F16*$F$1+G16*$G$1+H16*$H$1</f>
        <v>6644.3159999999998</v>
      </c>
    </row>
    <row r="17" spans="1:11" ht="28.5" x14ac:dyDescent="0.25">
      <c r="A17" s="9" t="s">
        <v>38</v>
      </c>
      <c r="B17" s="10">
        <v>2</v>
      </c>
      <c r="C17" s="10">
        <v>1</v>
      </c>
      <c r="D17" s="10">
        <f t="shared" si="3"/>
        <v>2</v>
      </c>
      <c r="E17" s="10">
        <f>Sources!$B$15</f>
        <v>28</v>
      </c>
      <c r="F17" s="10">
        <f t="shared" si="0"/>
        <v>56</v>
      </c>
      <c r="G17" s="10">
        <f t="shared" si="1"/>
        <v>2.8000000000000003</v>
      </c>
      <c r="H17" s="10">
        <f t="shared" si="2"/>
        <v>5.6000000000000005</v>
      </c>
      <c r="I17" s="12">
        <f t="shared" si="4"/>
        <v>6644.3159999999998</v>
      </c>
    </row>
    <row r="18" spans="1:11" ht="28.5" x14ac:dyDescent="0.25">
      <c r="A18" s="9" t="s">
        <v>39</v>
      </c>
      <c r="B18" s="10">
        <v>2</v>
      </c>
      <c r="C18" s="10">
        <v>1</v>
      </c>
      <c r="D18" s="10">
        <f t="shared" si="3"/>
        <v>2</v>
      </c>
      <c r="E18" s="10">
        <f>Sources!$B$15</f>
        <v>28</v>
      </c>
      <c r="F18" s="10">
        <f t="shared" si="0"/>
        <v>56</v>
      </c>
      <c r="G18" s="10">
        <f t="shared" si="1"/>
        <v>2.8000000000000003</v>
      </c>
      <c r="H18" s="10">
        <f t="shared" si="2"/>
        <v>5.6000000000000005</v>
      </c>
      <c r="I18" s="12">
        <f t="shared" si="4"/>
        <v>6644.3159999999998</v>
      </c>
    </row>
    <row r="19" spans="1:11" ht="28.5" x14ac:dyDescent="0.25">
      <c r="A19" s="9" t="s">
        <v>40</v>
      </c>
      <c r="B19" s="10">
        <v>4</v>
      </c>
      <c r="C19" s="10">
        <v>1</v>
      </c>
      <c r="D19" s="10">
        <f t="shared" si="3"/>
        <v>4</v>
      </c>
      <c r="E19" s="10">
        <f>Sources!$B$15</f>
        <v>28</v>
      </c>
      <c r="F19" s="10">
        <f t="shared" si="0"/>
        <v>112</v>
      </c>
      <c r="G19" s="10">
        <f t="shared" si="1"/>
        <v>5.6000000000000005</v>
      </c>
      <c r="H19" s="10">
        <f t="shared" si="2"/>
        <v>11.200000000000001</v>
      </c>
      <c r="I19" s="12">
        <f t="shared" si="4"/>
        <v>13288.632</v>
      </c>
    </row>
    <row r="20" spans="1:11" ht="28.5" x14ac:dyDescent="0.25">
      <c r="A20" s="9" t="s">
        <v>41</v>
      </c>
      <c r="B20" s="10">
        <v>2</v>
      </c>
      <c r="C20" s="10">
        <v>2</v>
      </c>
      <c r="D20" s="10">
        <f t="shared" si="3"/>
        <v>4</v>
      </c>
      <c r="E20" s="10">
        <f>Sources!$E$15</f>
        <v>582</v>
      </c>
      <c r="F20" s="13">
        <f t="shared" si="0"/>
        <v>2328</v>
      </c>
      <c r="G20" s="10">
        <f t="shared" si="1"/>
        <v>116.4</v>
      </c>
      <c r="H20" s="10">
        <f t="shared" si="2"/>
        <v>232.8</v>
      </c>
      <c r="I20" s="12">
        <f t="shared" si="4"/>
        <v>276213.70800000004</v>
      </c>
    </row>
    <row r="21" spans="1:11" ht="15.75" x14ac:dyDescent="0.25">
      <c r="A21" s="9" t="s">
        <v>42</v>
      </c>
      <c r="B21" s="10">
        <v>2</v>
      </c>
      <c r="C21" s="10">
        <v>2</v>
      </c>
      <c r="D21" s="10">
        <f t="shared" si="3"/>
        <v>4</v>
      </c>
      <c r="E21" s="10">
        <f>Sources!$E$15</f>
        <v>582</v>
      </c>
      <c r="F21" s="13">
        <f t="shared" si="0"/>
        <v>2328</v>
      </c>
      <c r="G21" s="10">
        <f t="shared" si="1"/>
        <v>116.4</v>
      </c>
      <c r="H21" s="10">
        <f t="shared" si="2"/>
        <v>232.8</v>
      </c>
      <c r="I21" s="12">
        <f t="shared" si="4"/>
        <v>276213.70800000004</v>
      </c>
    </row>
    <row r="22" spans="1:11" x14ac:dyDescent="0.25">
      <c r="A22" s="9" t="s">
        <v>43</v>
      </c>
      <c r="B22" s="10"/>
      <c r="C22" s="10"/>
      <c r="D22" s="10"/>
      <c r="E22" s="10"/>
      <c r="F22" s="10"/>
      <c r="G22" s="10"/>
      <c r="H22" s="10"/>
      <c r="I22" s="11"/>
    </row>
    <row r="23" spans="1:11" ht="15.75" x14ac:dyDescent="0.25">
      <c r="A23" s="9" t="s">
        <v>44</v>
      </c>
      <c r="B23" s="10">
        <v>2</v>
      </c>
      <c r="C23" s="10">
        <v>1</v>
      </c>
      <c r="D23" s="10">
        <f t="shared" si="3"/>
        <v>2</v>
      </c>
      <c r="E23" s="10">
        <f>Sources!$C$15</f>
        <v>3</v>
      </c>
      <c r="F23" s="10">
        <f t="shared" ref="F23:F30" si="5">D23*E23</f>
        <v>6</v>
      </c>
      <c r="G23" s="10">
        <f t="shared" ref="G23:G30" si="6">F23*0.05</f>
        <v>0.30000000000000004</v>
      </c>
      <c r="H23" s="10">
        <f t="shared" ref="H23:H30" si="7">F23*0.1</f>
        <v>0.60000000000000009</v>
      </c>
      <c r="I23" s="12">
        <f t="shared" si="4"/>
        <v>711.89100000000008</v>
      </c>
    </row>
    <row r="24" spans="1:11" ht="15.75" x14ac:dyDescent="0.25">
      <c r="A24" s="9" t="s">
        <v>45</v>
      </c>
      <c r="B24" s="10">
        <v>1</v>
      </c>
      <c r="C24" s="10">
        <v>1</v>
      </c>
      <c r="D24" s="10">
        <f t="shared" si="3"/>
        <v>1</v>
      </c>
      <c r="E24" s="10">
        <f>Sources!$C$15</f>
        <v>3</v>
      </c>
      <c r="F24" s="10">
        <f t="shared" si="5"/>
        <v>3</v>
      </c>
      <c r="G24" s="10">
        <f t="shared" si="6"/>
        <v>0.15000000000000002</v>
      </c>
      <c r="H24" s="10">
        <f t="shared" si="7"/>
        <v>0.30000000000000004</v>
      </c>
      <c r="I24" s="12">
        <f t="shared" si="4"/>
        <v>355.94550000000004</v>
      </c>
    </row>
    <row r="25" spans="1:11" ht="28.5" x14ac:dyDescent="0.25">
      <c r="A25" s="9" t="s">
        <v>46</v>
      </c>
      <c r="B25" s="10">
        <v>2</v>
      </c>
      <c r="C25" s="10">
        <v>1</v>
      </c>
      <c r="D25" s="10">
        <f t="shared" si="3"/>
        <v>2</v>
      </c>
      <c r="E25" s="30">
        <v>16</v>
      </c>
      <c r="F25" s="10">
        <f t="shared" si="5"/>
        <v>32</v>
      </c>
      <c r="G25" s="10">
        <f t="shared" si="6"/>
        <v>1.6</v>
      </c>
      <c r="H25" s="10">
        <f t="shared" si="7"/>
        <v>3.2</v>
      </c>
      <c r="I25" s="12">
        <f t="shared" si="4"/>
        <v>3796.752</v>
      </c>
    </row>
    <row r="26" spans="1:11" ht="28.5" x14ac:dyDescent="0.25">
      <c r="A26" s="9" t="s">
        <v>47</v>
      </c>
      <c r="B26" s="10">
        <v>2</v>
      </c>
      <c r="C26" s="10">
        <v>1</v>
      </c>
      <c r="D26" s="10">
        <f t="shared" si="3"/>
        <v>2</v>
      </c>
      <c r="E26" s="30">
        <v>16</v>
      </c>
      <c r="F26" s="10">
        <f t="shared" si="5"/>
        <v>32</v>
      </c>
      <c r="G26" s="10">
        <f t="shared" si="6"/>
        <v>1.6</v>
      </c>
      <c r="H26" s="10">
        <f t="shared" si="7"/>
        <v>3.2</v>
      </c>
      <c r="I26" s="12">
        <f t="shared" si="4"/>
        <v>3796.752</v>
      </c>
    </row>
    <row r="27" spans="1:11" x14ac:dyDescent="0.25">
      <c r="A27" s="9" t="s">
        <v>48</v>
      </c>
      <c r="B27" s="10">
        <v>10</v>
      </c>
      <c r="C27" s="10">
        <v>1</v>
      </c>
      <c r="D27" s="10">
        <f t="shared" si="3"/>
        <v>10</v>
      </c>
      <c r="E27" s="30">
        <v>16</v>
      </c>
      <c r="F27" s="10">
        <f t="shared" si="5"/>
        <v>160</v>
      </c>
      <c r="G27" s="10">
        <f t="shared" si="6"/>
        <v>8</v>
      </c>
      <c r="H27" s="10">
        <f t="shared" si="7"/>
        <v>16</v>
      </c>
      <c r="I27" s="12">
        <f t="shared" si="4"/>
        <v>18983.759999999998</v>
      </c>
    </row>
    <row r="28" spans="1:11" ht="15.75" x14ac:dyDescent="0.25">
      <c r="A28" s="9" t="s">
        <v>49</v>
      </c>
      <c r="B28" s="10">
        <v>4</v>
      </c>
      <c r="C28" s="10">
        <v>1</v>
      </c>
      <c r="D28" s="10">
        <f t="shared" si="3"/>
        <v>4</v>
      </c>
      <c r="E28" s="10">
        <f>E23</f>
        <v>3</v>
      </c>
      <c r="F28" s="10">
        <f t="shared" si="5"/>
        <v>12</v>
      </c>
      <c r="G28" s="10">
        <f t="shared" si="6"/>
        <v>0.60000000000000009</v>
      </c>
      <c r="H28" s="10">
        <f t="shared" si="7"/>
        <v>1.2000000000000002</v>
      </c>
      <c r="I28" s="12">
        <f t="shared" si="4"/>
        <v>1423.7820000000002</v>
      </c>
    </row>
    <row r="29" spans="1:11" ht="15.75" x14ac:dyDescent="0.25">
      <c r="A29" s="9" t="s">
        <v>50</v>
      </c>
      <c r="B29" s="10">
        <v>2</v>
      </c>
      <c r="C29" s="10">
        <v>1</v>
      </c>
      <c r="D29" s="10">
        <f t="shared" si="3"/>
        <v>2</v>
      </c>
      <c r="E29" s="28">
        <f>ROUND(0.02*Sources!F15, 0)</f>
        <v>70</v>
      </c>
      <c r="F29" s="10">
        <f t="shared" si="5"/>
        <v>140</v>
      </c>
      <c r="G29" s="10">
        <f t="shared" si="6"/>
        <v>7</v>
      </c>
      <c r="H29" s="10">
        <f t="shared" si="7"/>
        <v>14</v>
      </c>
      <c r="I29" s="12">
        <f t="shared" si="4"/>
        <v>16610.79</v>
      </c>
      <c r="K29" t="s">
        <v>120</v>
      </c>
    </row>
    <row r="30" spans="1:11" ht="28.5" x14ac:dyDescent="0.25">
      <c r="A30" s="9" t="s">
        <v>51</v>
      </c>
      <c r="B30" s="10">
        <v>2</v>
      </c>
      <c r="C30" s="10">
        <v>10</v>
      </c>
      <c r="D30" s="10">
        <f t="shared" si="3"/>
        <v>20</v>
      </c>
      <c r="E30" s="28">
        <f>ROUND(0.004*Sources!$F$15, 0)</f>
        <v>14</v>
      </c>
      <c r="F30" s="10">
        <f t="shared" si="5"/>
        <v>280</v>
      </c>
      <c r="G30" s="10">
        <f t="shared" si="6"/>
        <v>14</v>
      </c>
      <c r="H30" s="10">
        <f t="shared" si="7"/>
        <v>28</v>
      </c>
      <c r="I30" s="12">
        <f t="shared" si="4"/>
        <v>33221.58</v>
      </c>
      <c r="K30" t="s">
        <v>121</v>
      </c>
    </row>
    <row r="31" spans="1:11" x14ac:dyDescent="0.25">
      <c r="A31" s="14" t="s">
        <v>52</v>
      </c>
      <c r="B31" s="7"/>
      <c r="C31" s="7"/>
      <c r="D31" s="7"/>
      <c r="E31" s="7"/>
      <c r="F31" s="44">
        <f>SUM(F8:H30)</f>
        <v>9507.0499999999993</v>
      </c>
      <c r="G31" s="44"/>
      <c r="H31" s="44"/>
      <c r="I31" s="15">
        <f>SUM(I8:I30)</f>
        <v>980867.14950000006</v>
      </c>
    </row>
    <row r="32" spans="1:11" x14ac:dyDescent="0.25">
      <c r="A32" s="9" t="s">
        <v>53</v>
      </c>
      <c r="B32" s="10"/>
      <c r="C32" s="10"/>
      <c r="D32" s="10"/>
      <c r="E32" s="10"/>
      <c r="F32" s="10"/>
      <c r="G32" s="10"/>
      <c r="H32" s="10"/>
      <c r="I32" s="11"/>
    </row>
    <row r="33" spans="1:11" x14ac:dyDescent="0.25">
      <c r="A33" s="9" t="s">
        <v>92</v>
      </c>
      <c r="B33" s="10"/>
      <c r="C33" s="10"/>
      <c r="D33" s="10"/>
      <c r="E33" s="10"/>
      <c r="F33" s="10"/>
      <c r="G33" s="10"/>
      <c r="H33" s="10"/>
      <c r="I33" s="11"/>
    </row>
    <row r="34" spans="1:11" ht="15.75" x14ac:dyDescent="0.25">
      <c r="A34" s="9" t="s">
        <v>54</v>
      </c>
      <c r="B34" s="10">
        <v>4</v>
      </c>
      <c r="C34" s="10">
        <v>1</v>
      </c>
      <c r="D34" s="10">
        <f t="shared" ref="D34:D35" si="8">B34*C34</f>
        <v>4</v>
      </c>
      <c r="E34" s="10">
        <f>Sources!$B$15</f>
        <v>28</v>
      </c>
      <c r="F34" s="10">
        <f>D34*E34</f>
        <v>112</v>
      </c>
      <c r="G34" s="10">
        <f>F34*0.05</f>
        <v>5.6000000000000005</v>
      </c>
      <c r="H34" s="10">
        <f>F34*0.1</f>
        <v>11.200000000000001</v>
      </c>
      <c r="I34" s="12">
        <f t="shared" ref="I34:I35" si="9">F34*$F$1+G34*$G$1+H34*$H$1</f>
        <v>13288.632</v>
      </c>
    </row>
    <row r="35" spans="1:11" ht="15.75" x14ac:dyDescent="0.25">
      <c r="A35" s="9" t="s">
        <v>55</v>
      </c>
      <c r="B35" s="10">
        <v>4</v>
      </c>
      <c r="C35" s="10">
        <v>1</v>
      </c>
      <c r="D35" s="10">
        <f t="shared" si="8"/>
        <v>4</v>
      </c>
      <c r="E35" s="10">
        <f>SUM(Sources!C15:D15)</f>
        <v>141</v>
      </c>
      <c r="F35" s="10">
        <f>D35*E35</f>
        <v>564</v>
      </c>
      <c r="G35" s="10">
        <f>F35*0.05</f>
        <v>28.200000000000003</v>
      </c>
      <c r="H35" s="10">
        <f>F35*0.1</f>
        <v>56.400000000000006</v>
      </c>
      <c r="I35" s="12">
        <f t="shared" si="9"/>
        <v>66917.754000000001</v>
      </c>
    </row>
    <row r="36" spans="1:11" x14ac:dyDescent="0.25">
      <c r="A36" s="9" t="s">
        <v>56</v>
      </c>
      <c r="B36" s="10"/>
      <c r="C36" s="10"/>
      <c r="D36" s="10"/>
      <c r="E36" s="10"/>
      <c r="F36" s="10"/>
      <c r="G36" s="10"/>
      <c r="H36" s="10"/>
      <c r="I36" s="11"/>
    </row>
    <row r="37" spans="1:11" x14ac:dyDescent="0.25">
      <c r="A37" s="9" t="s">
        <v>57</v>
      </c>
      <c r="B37" s="10">
        <v>16</v>
      </c>
      <c r="C37" s="10">
        <v>1</v>
      </c>
      <c r="D37" s="10">
        <f t="shared" ref="D37" si="10">B37*C37</f>
        <v>16</v>
      </c>
      <c r="E37" s="10">
        <f>E34</f>
        <v>28</v>
      </c>
      <c r="F37" s="10">
        <f>D37*E37</f>
        <v>448</v>
      </c>
      <c r="G37" s="10">
        <f>F37*0.05</f>
        <v>22.400000000000002</v>
      </c>
      <c r="H37" s="10">
        <f>F37*0.1</f>
        <v>44.800000000000004</v>
      </c>
      <c r="I37" s="12">
        <f t="shared" ref="I37" si="11">F37*$F$1+G37*$G$1+H37*$H$1</f>
        <v>53154.527999999998</v>
      </c>
    </row>
    <row r="38" spans="1:11" x14ac:dyDescent="0.25">
      <c r="A38" s="9" t="s">
        <v>58</v>
      </c>
      <c r="B38" s="10"/>
      <c r="C38" s="10"/>
      <c r="D38" s="10"/>
      <c r="E38" s="10"/>
      <c r="F38" s="10"/>
      <c r="G38" s="10"/>
      <c r="H38" s="10"/>
      <c r="I38" s="11"/>
    </row>
    <row r="39" spans="1:11" ht="28.5" x14ac:dyDescent="0.25">
      <c r="A39" s="16" t="s">
        <v>59</v>
      </c>
      <c r="B39" s="10">
        <v>16</v>
      </c>
      <c r="C39" s="10">
        <v>1</v>
      </c>
      <c r="D39" s="10">
        <f t="shared" ref="D39:D40" si="12">B39*C39</f>
        <v>16</v>
      </c>
      <c r="E39" s="28">
        <f>SUM(E28:E29)</f>
        <v>73</v>
      </c>
      <c r="F39" s="10">
        <f>D39*E39</f>
        <v>1168</v>
      </c>
      <c r="G39" s="10">
        <f>F39*0.05</f>
        <v>58.400000000000006</v>
      </c>
      <c r="H39" s="10">
        <f>F39*0.1</f>
        <v>116.80000000000001</v>
      </c>
      <c r="I39" s="12">
        <f t="shared" ref="I39:I40" si="13">F39*$F$1+G39*$G$1+H39*$H$1</f>
        <v>138581.448</v>
      </c>
      <c r="K39" t="s">
        <v>122</v>
      </c>
    </row>
    <row r="40" spans="1:11" ht="15.75" x14ac:dyDescent="0.25">
      <c r="A40" s="16" t="s">
        <v>60</v>
      </c>
      <c r="B40" s="10">
        <v>4</v>
      </c>
      <c r="C40" s="10">
        <v>1</v>
      </c>
      <c r="D40" s="10">
        <f t="shared" si="12"/>
        <v>4</v>
      </c>
      <c r="E40" s="10">
        <f>Sources!$D$15</f>
        <v>138</v>
      </c>
      <c r="F40" s="10">
        <f>D40*E40</f>
        <v>552</v>
      </c>
      <c r="G40" s="10">
        <f>F40*0.05</f>
        <v>27.6</v>
      </c>
      <c r="H40" s="10">
        <f>F40*0.1</f>
        <v>55.2</v>
      </c>
      <c r="I40" s="12">
        <f t="shared" si="13"/>
        <v>65493.972000000002</v>
      </c>
    </row>
    <row r="41" spans="1:11" x14ac:dyDescent="0.25">
      <c r="A41" s="9" t="s">
        <v>61</v>
      </c>
      <c r="B41" s="10"/>
      <c r="C41" s="10"/>
      <c r="D41" s="10"/>
      <c r="E41" s="10"/>
      <c r="F41" s="10"/>
      <c r="G41" s="10"/>
      <c r="H41" s="10"/>
      <c r="I41" s="11"/>
    </row>
    <row r="42" spans="1:11" x14ac:dyDescent="0.25">
      <c r="A42" s="9" t="s">
        <v>62</v>
      </c>
      <c r="B42" s="10" t="s">
        <v>28</v>
      </c>
      <c r="C42" s="10"/>
      <c r="D42" s="10"/>
      <c r="E42" s="10"/>
      <c r="F42" s="10"/>
      <c r="G42" s="10"/>
      <c r="H42" s="10"/>
      <c r="I42" s="11"/>
    </row>
    <row r="43" spans="1:11" x14ac:dyDescent="0.25">
      <c r="A43" s="9" t="s">
        <v>58</v>
      </c>
      <c r="B43" s="10"/>
      <c r="C43" s="10"/>
      <c r="D43" s="10"/>
      <c r="E43" s="10"/>
      <c r="F43" s="10"/>
      <c r="G43" s="10"/>
      <c r="H43" s="10"/>
      <c r="I43" s="11"/>
    </row>
    <row r="44" spans="1:11" ht="15.75" x14ac:dyDescent="0.25">
      <c r="A44" s="16" t="s">
        <v>63</v>
      </c>
      <c r="B44" s="10">
        <v>35</v>
      </c>
      <c r="C44" s="10">
        <v>1</v>
      </c>
      <c r="D44" s="10">
        <f t="shared" ref="D44:D47" si="14">B44*C44</f>
        <v>35</v>
      </c>
      <c r="E44" s="28">
        <v>9</v>
      </c>
      <c r="F44" s="10">
        <f>D44*E44</f>
        <v>315</v>
      </c>
      <c r="G44" s="10">
        <f>F44*0.05</f>
        <v>15.75</v>
      </c>
      <c r="H44" s="10">
        <f>F44*0.1</f>
        <v>31.5</v>
      </c>
      <c r="I44" s="12">
        <f t="shared" ref="I44:I47" si="15">F44*$F$1+G44*$G$1+H44*$H$1</f>
        <v>37374.277499999997</v>
      </c>
    </row>
    <row r="45" spans="1:11" ht="15.75" x14ac:dyDescent="0.25">
      <c r="A45" s="16" t="s">
        <v>64</v>
      </c>
      <c r="B45" s="10">
        <v>12</v>
      </c>
      <c r="C45" s="10">
        <v>1</v>
      </c>
      <c r="D45" s="10">
        <f t="shared" si="14"/>
        <v>12</v>
      </c>
      <c r="E45" s="28">
        <v>61</v>
      </c>
      <c r="F45" s="10">
        <f>D45*E45</f>
        <v>732</v>
      </c>
      <c r="G45" s="10">
        <f>F45*0.05</f>
        <v>36.6</v>
      </c>
      <c r="H45" s="10">
        <f>F45*0.1</f>
        <v>73.2</v>
      </c>
      <c r="I45" s="12">
        <f t="shared" si="15"/>
        <v>86850.702000000005</v>
      </c>
    </row>
    <row r="46" spans="1:11" ht="15.75" x14ac:dyDescent="0.25">
      <c r="A46" s="16" t="s">
        <v>65</v>
      </c>
      <c r="B46" s="10">
        <v>3</v>
      </c>
      <c r="C46" s="10">
        <v>2</v>
      </c>
      <c r="D46" s="10">
        <f t="shared" si="14"/>
        <v>6</v>
      </c>
      <c r="E46" s="28">
        <f>E39</f>
        <v>73</v>
      </c>
      <c r="F46" s="10">
        <f>D46*E46</f>
        <v>438</v>
      </c>
      <c r="G46" s="10">
        <f>F46*0.05</f>
        <v>21.900000000000002</v>
      </c>
      <c r="H46" s="10">
        <f>F46*0.1</f>
        <v>43.800000000000004</v>
      </c>
      <c r="I46" s="12">
        <f t="shared" si="15"/>
        <v>51968.042999999998</v>
      </c>
    </row>
    <row r="47" spans="1:11" ht="15.75" x14ac:dyDescent="0.25">
      <c r="A47" s="16" t="s">
        <v>66</v>
      </c>
      <c r="B47" s="10">
        <v>2</v>
      </c>
      <c r="C47" s="10">
        <v>12</v>
      </c>
      <c r="D47" s="10">
        <f t="shared" si="14"/>
        <v>24</v>
      </c>
      <c r="E47" s="28">
        <f>E39</f>
        <v>73</v>
      </c>
      <c r="F47" s="10">
        <f>D47*E47</f>
        <v>1752</v>
      </c>
      <c r="G47" s="10">
        <f>F47*0.05</f>
        <v>87.600000000000009</v>
      </c>
      <c r="H47" s="10">
        <f>F47*0.1</f>
        <v>175.20000000000002</v>
      </c>
      <c r="I47" s="12">
        <f t="shared" si="15"/>
        <v>207872.17199999999</v>
      </c>
    </row>
    <row r="48" spans="1:11" x14ac:dyDescent="0.25">
      <c r="A48" s="9" t="s">
        <v>67</v>
      </c>
      <c r="B48" s="10"/>
      <c r="C48" s="10"/>
      <c r="D48" s="10"/>
      <c r="E48" s="10"/>
      <c r="F48" s="10"/>
      <c r="G48" s="10"/>
      <c r="H48" s="10"/>
      <c r="I48" s="11"/>
    </row>
    <row r="49" spans="1:9" x14ac:dyDescent="0.25">
      <c r="A49" s="9" t="s">
        <v>62</v>
      </c>
      <c r="B49" s="10"/>
      <c r="C49" s="10"/>
      <c r="D49" s="10"/>
      <c r="E49" s="10"/>
      <c r="F49" s="10"/>
      <c r="G49" s="10"/>
      <c r="H49" s="10"/>
      <c r="I49" s="11"/>
    </row>
    <row r="50" spans="1:9" ht="15.75" x14ac:dyDescent="0.25">
      <c r="A50" s="16" t="s">
        <v>68</v>
      </c>
      <c r="B50" s="10">
        <v>8</v>
      </c>
      <c r="C50" s="10">
        <v>1</v>
      </c>
      <c r="D50" s="10">
        <f t="shared" ref="D50:D51" si="16">B50*C50</f>
        <v>8</v>
      </c>
      <c r="E50" s="10">
        <f>E37</f>
        <v>28</v>
      </c>
      <c r="F50" s="10">
        <f>D50*E50</f>
        <v>224</v>
      </c>
      <c r="G50" s="10">
        <f>F50*0.05</f>
        <v>11.200000000000001</v>
      </c>
      <c r="H50" s="10">
        <f>F50*0.1</f>
        <v>22.400000000000002</v>
      </c>
      <c r="I50" s="12">
        <f t="shared" ref="I50:I54" si="17">F50*$F$1+G50*$G$1+H50*$H$1</f>
        <v>26577.263999999999</v>
      </c>
    </row>
    <row r="51" spans="1:9" ht="28.5" x14ac:dyDescent="0.25">
      <c r="A51" s="16" t="s">
        <v>69</v>
      </c>
      <c r="B51" s="10">
        <v>13</v>
      </c>
      <c r="C51" s="10">
        <v>1</v>
      </c>
      <c r="D51" s="10">
        <f t="shared" si="16"/>
        <v>13</v>
      </c>
      <c r="E51" s="10">
        <f>Sources!$E$15</f>
        <v>582</v>
      </c>
      <c r="F51" s="10">
        <f>D51*E51</f>
        <v>7566</v>
      </c>
      <c r="G51" s="10">
        <f>F51*0.05</f>
        <v>378.3</v>
      </c>
      <c r="H51" s="10">
        <f>F51*0.1</f>
        <v>756.6</v>
      </c>
      <c r="I51" s="12">
        <f t="shared" si="17"/>
        <v>897694.55100000009</v>
      </c>
    </row>
    <row r="52" spans="1:9" x14ac:dyDescent="0.25">
      <c r="A52" s="9" t="s">
        <v>70</v>
      </c>
      <c r="B52" s="10"/>
      <c r="C52" s="10"/>
      <c r="D52" s="10"/>
      <c r="E52" s="10"/>
      <c r="F52" s="10"/>
      <c r="G52" s="10"/>
      <c r="H52" s="10"/>
      <c r="I52" s="11"/>
    </row>
    <row r="53" spans="1:9" ht="15.75" x14ac:dyDescent="0.25">
      <c r="A53" s="16" t="s">
        <v>71</v>
      </c>
      <c r="B53" s="10">
        <v>20</v>
      </c>
      <c r="C53" s="10">
        <v>1</v>
      </c>
      <c r="D53" s="10">
        <f t="shared" ref="D53:D54" si="18">B53*C53</f>
        <v>20</v>
      </c>
      <c r="E53" s="10">
        <f>Sources!$H$15</f>
        <v>25</v>
      </c>
      <c r="F53" s="10">
        <f>D53*E53</f>
        <v>500</v>
      </c>
      <c r="G53" s="10">
        <f>F53*0.05</f>
        <v>25</v>
      </c>
      <c r="H53" s="10">
        <f>F53*0.1</f>
        <v>50</v>
      </c>
      <c r="I53" s="12">
        <f t="shared" si="17"/>
        <v>59324.25</v>
      </c>
    </row>
    <row r="54" spans="1:9" ht="15.75" x14ac:dyDescent="0.25">
      <c r="A54" s="16" t="s">
        <v>72</v>
      </c>
      <c r="B54" s="10">
        <v>8</v>
      </c>
      <c r="C54" s="10">
        <v>1</v>
      </c>
      <c r="D54" s="10">
        <f t="shared" si="18"/>
        <v>8</v>
      </c>
      <c r="E54" s="28">
        <v>9</v>
      </c>
      <c r="F54" s="10">
        <f>D54*E54</f>
        <v>72</v>
      </c>
      <c r="G54" s="10">
        <f>F54*0.05</f>
        <v>3.6</v>
      </c>
      <c r="H54" s="10">
        <f>F54*0.1</f>
        <v>7.2</v>
      </c>
      <c r="I54" s="12">
        <f t="shared" si="17"/>
        <v>8542.6920000000009</v>
      </c>
    </row>
    <row r="55" spans="1:9" x14ac:dyDescent="0.25">
      <c r="A55" s="9" t="s">
        <v>73</v>
      </c>
      <c r="B55" s="10"/>
      <c r="C55" s="10"/>
      <c r="D55" s="10"/>
      <c r="E55" s="10"/>
      <c r="F55" s="10"/>
      <c r="G55" s="10"/>
      <c r="H55" s="10"/>
      <c r="I55" s="11"/>
    </row>
    <row r="56" spans="1:9" x14ac:dyDescent="0.25">
      <c r="A56" s="9" t="s">
        <v>62</v>
      </c>
      <c r="B56" s="10"/>
      <c r="C56" s="10"/>
      <c r="D56" s="10"/>
      <c r="E56" s="10"/>
      <c r="F56" s="10"/>
      <c r="G56" s="10"/>
      <c r="H56" s="10"/>
      <c r="I56" s="11"/>
    </row>
    <row r="57" spans="1:9" ht="15.75" x14ac:dyDescent="0.25">
      <c r="A57" s="16" t="s">
        <v>74</v>
      </c>
      <c r="B57" s="10">
        <v>1</v>
      </c>
      <c r="C57" s="10">
        <v>2</v>
      </c>
      <c r="D57" s="10">
        <f t="shared" ref="D57:D68" si="19">B57*C57</f>
        <v>2</v>
      </c>
      <c r="E57" s="10">
        <f>$E$51</f>
        <v>582</v>
      </c>
      <c r="F57" s="10">
        <f>D57*E57</f>
        <v>1164</v>
      </c>
      <c r="G57" s="10">
        <f>F57*0.05</f>
        <v>58.2</v>
      </c>
      <c r="H57" s="10">
        <f>F57*0.1</f>
        <v>116.4</v>
      </c>
      <c r="I57" s="12">
        <f t="shared" ref="I57:I68" si="20">F57*$F$1+G57*$G$1+H57*$H$1</f>
        <v>138106.85400000002</v>
      </c>
    </row>
    <row r="58" spans="1:9" ht="15.75" x14ac:dyDescent="0.25">
      <c r="A58" s="16" t="s">
        <v>75</v>
      </c>
      <c r="B58" s="10">
        <v>1</v>
      </c>
      <c r="C58" s="10">
        <v>12</v>
      </c>
      <c r="D58" s="10">
        <f t="shared" si="19"/>
        <v>12</v>
      </c>
      <c r="E58" s="10">
        <f t="shared" ref="E58:E59" si="21">$E$51</f>
        <v>582</v>
      </c>
      <c r="F58" s="10">
        <f>D58*E58</f>
        <v>6984</v>
      </c>
      <c r="G58" s="10">
        <f>F58*0.05</f>
        <v>349.20000000000005</v>
      </c>
      <c r="H58" s="10">
        <f>F58*0.1</f>
        <v>698.40000000000009</v>
      </c>
      <c r="I58" s="12">
        <f t="shared" si="20"/>
        <v>828641.12400000007</v>
      </c>
    </row>
    <row r="59" spans="1:9" ht="31.5" x14ac:dyDescent="0.25">
      <c r="A59" s="16" t="s">
        <v>93</v>
      </c>
      <c r="B59" s="10">
        <v>1</v>
      </c>
      <c r="C59" s="10">
        <v>12</v>
      </c>
      <c r="D59" s="10">
        <f t="shared" si="19"/>
        <v>12</v>
      </c>
      <c r="E59" s="10">
        <f t="shared" si="21"/>
        <v>582</v>
      </c>
      <c r="F59" s="10">
        <f>D59*E59</f>
        <v>6984</v>
      </c>
      <c r="G59" s="10">
        <f>F59*0.05</f>
        <v>349.20000000000005</v>
      </c>
      <c r="H59" s="10">
        <f>F59*0.1</f>
        <v>698.40000000000009</v>
      </c>
      <c r="I59" s="12">
        <f t="shared" si="20"/>
        <v>828641.12400000007</v>
      </c>
    </row>
    <row r="60" spans="1:9" x14ac:dyDescent="0.25">
      <c r="A60" s="9" t="s">
        <v>58</v>
      </c>
      <c r="B60" s="10"/>
      <c r="C60" s="10"/>
      <c r="D60" s="10"/>
      <c r="E60" s="10"/>
      <c r="F60" s="10"/>
      <c r="G60" s="10"/>
      <c r="H60" s="10"/>
      <c r="I60" s="11"/>
    </row>
    <row r="61" spans="1:9" ht="15.75" x14ac:dyDescent="0.25">
      <c r="A61" s="16" t="s">
        <v>76</v>
      </c>
      <c r="B61" s="10">
        <v>1</v>
      </c>
      <c r="C61" s="10">
        <v>2</v>
      </c>
      <c r="D61" s="10">
        <f t="shared" si="19"/>
        <v>2</v>
      </c>
      <c r="E61" s="28">
        <f>$E$46</f>
        <v>73</v>
      </c>
      <c r="F61" s="10">
        <f>D61*E61</f>
        <v>146</v>
      </c>
      <c r="G61" s="10">
        <f>F61*0.05</f>
        <v>7.3000000000000007</v>
      </c>
      <c r="H61" s="10">
        <f>F61*0.1</f>
        <v>14.600000000000001</v>
      </c>
      <c r="I61" s="12">
        <f t="shared" si="20"/>
        <v>17322.681</v>
      </c>
    </row>
    <row r="62" spans="1:9" ht="15.75" x14ac:dyDescent="0.25">
      <c r="A62" s="16" t="s">
        <v>77</v>
      </c>
      <c r="B62" s="10">
        <v>1</v>
      </c>
      <c r="C62" s="10">
        <v>12</v>
      </c>
      <c r="D62" s="10">
        <f t="shared" si="19"/>
        <v>12</v>
      </c>
      <c r="E62" s="28">
        <f>$E$46</f>
        <v>73</v>
      </c>
      <c r="F62" s="10">
        <f>D62*E62</f>
        <v>876</v>
      </c>
      <c r="G62" s="10">
        <f>F62*0.05</f>
        <v>43.800000000000004</v>
      </c>
      <c r="H62" s="10">
        <f>F62*0.1</f>
        <v>87.600000000000009</v>
      </c>
      <c r="I62" s="12">
        <f t="shared" si="20"/>
        <v>103936.086</v>
      </c>
    </row>
    <row r="63" spans="1:9" x14ac:dyDescent="0.25">
      <c r="A63" s="9" t="s">
        <v>78</v>
      </c>
      <c r="B63" s="10"/>
      <c r="C63" s="9"/>
      <c r="D63" s="10"/>
      <c r="E63" s="10"/>
      <c r="F63" s="10"/>
      <c r="G63" s="10"/>
      <c r="H63" s="10"/>
      <c r="I63" s="11"/>
    </row>
    <row r="64" spans="1:9" ht="15.75" x14ac:dyDescent="0.25">
      <c r="A64" s="9" t="s">
        <v>79</v>
      </c>
      <c r="B64" s="10">
        <v>8</v>
      </c>
      <c r="C64" s="10">
        <v>1</v>
      </c>
      <c r="D64" s="10">
        <f t="shared" si="19"/>
        <v>8</v>
      </c>
      <c r="E64" s="10">
        <f>Sources!B15</f>
        <v>28</v>
      </c>
      <c r="F64" s="10">
        <f>D64*E64</f>
        <v>224</v>
      </c>
      <c r="G64" s="10">
        <f>F64*0.05</f>
        <v>11.200000000000001</v>
      </c>
      <c r="H64" s="10">
        <f>F64*0.1</f>
        <v>22.400000000000002</v>
      </c>
      <c r="I64" s="12">
        <f t="shared" si="20"/>
        <v>26577.263999999999</v>
      </c>
    </row>
    <row r="65" spans="1:11" ht="15.75" x14ac:dyDescent="0.25">
      <c r="A65" s="9" t="s">
        <v>80</v>
      </c>
      <c r="B65" s="10">
        <v>16</v>
      </c>
      <c r="C65" s="10">
        <v>1</v>
      </c>
      <c r="D65" s="10">
        <f t="shared" si="19"/>
        <v>16</v>
      </c>
      <c r="E65" s="10">
        <f>Sources!C15</f>
        <v>3</v>
      </c>
      <c r="F65" s="10">
        <f>D65*E65</f>
        <v>48</v>
      </c>
      <c r="G65" s="10">
        <f>F65*0.05</f>
        <v>2.4000000000000004</v>
      </c>
      <c r="H65" s="10">
        <f>F65*0.1</f>
        <v>4.8000000000000007</v>
      </c>
      <c r="I65" s="12">
        <f t="shared" si="20"/>
        <v>5695.1280000000006</v>
      </c>
    </row>
    <row r="66" spans="1:11" ht="15.75" x14ac:dyDescent="0.25">
      <c r="A66" s="9" t="s">
        <v>81</v>
      </c>
      <c r="B66" s="10">
        <v>20</v>
      </c>
      <c r="C66" s="10">
        <v>1</v>
      </c>
      <c r="D66" s="10">
        <f t="shared" si="19"/>
        <v>20</v>
      </c>
      <c r="E66" s="28">
        <f>$E$46</f>
        <v>73</v>
      </c>
      <c r="F66" s="10">
        <f>D66*E66</f>
        <v>1460</v>
      </c>
      <c r="G66" s="10">
        <f>F66*0.05</f>
        <v>73</v>
      </c>
      <c r="H66" s="10">
        <f>F66*0.1</f>
        <v>146</v>
      </c>
      <c r="I66" s="12">
        <f t="shared" si="20"/>
        <v>173226.81000000003</v>
      </c>
    </row>
    <row r="67" spans="1:11" ht="15.75" x14ac:dyDescent="0.25">
      <c r="A67" s="9" t="s">
        <v>82</v>
      </c>
      <c r="B67" s="10">
        <v>1</v>
      </c>
      <c r="C67" s="10">
        <v>1</v>
      </c>
      <c r="D67" s="10">
        <f t="shared" si="19"/>
        <v>1</v>
      </c>
      <c r="E67" s="13">
        <f>Sources!G15</f>
        <v>3555</v>
      </c>
      <c r="F67" s="10">
        <f>D67*E67</f>
        <v>3555</v>
      </c>
      <c r="G67" s="10">
        <f>F67*0.05</f>
        <v>177.75</v>
      </c>
      <c r="H67" s="10">
        <f>F67*0.1</f>
        <v>355.5</v>
      </c>
      <c r="I67" s="12">
        <f t="shared" si="20"/>
        <v>421795.41749999998</v>
      </c>
    </row>
    <row r="68" spans="1:11" ht="15.75" x14ac:dyDescent="0.25">
      <c r="A68" s="9" t="s">
        <v>83</v>
      </c>
      <c r="B68" s="10">
        <v>20</v>
      </c>
      <c r="C68" s="10">
        <v>1</v>
      </c>
      <c r="D68" s="10">
        <f t="shared" si="19"/>
        <v>20</v>
      </c>
      <c r="E68" s="28">
        <f>$E$46</f>
        <v>73</v>
      </c>
      <c r="F68" s="10">
        <f>D68*E68</f>
        <v>1460</v>
      </c>
      <c r="G68" s="10">
        <f>F68*0.05</f>
        <v>73</v>
      </c>
      <c r="H68" s="10">
        <f>F68*0.1</f>
        <v>146</v>
      </c>
      <c r="I68" s="12">
        <f t="shared" si="20"/>
        <v>173226.81000000003</v>
      </c>
    </row>
    <row r="69" spans="1:11" ht="30" customHeight="1" x14ac:dyDescent="0.25">
      <c r="A69" s="14" t="s">
        <v>84</v>
      </c>
      <c r="B69" s="7"/>
      <c r="C69" s="7"/>
      <c r="D69" s="7"/>
      <c r="E69" s="7"/>
      <c r="F69" s="44">
        <f>SUM(F34:H68)</f>
        <v>42945.600000000013</v>
      </c>
      <c r="G69" s="44"/>
      <c r="H69" s="44"/>
      <c r="I69" s="15">
        <f>SUM(I34:I68)</f>
        <v>4430809.5839999998</v>
      </c>
      <c r="K69" t="s">
        <v>125</v>
      </c>
    </row>
    <row r="70" spans="1:11" ht="25.5" x14ac:dyDescent="0.25">
      <c r="A70" s="8" t="s">
        <v>85</v>
      </c>
      <c r="B70" s="17"/>
      <c r="C70" s="17"/>
      <c r="D70" s="17"/>
      <c r="E70" s="17"/>
      <c r="F70" s="44">
        <f>ROUND(F31+F69, -2)</f>
        <v>52500</v>
      </c>
      <c r="G70" s="44"/>
      <c r="H70" s="44"/>
      <c r="I70" s="18">
        <f>ROUND(I69+I31, -4)</f>
        <v>5410000</v>
      </c>
      <c r="K70">
        <v>2735</v>
      </c>
    </row>
    <row r="71" spans="1:11" x14ac:dyDescent="0.25">
      <c r="A71" s="19" t="s">
        <v>128</v>
      </c>
      <c r="B71" s="33"/>
      <c r="C71" s="33"/>
      <c r="D71" s="33"/>
      <c r="E71" s="33"/>
      <c r="F71" s="33"/>
      <c r="G71" s="33"/>
      <c r="H71" s="33"/>
      <c r="I71" s="34">
        <f>ROUND(317000+692000, -4)</f>
        <v>1010000</v>
      </c>
    </row>
    <row r="72" spans="1:11" x14ac:dyDescent="0.25">
      <c r="A72" s="31" t="s">
        <v>129</v>
      </c>
      <c r="B72" s="33"/>
      <c r="C72" s="33"/>
      <c r="D72" s="33"/>
      <c r="E72" s="33"/>
      <c r="F72" s="33"/>
      <c r="G72" s="33"/>
      <c r="H72" s="33"/>
      <c r="I72" s="35">
        <f>I70+I71</f>
        <v>6420000</v>
      </c>
      <c r="K72" t="s">
        <v>124</v>
      </c>
    </row>
    <row r="73" spans="1:11" x14ac:dyDescent="0.25">
      <c r="K73" s="32">
        <f>F70/K70</f>
        <v>19.195612431444243</v>
      </c>
    </row>
  </sheetData>
  <mergeCells count="3">
    <mergeCell ref="F69:H69"/>
    <mergeCell ref="F70:H70"/>
    <mergeCell ref="F31:H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2" sqref="A2:A4"/>
    </sheetView>
  </sheetViews>
  <sheetFormatPr defaultRowHeight="15" x14ac:dyDescent="0.25"/>
  <cols>
    <col min="1" max="1" width="37.42578125" customWidth="1"/>
    <col min="2" max="3" width="11.7109375" customWidth="1"/>
    <col min="4" max="4" width="11.42578125" customWidth="1"/>
    <col min="6" max="8" width="11.7109375" customWidth="1"/>
    <col min="9" max="9" width="13.140625" customWidth="1"/>
  </cols>
  <sheetData>
    <row r="1" spans="1:9" x14ac:dyDescent="0.25">
      <c r="F1">
        <v>47.62</v>
      </c>
      <c r="G1">
        <v>64.16</v>
      </c>
      <c r="H1">
        <v>25.76</v>
      </c>
    </row>
    <row r="2" spans="1:9" x14ac:dyDescent="0.25">
      <c r="A2" s="48" t="s">
        <v>94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16</v>
      </c>
      <c r="H2" s="7" t="s">
        <v>17</v>
      </c>
      <c r="I2" s="7" t="s">
        <v>18</v>
      </c>
    </row>
    <row r="3" spans="1:9" ht="51" x14ac:dyDescent="0.25">
      <c r="A3" s="48"/>
      <c r="B3" s="7" t="s">
        <v>95</v>
      </c>
      <c r="C3" s="7" t="s">
        <v>96</v>
      </c>
      <c r="D3" s="7" t="s">
        <v>97</v>
      </c>
      <c r="E3" s="7" t="s">
        <v>98</v>
      </c>
      <c r="F3" s="7" t="s">
        <v>23</v>
      </c>
      <c r="G3" s="7" t="s">
        <v>99</v>
      </c>
      <c r="H3" s="7" t="s">
        <v>100</v>
      </c>
      <c r="I3" s="7" t="s">
        <v>101</v>
      </c>
    </row>
    <row r="4" spans="1:9" x14ac:dyDescent="0.25">
      <c r="A4" s="48"/>
      <c r="B4" s="20"/>
      <c r="C4" s="20"/>
      <c r="D4" s="7" t="s">
        <v>21</v>
      </c>
      <c r="E4" s="20"/>
      <c r="F4" s="7" t="s">
        <v>24</v>
      </c>
      <c r="G4" s="7" t="s">
        <v>25</v>
      </c>
      <c r="H4" s="7" t="s">
        <v>26</v>
      </c>
      <c r="I4" s="20"/>
    </row>
    <row r="5" spans="1:9" x14ac:dyDescent="0.25">
      <c r="A5" s="14" t="s">
        <v>102</v>
      </c>
      <c r="B5" s="10"/>
      <c r="C5" s="10"/>
      <c r="D5" s="10"/>
      <c r="E5" s="10"/>
      <c r="F5" s="10"/>
      <c r="G5" s="10"/>
      <c r="H5" s="10"/>
      <c r="I5" s="21"/>
    </row>
    <row r="6" spans="1:9" ht="15.75" x14ac:dyDescent="0.25">
      <c r="A6" s="9" t="s">
        <v>103</v>
      </c>
      <c r="B6" s="10">
        <v>2</v>
      </c>
      <c r="C6" s="10">
        <v>1</v>
      </c>
      <c r="D6" s="10">
        <f>B6*C6</f>
        <v>2</v>
      </c>
      <c r="E6" s="10">
        <f>Sources!$B$15</f>
        <v>28</v>
      </c>
      <c r="F6" s="10">
        <f>D6*E6</f>
        <v>56</v>
      </c>
      <c r="G6" s="10">
        <f>F6*0.05</f>
        <v>2.8000000000000003</v>
      </c>
      <c r="H6" s="10">
        <f>F6*0.1</f>
        <v>5.6000000000000005</v>
      </c>
      <c r="I6" s="22">
        <f>F6*$F$1+G6*$G$1+H6*$H$1</f>
        <v>2990.6239999999998</v>
      </c>
    </row>
    <row r="7" spans="1:9" ht="15.75" x14ac:dyDescent="0.25">
      <c r="A7" s="9" t="s">
        <v>104</v>
      </c>
      <c r="B7" s="10">
        <v>4</v>
      </c>
      <c r="C7" s="10">
        <v>1</v>
      </c>
      <c r="D7" s="10">
        <f t="shared" ref="D7:D19" si="0">B7*C7</f>
        <v>4</v>
      </c>
      <c r="E7" s="10">
        <f>Sources!$B$15</f>
        <v>28</v>
      </c>
      <c r="F7" s="10">
        <f t="shared" ref="F7:F11" si="1">D7*E7</f>
        <v>112</v>
      </c>
      <c r="G7" s="10">
        <f t="shared" ref="G7:G19" si="2">F7*0.05</f>
        <v>5.6000000000000005</v>
      </c>
      <c r="H7" s="10">
        <f t="shared" ref="H7:H11" si="3">F7*0.1</f>
        <v>11.200000000000001</v>
      </c>
      <c r="I7" s="22">
        <f t="shared" ref="I7:I19" si="4">F7*$F$1+G7*$G$1+H7*$H$1</f>
        <v>5981.2479999999996</v>
      </c>
    </row>
    <row r="8" spans="1:9" ht="15.75" x14ac:dyDescent="0.25">
      <c r="A8" s="9" t="s">
        <v>105</v>
      </c>
      <c r="B8" s="10">
        <v>2</v>
      </c>
      <c r="C8" s="10">
        <v>1</v>
      </c>
      <c r="D8" s="10">
        <f t="shared" si="0"/>
        <v>2</v>
      </c>
      <c r="E8" s="10">
        <f>Sources!$B$15</f>
        <v>28</v>
      </c>
      <c r="F8" s="10">
        <f t="shared" si="1"/>
        <v>56</v>
      </c>
      <c r="G8" s="10">
        <f t="shared" si="2"/>
        <v>2.8000000000000003</v>
      </c>
      <c r="H8" s="10">
        <f t="shared" si="3"/>
        <v>5.6000000000000005</v>
      </c>
      <c r="I8" s="22">
        <f t="shared" si="4"/>
        <v>2990.6239999999998</v>
      </c>
    </row>
    <row r="9" spans="1:9" ht="15.75" x14ac:dyDescent="0.25">
      <c r="A9" s="9" t="s">
        <v>106</v>
      </c>
      <c r="B9" s="10">
        <v>4</v>
      </c>
      <c r="C9" s="10">
        <v>1</v>
      </c>
      <c r="D9" s="10">
        <f t="shared" si="0"/>
        <v>4</v>
      </c>
      <c r="E9" s="10">
        <f>Sources!$B$15</f>
        <v>28</v>
      </c>
      <c r="F9" s="10">
        <f t="shared" si="1"/>
        <v>112</v>
      </c>
      <c r="G9" s="10">
        <f t="shared" si="2"/>
        <v>5.6000000000000005</v>
      </c>
      <c r="H9" s="10">
        <f t="shared" si="3"/>
        <v>11.200000000000001</v>
      </c>
      <c r="I9" s="22">
        <f t="shared" si="4"/>
        <v>5981.2479999999996</v>
      </c>
    </row>
    <row r="10" spans="1:9" ht="15.75" x14ac:dyDescent="0.25">
      <c r="A10" s="9" t="s">
        <v>107</v>
      </c>
      <c r="B10" s="10">
        <v>2</v>
      </c>
      <c r="C10" s="10">
        <v>2</v>
      </c>
      <c r="D10" s="10">
        <f t="shared" si="0"/>
        <v>4</v>
      </c>
      <c r="E10" s="10">
        <f>Sources!$E$15</f>
        <v>582</v>
      </c>
      <c r="F10" s="13">
        <f t="shared" si="1"/>
        <v>2328</v>
      </c>
      <c r="G10" s="10">
        <f t="shared" si="2"/>
        <v>116.4</v>
      </c>
      <c r="H10" s="10">
        <f t="shared" si="3"/>
        <v>232.8</v>
      </c>
      <c r="I10" s="22">
        <f t="shared" si="4"/>
        <v>124324.512</v>
      </c>
    </row>
    <row r="11" spans="1:9" ht="15.75" x14ac:dyDescent="0.25">
      <c r="A11" s="9" t="s">
        <v>108</v>
      </c>
      <c r="B11" s="10">
        <v>2</v>
      </c>
      <c r="C11" s="10">
        <v>2</v>
      </c>
      <c r="D11" s="10">
        <f t="shared" si="0"/>
        <v>4</v>
      </c>
      <c r="E11" s="10">
        <f>Sources!$E$15</f>
        <v>582</v>
      </c>
      <c r="F11" s="13">
        <f t="shared" si="1"/>
        <v>2328</v>
      </c>
      <c r="G11" s="10">
        <f t="shared" si="2"/>
        <v>116.4</v>
      </c>
      <c r="H11" s="10">
        <f t="shared" si="3"/>
        <v>232.8</v>
      </c>
      <c r="I11" s="22">
        <f t="shared" si="4"/>
        <v>124324.512</v>
      </c>
    </row>
    <row r="12" spans="1:9" x14ac:dyDescent="0.25">
      <c r="A12" s="14" t="s">
        <v>109</v>
      </c>
      <c r="B12" s="10"/>
      <c r="C12" s="10"/>
      <c r="D12" s="10"/>
      <c r="E12" s="10"/>
      <c r="F12" s="10"/>
      <c r="G12" s="10"/>
      <c r="H12" s="10"/>
      <c r="I12" s="21"/>
    </row>
    <row r="13" spans="1:9" x14ac:dyDescent="0.25">
      <c r="A13" s="9" t="s">
        <v>110</v>
      </c>
      <c r="B13" s="10">
        <v>2</v>
      </c>
      <c r="C13" s="10">
        <v>1</v>
      </c>
      <c r="D13" s="10">
        <f t="shared" si="0"/>
        <v>2</v>
      </c>
      <c r="E13" s="10">
        <f>Sources!$C$15</f>
        <v>3</v>
      </c>
      <c r="F13" s="10">
        <f t="shared" ref="F13:F19" si="5">D13*E13</f>
        <v>6</v>
      </c>
      <c r="G13" s="10">
        <f t="shared" si="2"/>
        <v>0.30000000000000004</v>
      </c>
      <c r="H13" s="10">
        <f t="shared" ref="H13:H19" si="6">F13*0.1</f>
        <v>0.60000000000000009</v>
      </c>
      <c r="I13" s="22">
        <f t="shared" si="4"/>
        <v>320.42399999999998</v>
      </c>
    </row>
    <row r="14" spans="1:9" x14ac:dyDescent="0.25">
      <c r="A14" s="9" t="s">
        <v>111</v>
      </c>
      <c r="B14" s="10">
        <v>2</v>
      </c>
      <c r="C14" s="10">
        <v>1</v>
      </c>
      <c r="D14" s="10">
        <f t="shared" si="0"/>
        <v>2</v>
      </c>
      <c r="E14" s="10">
        <f>Sources!$C$15</f>
        <v>3</v>
      </c>
      <c r="F14" s="10">
        <f t="shared" si="5"/>
        <v>6</v>
      </c>
      <c r="G14" s="10">
        <f t="shared" si="2"/>
        <v>0.30000000000000004</v>
      </c>
      <c r="H14" s="10">
        <f t="shared" si="6"/>
        <v>0.60000000000000009</v>
      </c>
      <c r="I14" s="22">
        <f t="shared" si="4"/>
        <v>320.42399999999998</v>
      </c>
    </row>
    <row r="15" spans="1:9" ht="28.5" x14ac:dyDescent="0.25">
      <c r="A15" s="9" t="s">
        <v>112</v>
      </c>
      <c r="B15" s="10">
        <v>2</v>
      </c>
      <c r="C15" s="10">
        <v>1</v>
      </c>
      <c r="D15" s="10">
        <f t="shared" si="0"/>
        <v>2</v>
      </c>
      <c r="E15" s="28">
        <v>16</v>
      </c>
      <c r="F15" s="10">
        <f t="shared" si="5"/>
        <v>32</v>
      </c>
      <c r="G15" s="10">
        <f t="shared" si="2"/>
        <v>1.6</v>
      </c>
      <c r="H15" s="10">
        <f t="shared" si="6"/>
        <v>3.2</v>
      </c>
      <c r="I15" s="22">
        <f t="shared" si="4"/>
        <v>1708.9279999999999</v>
      </c>
    </row>
    <row r="16" spans="1:9" ht="25.5" x14ac:dyDescent="0.25">
      <c r="A16" s="9" t="s">
        <v>113</v>
      </c>
      <c r="B16" s="10">
        <v>2</v>
      </c>
      <c r="C16" s="10">
        <v>1</v>
      </c>
      <c r="D16" s="10">
        <f t="shared" si="0"/>
        <v>2</v>
      </c>
      <c r="E16" s="28">
        <v>16</v>
      </c>
      <c r="F16" s="10">
        <f t="shared" si="5"/>
        <v>32</v>
      </c>
      <c r="G16" s="10">
        <f t="shared" si="2"/>
        <v>1.6</v>
      </c>
      <c r="H16" s="10">
        <f t="shared" si="6"/>
        <v>3.2</v>
      </c>
      <c r="I16" s="22">
        <f t="shared" si="4"/>
        <v>1708.9279999999999</v>
      </c>
    </row>
    <row r="17" spans="1:9" x14ac:dyDescent="0.25">
      <c r="A17" s="9" t="s">
        <v>114</v>
      </c>
      <c r="B17" s="10">
        <v>4</v>
      </c>
      <c r="C17" s="10">
        <v>1</v>
      </c>
      <c r="D17" s="10">
        <f t="shared" si="0"/>
        <v>4</v>
      </c>
      <c r="E17" s="28">
        <v>16</v>
      </c>
      <c r="F17" s="10">
        <f t="shared" si="5"/>
        <v>64</v>
      </c>
      <c r="G17" s="10">
        <f t="shared" si="2"/>
        <v>3.2</v>
      </c>
      <c r="H17" s="10">
        <f t="shared" si="6"/>
        <v>6.4</v>
      </c>
      <c r="I17" s="22">
        <f t="shared" si="4"/>
        <v>3417.8559999999998</v>
      </c>
    </row>
    <row r="18" spans="1:9" ht="15.75" x14ac:dyDescent="0.25">
      <c r="A18" s="9" t="s">
        <v>123</v>
      </c>
      <c r="B18" s="10">
        <v>2</v>
      </c>
      <c r="C18" s="10">
        <v>1</v>
      </c>
      <c r="D18" s="10">
        <f t="shared" si="0"/>
        <v>2</v>
      </c>
      <c r="E18" s="28">
        <f>'Table 1'!E29+'Table 1'!E28</f>
        <v>73</v>
      </c>
      <c r="F18" s="10">
        <f t="shared" si="5"/>
        <v>146</v>
      </c>
      <c r="G18" s="10">
        <f t="shared" si="2"/>
        <v>7.3000000000000007</v>
      </c>
      <c r="H18" s="10">
        <f t="shared" si="6"/>
        <v>14.600000000000001</v>
      </c>
      <c r="I18" s="22">
        <f t="shared" si="4"/>
        <v>7796.9840000000004</v>
      </c>
    </row>
    <row r="19" spans="1:9" ht="15.75" x14ac:dyDescent="0.25">
      <c r="A19" s="9" t="s">
        <v>115</v>
      </c>
      <c r="B19" s="10">
        <v>2</v>
      </c>
      <c r="C19" s="10">
        <v>1</v>
      </c>
      <c r="D19" s="10">
        <f t="shared" si="0"/>
        <v>2</v>
      </c>
      <c r="E19" s="28">
        <f>'Table 1'!E30</f>
        <v>14</v>
      </c>
      <c r="F19" s="10">
        <f t="shared" si="5"/>
        <v>28</v>
      </c>
      <c r="G19" s="10">
        <f t="shared" si="2"/>
        <v>1.4000000000000001</v>
      </c>
      <c r="H19" s="10">
        <f t="shared" si="6"/>
        <v>2.8000000000000003</v>
      </c>
      <c r="I19" s="22">
        <f t="shared" si="4"/>
        <v>1495.3119999999999</v>
      </c>
    </row>
    <row r="20" spans="1:9" ht="25.5" x14ac:dyDescent="0.25">
      <c r="A20" s="8" t="s">
        <v>116</v>
      </c>
      <c r="B20" s="17"/>
      <c r="C20" s="17"/>
      <c r="D20" s="17"/>
      <c r="E20" s="17"/>
      <c r="F20" s="45">
        <f>ROUND(SUM(F6:H19), -1)</f>
        <v>6100</v>
      </c>
      <c r="G20" s="46"/>
      <c r="H20" s="47"/>
      <c r="I20" s="23">
        <f>ROUND(SUM(I6:I19), -3)</f>
        <v>283000</v>
      </c>
    </row>
  </sheetData>
  <mergeCells count="2">
    <mergeCell ref="F20:H20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Sources</vt:lpstr>
      <vt:lpstr>Table 1</vt:lpstr>
      <vt:lpstr>Table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AHou</dc:creator>
  <cp:lastModifiedBy>wwrigley</cp:lastModifiedBy>
  <dcterms:created xsi:type="dcterms:W3CDTF">2016-03-14T16:46:44Z</dcterms:created>
  <dcterms:modified xsi:type="dcterms:W3CDTF">2016-06-13T14:09:31Z</dcterms:modified>
</cp:coreProperties>
</file>