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
    </mc:Choice>
  </mc:AlternateContent>
  <bookViews>
    <workbookView xWindow="0" yWindow="0" windowWidth="24000" windowHeight="9510"/>
  </bookViews>
  <sheets>
    <sheet name="Industry" sheetId="1" r:id="rId1"/>
    <sheet name="Agency" sheetId="2" r:id="rId2"/>
    <sheet name="Respondent Universe Update" sheetId="3" r:id="rId3"/>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21" i="1" l="1"/>
  <c r="Q21" i="2" l="1"/>
  <c r="Q20" i="2"/>
  <c r="M20" i="2"/>
  <c r="Q19" i="2"/>
  <c r="M19" i="2"/>
  <c r="K96" i="1"/>
  <c r="I37" i="2"/>
  <c r="I96" i="1"/>
  <c r="M13" i="2"/>
  <c r="O13" i="2" s="1"/>
  <c r="M12" i="2"/>
  <c r="M15" i="2" s="1"/>
  <c r="N11" i="2"/>
  <c r="M11" i="2"/>
  <c r="O11" i="2" s="1"/>
  <c r="N9" i="2"/>
  <c r="M9" i="2"/>
  <c r="O8" i="2"/>
  <c r="N8" i="2"/>
  <c r="M8" i="2"/>
  <c r="O7" i="2"/>
  <c r="N7" i="2"/>
  <c r="M7" i="2"/>
  <c r="M4" i="2"/>
  <c r="N4" i="2" s="1"/>
  <c r="O3" i="2"/>
  <c r="M3" i="2"/>
  <c r="N3" i="2" s="1"/>
  <c r="M19" i="1"/>
  <c r="M7" i="1"/>
  <c r="M20" i="1"/>
  <c r="M9" i="1"/>
  <c r="M8" i="1"/>
  <c r="M3" i="1"/>
  <c r="E12" i="1"/>
  <c r="N19" i="2" l="1"/>
  <c r="O19" i="2"/>
  <c r="N15" i="2"/>
  <c r="O15" i="2"/>
  <c r="O4" i="2"/>
  <c r="N12" i="2"/>
  <c r="M16" i="2"/>
  <c r="O12" i="2"/>
  <c r="M5" i="2"/>
  <c r="O9" i="2"/>
  <c r="N13" i="2"/>
  <c r="M17" i="2"/>
  <c r="S16" i="3"/>
  <c r="P17" i="3" s="1"/>
  <c r="P5" i="3"/>
  <c r="Q5" i="3" s="1"/>
  <c r="P7" i="3"/>
  <c r="Q7" i="3" s="1"/>
  <c r="P6" i="3"/>
  <c r="Q6" i="3" s="1"/>
  <c r="O16" i="2" l="1"/>
  <c r="N16" i="2"/>
  <c r="O17" i="2"/>
  <c r="N17" i="2"/>
  <c r="O5" i="2"/>
  <c r="N5" i="2"/>
  <c r="M21" i="2"/>
  <c r="S19" i="3"/>
  <c r="P19" i="3"/>
  <c r="Q8" i="3"/>
  <c r="S17" i="3"/>
  <c r="P18" i="3" s="1"/>
  <c r="S18" i="3" s="1"/>
  <c r="M4" i="1"/>
  <c r="O4" i="1" s="1"/>
  <c r="M12" i="1"/>
  <c r="N12" i="1" s="1"/>
  <c r="M11" i="1"/>
  <c r="E10" i="1" s="1"/>
  <c r="E13" i="1" s="1"/>
  <c r="M13" i="1"/>
  <c r="N13" i="1" s="1"/>
  <c r="E7" i="2"/>
  <c r="E17" i="2"/>
  <c r="E13" i="2"/>
  <c r="E3" i="2"/>
  <c r="E5" i="2"/>
  <c r="D36" i="2"/>
  <c r="D35" i="2"/>
  <c r="D33" i="2"/>
  <c r="D32" i="2"/>
  <c r="D30" i="2"/>
  <c r="D29" i="2"/>
  <c r="D26" i="2"/>
  <c r="D25" i="2"/>
  <c r="D23" i="2"/>
  <c r="D22" i="2"/>
  <c r="D20" i="2"/>
  <c r="D19" i="2"/>
  <c r="D18" i="2"/>
  <c r="D17" i="2"/>
  <c r="D15" i="2"/>
  <c r="D14" i="2"/>
  <c r="D13" i="2"/>
  <c r="D11" i="2"/>
  <c r="D10" i="2"/>
  <c r="D9" i="2"/>
  <c r="D7" i="2"/>
  <c r="D6" i="2"/>
  <c r="D5" i="2"/>
  <c r="D3" i="2"/>
  <c r="O11" i="1"/>
  <c r="O21" i="2" l="1"/>
  <c r="N21" i="2"/>
  <c r="O20" i="2"/>
  <c r="N20" i="2"/>
  <c r="F13" i="2"/>
  <c r="G13" i="2" s="1"/>
  <c r="O12" i="1"/>
  <c r="M15" i="1"/>
  <c r="N4" i="1"/>
  <c r="N11" i="1"/>
  <c r="O13" i="1"/>
  <c r="M16" i="1"/>
  <c r="E83" i="1" s="1"/>
  <c r="M17" i="1"/>
  <c r="E17" i="1" s="1"/>
  <c r="F5" i="2"/>
  <c r="G5" i="2" s="1"/>
  <c r="F7" i="2"/>
  <c r="H7" i="2" s="1"/>
  <c r="F17" i="2"/>
  <c r="H17" i="2" s="1"/>
  <c r="E9" i="2"/>
  <c r="F9" i="2" s="1"/>
  <c r="E19" i="2"/>
  <c r="E20" i="2" s="1"/>
  <c r="F20" i="2" s="1"/>
  <c r="G20" i="2" s="1"/>
  <c r="E10" i="2"/>
  <c r="F10" i="2" s="1"/>
  <c r="E11" i="2"/>
  <c r="F11" i="2" s="1"/>
  <c r="H11" i="2" s="1"/>
  <c r="E15" i="2"/>
  <c r="F15" i="2" s="1"/>
  <c r="G15" i="2" s="1"/>
  <c r="F3" i="2"/>
  <c r="G3" i="2"/>
  <c r="H13" i="2"/>
  <c r="I13" i="2" s="1"/>
  <c r="G7" i="2"/>
  <c r="O17" i="1"/>
  <c r="E24" i="1"/>
  <c r="E28" i="1" s="1"/>
  <c r="E16" i="1"/>
  <c r="E15" i="1"/>
  <c r="E20" i="1"/>
  <c r="H15" i="2" l="1"/>
  <c r="I15" i="2" s="1"/>
  <c r="E14" i="2"/>
  <c r="F14" i="2" s="1"/>
  <c r="H14" i="2" s="1"/>
  <c r="E19" i="1"/>
  <c r="O15" i="1"/>
  <c r="E23" i="1"/>
  <c r="E27" i="1" s="1"/>
  <c r="N15" i="1"/>
  <c r="E82" i="1"/>
  <c r="E84" i="1"/>
  <c r="N17" i="1"/>
  <c r="E25" i="1"/>
  <c r="E29" i="1" s="1"/>
  <c r="N16" i="1"/>
  <c r="E21" i="1"/>
  <c r="E79" i="1"/>
  <c r="E6" i="2"/>
  <c r="F6" i="2" s="1"/>
  <c r="E18" i="2"/>
  <c r="F18" i="2" s="1"/>
  <c r="E80" i="1"/>
  <c r="E9" i="1"/>
  <c r="O16" i="1"/>
  <c r="E78" i="1"/>
  <c r="E77" i="1"/>
  <c r="G10" i="2"/>
  <c r="H10" i="2"/>
  <c r="G17" i="2"/>
  <c r="I17" i="2" s="1"/>
  <c r="H5" i="2"/>
  <c r="I5" i="2" s="1"/>
  <c r="G9" i="2"/>
  <c r="H9" i="2"/>
  <c r="G11" i="2"/>
  <c r="I11" i="2" s="1"/>
  <c r="H20" i="2"/>
  <c r="I20" i="2" s="1"/>
  <c r="G14" i="2"/>
  <c r="H3" i="2"/>
  <c r="I3" i="2" s="1"/>
  <c r="F19" i="2"/>
  <c r="G19" i="2" s="1"/>
  <c r="I7" i="2"/>
  <c r="D93" i="1"/>
  <c r="D92" i="1"/>
  <c r="D87" i="1"/>
  <c r="D84" i="1"/>
  <c r="D83" i="1"/>
  <c r="F83" i="1" s="1"/>
  <c r="G83" i="1" s="1"/>
  <c r="D82" i="1"/>
  <c r="F82" i="1" s="1"/>
  <c r="D80" i="1"/>
  <c r="F80" i="1" s="1"/>
  <c r="D79" i="1"/>
  <c r="D78" i="1"/>
  <c r="F78" i="1" s="1"/>
  <c r="D77" i="1"/>
  <c r="F77" i="1" s="1"/>
  <c r="D73" i="1"/>
  <c r="D72" i="1"/>
  <c r="D70" i="1"/>
  <c r="D69" i="1"/>
  <c r="D67" i="1"/>
  <c r="D66" i="1"/>
  <c r="D64" i="1"/>
  <c r="D63" i="1"/>
  <c r="D60" i="1"/>
  <c r="D59" i="1"/>
  <c r="D57" i="1"/>
  <c r="D56" i="1"/>
  <c r="D55" i="1"/>
  <c r="D53" i="1"/>
  <c r="D52" i="1"/>
  <c r="D49" i="1"/>
  <c r="D48" i="1"/>
  <c r="D47" i="1"/>
  <c r="D45" i="1"/>
  <c r="D44" i="1"/>
  <c r="D43" i="1"/>
  <c r="D40" i="1"/>
  <c r="D39" i="1"/>
  <c r="D37" i="1"/>
  <c r="D36" i="1"/>
  <c r="D33" i="1"/>
  <c r="D32" i="1"/>
  <c r="D29" i="1"/>
  <c r="F29" i="1" s="1"/>
  <c r="D28" i="1"/>
  <c r="F28" i="1" s="1"/>
  <c r="D27" i="1"/>
  <c r="F27" i="1" s="1"/>
  <c r="D25" i="1"/>
  <c r="D24" i="1"/>
  <c r="F24" i="1" s="1"/>
  <c r="G24" i="1" s="1"/>
  <c r="D23" i="1"/>
  <c r="F23" i="1" s="1"/>
  <c r="D21" i="1"/>
  <c r="D20" i="1"/>
  <c r="F20" i="1" s="1"/>
  <c r="D19" i="1"/>
  <c r="F19" i="1" s="1"/>
  <c r="D17" i="1"/>
  <c r="F17" i="1" s="1"/>
  <c r="D16" i="1"/>
  <c r="F16" i="1" s="1"/>
  <c r="D15" i="1"/>
  <c r="F15" i="1" s="1"/>
  <c r="D13" i="1"/>
  <c r="F13" i="1" s="1"/>
  <c r="G13" i="1" s="1"/>
  <c r="D12" i="1"/>
  <c r="D10" i="1"/>
  <c r="F10" i="1" s="1"/>
  <c r="D9" i="1"/>
  <c r="F9" i="1" s="1"/>
  <c r="I10" i="2" l="1"/>
  <c r="I9" i="2"/>
  <c r="F25" i="1"/>
  <c r="H25" i="1" s="1"/>
  <c r="F84" i="1"/>
  <c r="H19" i="2"/>
  <c r="I19" i="2" s="1"/>
  <c r="F79" i="1"/>
  <c r="G79" i="1" s="1"/>
  <c r="G18" i="2"/>
  <c r="H18" i="2"/>
  <c r="H6" i="2"/>
  <c r="G6" i="2"/>
  <c r="I6" i="2" s="1"/>
  <c r="F21" i="1"/>
  <c r="G21" i="1" s="1"/>
  <c r="F12" i="1"/>
  <c r="G12" i="1" s="1"/>
  <c r="I14" i="2"/>
  <c r="G78" i="1"/>
  <c r="H79" i="1"/>
  <c r="I79" i="1" s="1"/>
  <c r="H83" i="1"/>
  <c r="I83" i="1" s="1"/>
  <c r="H84" i="1"/>
  <c r="H28" i="1"/>
  <c r="G27" i="1"/>
  <c r="H27" i="1"/>
  <c r="H24" i="1"/>
  <c r="I24" i="1" s="1"/>
  <c r="H20" i="1"/>
  <c r="H19" i="1"/>
  <c r="H17" i="1"/>
  <c r="H16" i="1"/>
  <c r="H13" i="1"/>
  <c r="I13" i="1" s="1"/>
  <c r="G10" i="1"/>
  <c r="G29" i="1"/>
  <c r="H29" i="1"/>
  <c r="G28" i="1"/>
  <c r="G17" i="1"/>
  <c r="G16" i="1"/>
  <c r="H78" i="1"/>
  <c r="G80" i="1"/>
  <c r="H80" i="1"/>
  <c r="H82" i="1"/>
  <c r="G82" i="1"/>
  <c r="G9" i="1"/>
  <c r="H9" i="1"/>
  <c r="H23" i="1"/>
  <c r="G23" i="1"/>
  <c r="G84" i="1"/>
  <c r="H77" i="1"/>
  <c r="G77" i="1"/>
  <c r="G20" i="1"/>
  <c r="H15" i="1"/>
  <c r="G15" i="1"/>
  <c r="G19" i="1"/>
  <c r="H10" i="1"/>
  <c r="N7" i="1" l="1"/>
  <c r="O7" i="1"/>
  <c r="N3" i="1"/>
  <c r="M5" i="1"/>
  <c r="O3" i="1"/>
  <c r="N9" i="1"/>
  <c r="O9" i="1"/>
  <c r="O8" i="1"/>
  <c r="N8" i="1"/>
  <c r="H12" i="1"/>
  <c r="I12" i="1" s="1"/>
  <c r="I18" i="2"/>
  <c r="G25" i="1"/>
  <c r="H21" i="1"/>
  <c r="I21" i="1"/>
  <c r="I10" i="1"/>
  <c r="I16" i="1"/>
  <c r="I15" i="1"/>
  <c r="I25" i="1"/>
  <c r="I19" i="1"/>
  <c r="I78" i="1"/>
  <c r="I77" i="1"/>
  <c r="I84" i="1"/>
  <c r="I29" i="1"/>
  <c r="I80" i="1"/>
  <c r="I82" i="1"/>
  <c r="I20" i="1"/>
  <c r="I17" i="1"/>
  <c r="I23" i="1"/>
  <c r="I28" i="1"/>
  <c r="I27" i="1"/>
  <c r="I9" i="1"/>
  <c r="O19" i="1" l="1"/>
  <c r="E55" i="1"/>
  <c r="F55" i="1" s="1"/>
  <c r="E66" i="1"/>
  <c r="F66" i="1" s="1"/>
  <c r="E32" i="1"/>
  <c r="F32" i="1" s="1"/>
  <c r="E59" i="1"/>
  <c r="F59" i="1" s="1"/>
  <c r="E63" i="1"/>
  <c r="F63" i="1" s="1"/>
  <c r="E67" i="1"/>
  <c r="F67" i="1" s="1"/>
  <c r="E33" i="1"/>
  <c r="F33" i="1" s="1"/>
  <c r="E64" i="1"/>
  <c r="F64" i="1" s="1"/>
  <c r="N19" i="1"/>
  <c r="E52" i="1"/>
  <c r="F52" i="1" s="1"/>
  <c r="O21" i="1"/>
  <c r="E57" i="1"/>
  <c r="F57" i="1" s="1"/>
  <c r="E72" i="1"/>
  <c r="F72" i="1" s="1"/>
  <c r="E69" i="1"/>
  <c r="E73" i="1"/>
  <c r="F73" i="1" s="1"/>
  <c r="E60" i="1"/>
  <c r="F60" i="1" s="1"/>
  <c r="E70" i="1"/>
  <c r="E43" i="1"/>
  <c r="E56" i="1"/>
  <c r="F56" i="1" s="1"/>
  <c r="E53" i="1"/>
  <c r="F53" i="1" s="1"/>
  <c r="N21" i="1"/>
  <c r="E47" i="1"/>
  <c r="E29" i="2"/>
  <c r="F29" i="2" s="1"/>
  <c r="E30" i="2"/>
  <c r="F30" i="2" s="1"/>
  <c r="E35" i="2"/>
  <c r="F35" i="2" s="1"/>
  <c r="E25" i="2"/>
  <c r="F25" i="2" s="1"/>
  <c r="E26" i="2"/>
  <c r="F26" i="2" s="1"/>
  <c r="O20" i="1"/>
  <c r="N20" i="1"/>
  <c r="E39" i="1"/>
  <c r="F39" i="1" s="1"/>
  <c r="E37" i="1"/>
  <c r="F37" i="1" s="1"/>
  <c r="E36" i="1"/>
  <c r="F36" i="1" s="1"/>
  <c r="E40" i="1"/>
  <c r="F40" i="1" s="1"/>
  <c r="O5" i="1"/>
  <c r="N5" i="1"/>
  <c r="E93" i="1"/>
  <c r="F93" i="1" s="1"/>
  <c r="E87" i="1"/>
  <c r="F87" i="1" s="1"/>
  <c r="E92" i="1"/>
  <c r="F92" i="1" s="1"/>
  <c r="E22" i="2"/>
  <c r="F22" i="2" s="1"/>
  <c r="E32" i="2"/>
  <c r="F32" i="2" s="1"/>
  <c r="E23" i="2"/>
  <c r="F23" i="2" s="1"/>
  <c r="E33" i="2"/>
  <c r="F33" i="2" s="1"/>
  <c r="E36" i="2"/>
  <c r="F36" i="2" s="1"/>
  <c r="G23" i="2" l="1"/>
  <c r="H23" i="2"/>
  <c r="G53" i="1"/>
  <c r="H53" i="1"/>
  <c r="H57" i="1"/>
  <c r="G57" i="1"/>
  <c r="G64" i="1"/>
  <c r="H64" i="1"/>
  <c r="G40" i="1"/>
  <c r="H40" i="1"/>
  <c r="H35" i="2"/>
  <c r="G35" i="2"/>
  <c r="I35" i="2" s="1"/>
  <c r="G56" i="1"/>
  <c r="H56" i="1"/>
  <c r="G33" i="1"/>
  <c r="H33" i="1"/>
  <c r="G33" i="2"/>
  <c r="H33" i="2"/>
  <c r="H36" i="1"/>
  <c r="G36" i="1"/>
  <c r="I36" i="1" s="1"/>
  <c r="H67" i="1"/>
  <c r="G67" i="1"/>
  <c r="H22" i="2"/>
  <c r="G22" i="2"/>
  <c r="H37" i="1"/>
  <c r="G37" i="1"/>
  <c r="F70" i="1"/>
  <c r="J70" i="1"/>
  <c r="H63" i="1"/>
  <c r="G63" i="1"/>
  <c r="H25" i="2"/>
  <c r="G25" i="2"/>
  <c r="F37" i="2" s="1"/>
  <c r="G30" i="2"/>
  <c r="H30" i="2"/>
  <c r="G92" i="1"/>
  <c r="H92" i="1"/>
  <c r="G39" i="1"/>
  <c r="H39" i="1"/>
  <c r="G29" i="2"/>
  <c r="H29" i="2"/>
  <c r="H60" i="1"/>
  <c r="G60" i="1"/>
  <c r="G59" i="1"/>
  <c r="H59" i="1"/>
  <c r="G32" i="2"/>
  <c r="H32" i="2"/>
  <c r="F43" i="1"/>
  <c r="E44" i="1"/>
  <c r="F44" i="1" s="1"/>
  <c r="E45" i="1"/>
  <c r="F45" i="1" s="1"/>
  <c r="H36" i="2"/>
  <c r="G36" i="2"/>
  <c r="H87" i="1"/>
  <c r="G87" i="1"/>
  <c r="G73" i="1"/>
  <c r="H73" i="1"/>
  <c r="H32" i="1"/>
  <c r="G32" i="1"/>
  <c r="H93" i="1"/>
  <c r="G93" i="1"/>
  <c r="E49" i="1"/>
  <c r="F49" i="1" s="1"/>
  <c r="F47" i="1"/>
  <c r="E48" i="1"/>
  <c r="F48" i="1" s="1"/>
  <c r="J69" i="1"/>
  <c r="F69" i="1"/>
  <c r="H52" i="1"/>
  <c r="G52" i="1"/>
  <c r="H66" i="1"/>
  <c r="G66" i="1"/>
  <c r="H26" i="2"/>
  <c r="G26" i="2"/>
  <c r="I26" i="2" s="1"/>
  <c r="G72" i="1"/>
  <c r="H72" i="1"/>
  <c r="H55" i="1"/>
  <c r="G55" i="1"/>
  <c r="I53" i="1" l="1"/>
  <c r="I37" i="1"/>
  <c r="I72" i="1"/>
  <c r="I60" i="1"/>
  <c r="I33" i="1"/>
  <c r="I32" i="2"/>
  <c r="I63" i="1"/>
  <c r="I67" i="1"/>
  <c r="I57" i="1"/>
  <c r="I66" i="1"/>
  <c r="I92" i="1"/>
  <c r="I22" i="2"/>
  <c r="I87" i="1"/>
  <c r="F94" i="1"/>
  <c r="I39" i="1"/>
  <c r="I59" i="1"/>
  <c r="I56" i="1"/>
  <c r="I52" i="1"/>
  <c r="I30" i="2"/>
  <c r="I93" i="1"/>
  <c r="I36" i="2"/>
  <c r="I32" i="1"/>
  <c r="G45" i="1"/>
  <c r="H45" i="1"/>
  <c r="I33" i="2"/>
  <c r="I73" i="1"/>
  <c r="H43" i="1"/>
  <c r="F85" i="1" s="1"/>
  <c r="G43" i="1"/>
  <c r="G70" i="1"/>
  <c r="H70" i="1"/>
  <c r="H69" i="1"/>
  <c r="G69" i="1"/>
  <c r="G44" i="1"/>
  <c r="H44" i="1"/>
  <c r="G48" i="1"/>
  <c r="H48" i="1"/>
  <c r="I29" i="2"/>
  <c r="I40" i="1"/>
  <c r="I23" i="2"/>
  <c r="G47" i="1"/>
  <c r="H47" i="1"/>
  <c r="I55" i="1"/>
  <c r="H49" i="1"/>
  <c r="G49" i="1"/>
  <c r="I25" i="2"/>
  <c r="I64" i="1"/>
  <c r="I69" i="1" l="1"/>
  <c r="I45" i="1"/>
  <c r="I70" i="1"/>
  <c r="I48" i="1"/>
  <c r="I47" i="1"/>
  <c r="I44" i="1"/>
  <c r="F95" i="1"/>
  <c r="I43" i="1"/>
  <c r="I94" i="1"/>
  <c r="I49" i="1"/>
  <c r="I85" i="1" l="1"/>
  <c r="I95" i="1" s="1"/>
  <c r="I97" i="1" s="1"/>
</calcChain>
</file>

<file path=xl/sharedStrings.xml><?xml version="1.0" encoding="utf-8"?>
<sst xmlns="http://schemas.openxmlformats.org/spreadsheetml/2006/main" count="369" uniqueCount="205">
  <si>
    <t>Burden Item</t>
  </si>
  <si>
    <t>1. Applicants</t>
  </si>
  <si>
    <t>N/A</t>
  </si>
  <si>
    <t>2. Survey and Studies</t>
  </si>
  <si>
    <r>
      <t xml:space="preserve">3. Reporting Requirements </t>
    </r>
    <r>
      <rPr>
        <b/>
        <vertAlign val="superscript"/>
        <sz val="9"/>
        <color theme="1"/>
        <rFont val="Times New Roman"/>
        <family val="1"/>
      </rPr>
      <t>c</t>
    </r>
  </si>
  <si>
    <t>See 4A</t>
  </si>
  <si>
    <t>B. Required activities</t>
  </si>
  <si>
    <t>Initial Performance Test</t>
  </si>
  <si>
    <r>
      <t xml:space="preserve">PM </t>
    </r>
    <r>
      <rPr>
        <b/>
        <vertAlign val="superscript"/>
        <sz val="9"/>
        <color theme="1"/>
        <rFont val="Times New Roman"/>
        <family val="1"/>
      </rPr>
      <t>c</t>
    </r>
  </si>
  <si>
    <r>
      <t xml:space="preserve">24 hour test for Gas Units </t>
    </r>
    <r>
      <rPr>
        <b/>
        <vertAlign val="superscript"/>
        <sz val="9"/>
        <color theme="1"/>
        <rFont val="Times New Roman"/>
        <family val="1"/>
      </rPr>
      <t>d</t>
    </r>
  </si>
  <si>
    <r>
      <t xml:space="preserve">Repeat of Performance Test </t>
    </r>
    <r>
      <rPr>
        <vertAlign val="superscript"/>
        <sz val="9"/>
        <color theme="1"/>
        <rFont val="Times New Roman"/>
        <family val="1"/>
      </rPr>
      <t>e</t>
    </r>
  </si>
  <si>
    <r>
      <t xml:space="preserve">24 hour tests for Gas Units </t>
    </r>
    <r>
      <rPr>
        <b/>
        <vertAlign val="superscript"/>
        <sz val="9"/>
        <color theme="1"/>
        <rFont val="Times New Roman"/>
        <family val="1"/>
      </rPr>
      <t>d</t>
    </r>
  </si>
  <si>
    <r>
      <t xml:space="preserve">Report of Initial Performance Test </t>
    </r>
    <r>
      <rPr>
        <b/>
        <vertAlign val="superscript"/>
        <sz val="9"/>
        <color theme="1"/>
        <rFont val="Times New Roman"/>
        <family val="1"/>
      </rPr>
      <t>d</t>
    </r>
  </si>
  <si>
    <r>
      <t>SO</t>
    </r>
    <r>
      <rPr>
        <b/>
        <vertAlign val="subscript"/>
        <sz val="9"/>
        <color theme="1"/>
        <rFont val="Times New Roman"/>
        <family val="1"/>
      </rPr>
      <t>2</t>
    </r>
  </si>
  <si>
    <t>PM</t>
  </si>
  <si>
    <r>
      <t>NO</t>
    </r>
    <r>
      <rPr>
        <b/>
        <vertAlign val="subscript"/>
        <sz val="9"/>
        <color theme="1"/>
        <rFont val="Times New Roman"/>
        <family val="1"/>
      </rPr>
      <t>x</t>
    </r>
  </si>
  <si>
    <r>
      <t xml:space="preserve">Notification of CEMS Demonstration </t>
    </r>
    <r>
      <rPr>
        <b/>
        <vertAlign val="superscript"/>
        <sz val="9"/>
        <color theme="1"/>
        <rFont val="Times New Roman"/>
        <family val="1"/>
      </rPr>
      <t>d</t>
    </r>
  </si>
  <si>
    <r>
      <t xml:space="preserve">Demonstration of CEMS </t>
    </r>
    <r>
      <rPr>
        <b/>
        <vertAlign val="superscript"/>
        <sz val="9"/>
        <color theme="1"/>
        <rFont val="Times New Roman"/>
        <family val="1"/>
      </rPr>
      <t>d</t>
    </r>
  </si>
  <si>
    <r>
      <t xml:space="preserve">Repeat Demonstration of CEMS </t>
    </r>
    <r>
      <rPr>
        <b/>
        <vertAlign val="superscript"/>
        <sz val="9"/>
        <color theme="1"/>
        <rFont val="Times New Roman"/>
        <family val="1"/>
      </rPr>
      <t>d, e</t>
    </r>
  </si>
  <si>
    <r>
      <t xml:space="preserve">Report of CEMS Demonstration </t>
    </r>
    <r>
      <rPr>
        <b/>
        <vertAlign val="superscript"/>
        <sz val="9"/>
        <color theme="1"/>
        <rFont val="Times New Roman"/>
        <family val="1"/>
      </rPr>
      <t>d</t>
    </r>
  </si>
  <si>
    <t>See 3B</t>
  </si>
  <si>
    <r>
      <t>Reports for SO</t>
    </r>
    <r>
      <rPr>
        <b/>
        <vertAlign val="subscript"/>
        <sz val="9"/>
        <color theme="1"/>
        <rFont val="Times New Roman"/>
        <family val="1"/>
      </rPr>
      <t>2</t>
    </r>
    <r>
      <rPr>
        <b/>
        <vertAlign val="superscript"/>
        <sz val="9"/>
        <color theme="1"/>
        <rFont val="Times New Roman"/>
        <family val="1"/>
      </rPr>
      <t>f</t>
    </r>
  </si>
  <si>
    <r>
      <t xml:space="preserve">Quarterly </t>
    </r>
    <r>
      <rPr>
        <b/>
        <vertAlign val="superscript"/>
        <sz val="9"/>
        <color theme="1"/>
        <rFont val="Times New Roman"/>
        <family val="1"/>
      </rPr>
      <t>g</t>
    </r>
  </si>
  <si>
    <t>Semiannual</t>
  </si>
  <si>
    <r>
      <t xml:space="preserve">Reports for PM </t>
    </r>
    <r>
      <rPr>
        <b/>
        <vertAlign val="superscript"/>
        <sz val="9"/>
        <color theme="1"/>
        <rFont val="Times New Roman"/>
        <family val="1"/>
      </rPr>
      <t>f, h</t>
    </r>
  </si>
  <si>
    <t>Excess</t>
  </si>
  <si>
    <t>No Excess</t>
  </si>
  <si>
    <r>
      <t>Reports for NO</t>
    </r>
    <r>
      <rPr>
        <b/>
        <vertAlign val="subscript"/>
        <sz val="9"/>
        <color theme="1"/>
        <rFont val="Times New Roman"/>
        <family val="1"/>
      </rPr>
      <t xml:space="preserve">x </t>
    </r>
    <r>
      <rPr>
        <b/>
        <vertAlign val="superscript"/>
        <sz val="9"/>
        <color theme="1"/>
        <rFont val="Times New Roman"/>
        <family val="1"/>
      </rPr>
      <t>f, h</t>
    </r>
  </si>
  <si>
    <t>CEMS Compliance</t>
  </si>
  <si>
    <r>
      <t xml:space="preserve">Appendix F Report </t>
    </r>
    <r>
      <rPr>
        <b/>
        <vertAlign val="superscript"/>
        <sz val="9"/>
        <color theme="1"/>
        <rFont val="Times New Roman"/>
        <family val="1"/>
      </rPr>
      <t>f</t>
    </r>
  </si>
  <si>
    <r>
      <t>Annual Compliance Tests for NO</t>
    </r>
    <r>
      <rPr>
        <b/>
        <vertAlign val="subscript"/>
        <sz val="9"/>
        <color theme="1"/>
        <rFont val="Times New Roman"/>
        <family val="1"/>
      </rPr>
      <t xml:space="preserve">x </t>
    </r>
    <r>
      <rPr>
        <b/>
        <vertAlign val="superscript"/>
        <sz val="9"/>
        <color theme="1"/>
        <rFont val="Times New Roman"/>
        <family val="1"/>
      </rPr>
      <t>f</t>
    </r>
  </si>
  <si>
    <r>
      <t xml:space="preserve">Appendix F Annual Accuracy Test </t>
    </r>
    <r>
      <rPr>
        <b/>
        <vertAlign val="superscript"/>
        <sz val="9"/>
        <color theme="1"/>
        <rFont val="Times New Roman"/>
        <family val="1"/>
      </rPr>
      <t>f</t>
    </r>
  </si>
  <si>
    <r>
      <t xml:space="preserve">Appendix F Audits </t>
    </r>
    <r>
      <rPr>
        <b/>
        <vertAlign val="superscript"/>
        <sz val="9"/>
        <color theme="1"/>
        <rFont val="Times New Roman"/>
        <family val="1"/>
      </rPr>
      <t>f, i</t>
    </r>
  </si>
  <si>
    <r>
      <t>SO</t>
    </r>
    <r>
      <rPr>
        <b/>
        <vertAlign val="subscript"/>
        <sz val="9"/>
        <color theme="1"/>
        <rFont val="Times New Roman"/>
        <family val="1"/>
      </rPr>
      <t>2</t>
    </r>
    <r>
      <rPr>
        <sz val="9"/>
        <color theme="1"/>
        <rFont val="Times New Roman"/>
        <family val="1"/>
      </rPr>
      <t xml:space="preserve"> - In Situ</t>
    </r>
  </si>
  <si>
    <r>
      <t>SO</t>
    </r>
    <r>
      <rPr>
        <b/>
        <vertAlign val="subscript"/>
        <sz val="9"/>
        <color theme="1"/>
        <rFont val="Times New Roman"/>
        <family val="1"/>
      </rPr>
      <t>2</t>
    </r>
    <r>
      <rPr>
        <sz val="9"/>
        <color theme="1"/>
        <rFont val="Times New Roman"/>
        <family val="1"/>
      </rPr>
      <t xml:space="preserve"> – Extractive</t>
    </r>
  </si>
  <si>
    <r>
      <t>SO</t>
    </r>
    <r>
      <rPr>
        <b/>
        <vertAlign val="subscript"/>
        <sz val="9"/>
        <color theme="1"/>
        <rFont val="Times New Roman"/>
        <family val="1"/>
      </rPr>
      <t>2</t>
    </r>
    <r>
      <rPr>
        <sz val="9"/>
        <color theme="1"/>
        <rFont val="Times New Roman"/>
        <family val="1"/>
      </rPr>
      <t xml:space="preserve"> - Extractive</t>
    </r>
  </si>
  <si>
    <r>
      <t>NO</t>
    </r>
    <r>
      <rPr>
        <b/>
        <vertAlign val="subscript"/>
        <sz val="9"/>
        <color theme="1"/>
        <rFont val="Times New Roman"/>
        <family val="1"/>
      </rPr>
      <t>x</t>
    </r>
    <r>
      <rPr>
        <sz val="9"/>
        <color theme="1"/>
        <rFont val="Times New Roman"/>
        <family val="1"/>
      </rPr>
      <t xml:space="preserve"> - In Situ</t>
    </r>
  </si>
  <si>
    <r>
      <t>NO</t>
    </r>
    <r>
      <rPr>
        <b/>
        <vertAlign val="subscript"/>
        <sz val="9"/>
        <color theme="1"/>
        <rFont val="Times New Roman"/>
        <family val="1"/>
      </rPr>
      <t>x</t>
    </r>
    <r>
      <rPr>
        <sz val="9"/>
        <color theme="1"/>
        <rFont val="Times New Roman"/>
        <family val="1"/>
      </rPr>
      <t xml:space="preserve"> - Extractive</t>
    </r>
  </si>
  <si>
    <r>
      <t xml:space="preserve">C. Create Information </t>
    </r>
    <r>
      <rPr>
        <b/>
        <vertAlign val="superscript"/>
        <sz val="9"/>
        <color theme="1"/>
        <rFont val="Times New Roman"/>
        <family val="1"/>
      </rPr>
      <t>d</t>
    </r>
  </si>
  <si>
    <t>D. Gather Existing Information</t>
  </si>
  <si>
    <t>E. Write Report</t>
  </si>
  <si>
    <r>
      <t xml:space="preserve">        Notify of construction/reconstruction </t>
    </r>
    <r>
      <rPr>
        <vertAlign val="superscript"/>
        <sz val="9"/>
        <color theme="1"/>
        <rFont val="Times New Roman"/>
        <family val="1"/>
      </rPr>
      <t xml:space="preserve">d </t>
    </r>
    <r>
      <rPr>
        <sz val="9"/>
        <color theme="1"/>
        <rFont val="Times New Roman"/>
        <family val="1"/>
      </rPr>
      <t xml:space="preserve">                                    </t>
    </r>
  </si>
  <si>
    <r>
      <t xml:space="preserve">        Notify of Anticipated Startup </t>
    </r>
    <r>
      <rPr>
        <vertAlign val="superscript"/>
        <sz val="9"/>
        <color theme="1"/>
        <rFont val="Times New Roman"/>
        <family val="1"/>
      </rPr>
      <t>d</t>
    </r>
  </si>
  <si>
    <r>
      <t xml:space="preserve">        Notify of Actual Startup </t>
    </r>
    <r>
      <rPr>
        <vertAlign val="superscript"/>
        <sz val="9"/>
        <color theme="1"/>
        <rFont val="Times New Roman"/>
        <family val="1"/>
      </rPr>
      <t>d</t>
    </r>
  </si>
  <si>
    <r>
      <t xml:space="preserve">        Monitoring Plan </t>
    </r>
    <r>
      <rPr>
        <vertAlign val="superscript"/>
        <sz val="9"/>
        <color theme="1"/>
        <rFont val="Times New Roman"/>
        <family val="1"/>
      </rPr>
      <t>d</t>
    </r>
  </si>
  <si>
    <r>
      <t xml:space="preserve">        Notification of initial performance test </t>
    </r>
    <r>
      <rPr>
        <vertAlign val="superscript"/>
        <sz val="9"/>
        <color theme="1"/>
        <rFont val="Times New Roman"/>
        <family val="1"/>
      </rPr>
      <t>d</t>
    </r>
  </si>
  <si>
    <r>
      <t xml:space="preserve">                        SO</t>
    </r>
    <r>
      <rPr>
        <b/>
        <vertAlign val="subscript"/>
        <sz val="9"/>
        <color theme="1"/>
        <rFont val="Times New Roman"/>
        <family val="1"/>
      </rPr>
      <t>2</t>
    </r>
  </si>
  <si>
    <t xml:space="preserve">                        PM</t>
  </si>
  <si>
    <r>
      <t xml:space="preserve">                        NO</t>
    </r>
    <r>
      <rPr>
        <b/>
        <vertAlign val="subscript"/>
        <sz val="9"/>
        <color theme="1"/>
        <rFont val="Times New Roman"/>
        <family val="1"/>
      </rPr>
      <t>x</t>
    </r>
  </si>
  <si>
    <t xml:space="preserve">Subtotal for Reporting Requirements </t>
  </si>
  <si>
    <t>4. Recordkeeping Requirements</t>
  </si>
  <si>
    <t xml:space="preserve">    B. Plan activities</t>
  </si>
  <si>
    <t xml:space="preserve">    C. Implement activities</t>
  </si>
  <si>
    <t xml:space="preserve">    D. Develop record system</t>
  </si>
  <si>
    <t xml:space="preserve">    E. Time to enter information</t>
  </si>
  <si>
    <t xml:space="preserve">    F. Records of startup, shutdown, malfunction                           </t>
  </si>
  <si>
    <t>G. Records of All Measurements</t>
  </si>
  <si>
    <t>Subtotal for Recordkeeping Requirements</t>
  </si>
  <si>
    <t>(A) Hours per Occurrence</t>
  </si>
  <si>
    <t>(B) Number of occurrences per respondent per year</t>
  </si>
  <si>
    <t>(C) Hours per respondent per year (AxB)</t>
  </si>
  <si>
    <r>
      <t xml:space="preserve">(D) Respondents per Year </t>
    </r>
    <r>
      <rPr>
        <b/>
        <vertAlign val="superscript"/>
        <sz val="9"/>
        <color theme="1"/>
        <rFont val="Times New Roman"/>
        <family val="1"/>
      </rPr>
      <t>a</t>
    </r>
  </si>
  <si>
    <t>(E) Technical hours per year (CxD)</t>
  </si>
  <si>
    <t>(F) Management hours per year (Ex0.05)</t>
  </si>
  <si>
    <t>(G) Clerical hours per year (Ex0.1)</t>
  </si>
  <si>
    <r>
      <t>(H) Total cost per year, $</t>
    </r>
    <r>
      <rPr>
        <b/>
        <vertAlign val="superscript"/>
        <sz val="9"/>
        <color theme="1"/>
        <rFont val="Times New Roman"/>
        <family val="1"/>
      </rPr>
      <t>b</t>
    </r>
  </si>
  <si>
    <t>Existing</t>
  </si>
  <si>
    <t>New</t>
  </si>
  <si>
    <t>Total</t>
  </si>
  <si>
    <t>Respondents</t>
  </si>
  <si>
    <t>SO2</t>
  </si>
  <si>
    <t>NOX</t>
  </si>
  <si>
    <t>A. Familiarization with the regulatory requirements</t>
  </si>
  <si>
    <t xml:space="preserve">    A. Familiarization with the regulatory requirements</t>
  </si>
  <si>
    <t>Update: All respondents must reread the instructions</t>
  </si>
  <si>
    <t>Gas-fired (NOX)</t>
  </si>
  <si>
    <t>Coal-fired (SO2,NOX,PM)</t>
  </si>
  <si>
    <t>Biomass-fired (PM, NOX)</t>
  </si>
  <si>
    <t>New_Reorganized</t>
  </si>
  <si>
    <t>Existing and New</t>
  </si>
  <si>
    <t>Updates:</t>
  </si>
  <si>
    <t>Labor Rates</t>
  </si>
  <si>
    <t>Respondent Universe</t>
  </si>
  <si>
    <t>Assumptions:</t>
  </si>
  <si>
    <t xml:space="preserve"> group.”  The rates are from column 1, “Total compensation.”  The rates have been increased by 110 percent to account for the benefit packages available to those</t>
  </si>
  <si>
    <t xml:space="preserve"> employed by private industry.  This ICR assumes that Managerial hours are 5 percent of Technical hours, and Clerical hours are 10 percent of Technical hours.</t>
  </si>
  <si>
    <t xml:space="preserve"> of all new sources will submit a monitoring plan.</t>
  </si>
  <si>
    <r>
      <t>e.</t>
    </r>
    <r>
      <rPr>
        <sz val="10"/>
        <color theme="1"/>
        <rFont val="Times New Roman"/>
        <family val="1"/>
      </rPr>
      <t xml:space="preserve">  Assume 20 percent of initial performance tests and CEMS demonstrations are repeated due to failures.</t>
    </r>
  </si>
  <si>
    <r>
      <t>g.</t>
    </r>
    <r>
      <rPr>
        <sz val="10"/>
        <color theme="1"/>
        <rFont val="Times New Roman"/>
        <family val="1"/>
      </rPr>
      <t xml:space="preserve">  Assume that 20 percent of respondents will choose to report quarterly.</t>
    </r>
  </si>
  <si>
    <r>
      <t>h.</t>
    </r>
    <r>
      <rPr>
        <sz val="10"/>
        <color theme="1"/>
        <rFont val="Times New Roman"/>
        <family val="1"/>
      </rPr>
      <t xml:space="preserve">  Assume the 20 percent of units are found to be in excess of emission standard and 80 percent are found not to be in excess.</t>
    </r>
  </si>
  <si>
    <r>
      <t>i.</t>
    </r>
    <r>
      <rPr>
        <sz val="10"/>
        <color theme="1"/>
        <rFont val="Times New Roman"/>
        <family val="1"/>
      </rPr>
      <t xml:space="preserve">  Assume that 25 percent of units have in situ CEMS and 75 percent have extractive CEMS.</t>
    </r>
  </si>
  <si>
    <t xml:space="preserve"> These rates are from the United States Department of Labor, Bureau of Labor Statistics, September 2015, “Table 2. Civilian Workers, by occupational and industry</t>
  </si>
  <si>
    <r>
      <t>b.</t>
    </r>
    <r>
      <rPr>
        <sz val="10"/>
        <color theme="1"/>
        <rFont val="Times New Roman"/>
        <family val="1"/>
      </rPr>
      <t xml:space="preserve">  This ICR uses the following labor rates: Technical $106.45 ($50.69 + 110%); Managerial $138.43 ($65.92+ 110%) ; and Clerical $52.77 ($25.13 + 110%).</t>
    </r>
  </si>
  <si>
    <r>
      <rPr>
        <vertAlign val="superscript"/>
        <sz val="10"/>
        <color theme="1"/>
        <rFont val="Times New Roman"/>
        <family val="1"/>
      </rPr>
      <t>j.</t>
    </r>
    <r>
      <rPr>
        <sz val="10"/>
        <color theme="1"/>
        <rFont val="Times New Roman"/>
        <family val="1"/>
      </rPr>
      <t xml:space="preserve"> Totals have been rounded to 3 significant figures. Figures may not add exactly due to rounding.</t>
    </r>
  </si>
  <si>
    <r>
      <t xml:space="preserve">TOTAL COST: </t>
    </r>
    <r>
      <rPr>
        <b/>
        <vertAlign val="superscript"/>
        <sz val="8"/>
        <rFont val="Times New Roman"/>
        <family val="1"/>
      </rPr>
      <t>j</t>
    </r>
  </si>
  <si>
    <r>
      <t xml:space="preserve">Capital and O&amp;M Cost (see Section 6(b)(iii)): </t>
    </r>
    <r>
      <rPr>
        <b/>
        <vertAlign val="superscript"/>
        <sz val="8"/>
        <rFont val="Times New Roman"/>
        <family val="1"/>
      </rPr>
      <t>j</t>
    </r>
  </si>
  <si>
    <r>
      <t xml:space="preserve">TOTAL LABOR BURDEN AND COST (rounded) </t>
    </r>
    <r>
      <rPr>
        <b/>
        <vertAlign val="superscript"/>
        <sz val="9"/>
        <color theme="1"/>
        <rFont val="Times New Roman"/>
        <family val="1"/>
      </rPr>
      <t>j</t>
    </r>
  </si>
  <si>
    <r>
      <t xml:space="preserve">Report review for construction, anticipated startup, actual startup </t>
    </r>
    <r>
      <rPr>
        <b/>
        <vertAlign val="superscript"/>
        <sz val="9"/>
        <color theme="1"/>
        <rFont val="Times New Roman"/>
        <family val="1"/>
      </rPr>
      <t>c</t>
    </r>
  </si>
  <si>
    <r>
      <t xml:space="preserve">Review  notification of initial test </t>
    </r>
    <r>
      <rPr>
        <vertAlign val="superscript"/>
        <sz val="9"/>
        <color theme="1"/>
        <rFont val="Times New Roman"/>
        <family val="1"/>
      </rPr>
      <t>c</t>
    </r>
  </si>
  <si>
    <r>
      <t>SO</t>
    </r>
    <r>
      <rPr>
        <b/>
        <vertAlign val="subscript"/>
        <sz val="9"/>
        <color theme="1"/>
        <rFont val="Times New Roman"/>
        <family val="1"/>
      </rPr>
      <t>2</t>
    </r>
    <r>
      <rPr>
        <b/>
        <vertAlign val="superscript"/>
        <sz val="9"/>
        <color theme="1"/>
        <rFont val="Times New Roman"/>
        <family val="1"/>
      </rPr>
      <t>d</t>
    </r>
  </si>
  <si>
    <r>
      <t xml:space="preserve">PM </t>
    </r>
    <r>
      <rPr>
        <b/>
        <vertAlign val="superscript"/>
        <sz val="9"/>
        <color theme="1"/>
        <rFont val="Times New Roman"/>
        <family val="1"/>
      </rPr>
      <t>d</t>
    </r>
  </si>
  <si>
    <r>
      <t xml:space="preserve">Nox </t>
    </r>
    <r>
      <rPr>
        <b/>
        <vertAlign val="superscript"/>
        <sz val="9"/>
        <color theme="1"/>
        <rFont val="Times New Roman"/>
        <family val="1"/>
      </rPr>
      <t>d</t>
    </r>
  </si>
  <si>
    <r>
      <t xml:space="preserve">Review initial test results </t>
    </r>
    <r>
      <rPr>
        <vertAlign val="superscript"/>
        <sz val="9"/>
        <color theme="1"/>
        <rFont val="Times New Roman"/>
        <family val="1"/>
      </rPr>
      <t>c</t>
    </r>
  </si>
  <si>
    <r>
      <t xml:space="preserve">Review notification of CMS demonstration </t>
    </r>
    <r>
      <rPr>
        <vertAlign val="superscript"/>
        <sz val="9"/>
        <color theme="1"/>
        <rFont val="Times New Roman"/>
        <family val="1"/>
      </rPr>
      <t>c</t>
    </r>
  </si>
  <si>
    <r>
      <t xml:space="preserve">Review CMS performance demonstration </t>
    </r>
    <r>
      <rPr>
        <vertAlign val="superscript"/>
        <sz val="9"/>
        <color theme="1"/>
        <rFont val="Times New Roman"/>
        <family val="1"/>
      </rPr>
      <t>c</t>
    </r>
  </si>
  <si>
    <r>
      <t xml:space="preserve">Review monitoring plan </t>
    </r>
    <r>
      <rPr>
        <b/>
        <vertAlign val="superscript"/>
        <sz val="9"/>
        <color theme="1"/>
        <rFont val="Times New Roman"/>
        <family val="1"/>
      </rPr>
      <t>c</t>
    </r>
  </si>
  <si>
    <r>
      <t xml:space="preserve">Review NOx compliance reports </t>
    </r>
    <r>
      <rPr>
        <b/>
        <vertAlign val="superscript"/>
        <sz val="9"/>
        <color theme="1"/>
        <rFont val="Times New Roman"/>
        <family val="1"/>
      </rPr>
      <t>e, f</t>
    </r>
  </si>
  <si>
    <t>Quarterly</t>
  </si>
  <si>
    <r>
      <t>Review SO</t>
    </r>
    <r>
      <rPr>
        <b/>
        <vertAlign val="subscript"/>
        <sz val="9"/>
        <color theme="1"/>
        <rFont val="Times New Roman"/>
        <family val="1"/>
      </rPr>
      <t>2</t>
    </r>
    <r>
      <rPr>
        <sz val="9"/>
        <color theme="1"/>
        <rFont val="Times New Roman"/>
        <family val="1"/>
      </rPr>
      <t xml:space="preserve"> compliance reports </t>
    </r>
    <r>
      <rPr>
        <b/>
        <vertAlign val="superscript"/>
        <sz val="9"/>
        <color theme="1"/>
        <rFont val="Times New Roman"/>
        <family val="1"/>
      </rPr>
      <t>e, f</t>
    </r>
  </si>
  <si>
    <r>
      <t xml:space="preserve">Review excess emissions reports </t>
    </r>
    <r>
      <rPr>
        <b/>
        <vertAlign val="superscript"/>
        <sz val="9"/>
        <color theme="1"/>
        <rFont val="Times New Roman"/>
        <family val="1"/>
      </rPr>
      <t>e, f</t>
    </r>
  </si>
  <si>
    <t xml:space="preserve">                   Quarterly</t>
  </si>
  <si>
    <t xml:space="preserve">                   Semiannual</t>
  </si>
  <si>
    <t>NOx</t>
  </si>
  <si>
    <t xml:space="preserve">                  Quarterly</t>
  </si>
  <si>
    <t xml:space="preserve">                  Semiannual</t>
  </si>
  <si>
    <r>
      <t xml:space="preserve">Review appendix F QA data assessment reports </t>
    </r>
    <r>
      <rPr>
        <b/>
        <vertAlign val="superscript"/>
        <sz val="9"/>
        <color theme="1"/>
        <rFont val="Times New Roman"/>
        <family val="1"/>
      </rPr>
      <t>e</t>
    </r>
  </si>
  <si>
    <t>(A) EPA hours per occurrence</t>
  </si>
  <si>
    <t>(B) Number of occurrences per plant per year</t>
  </si>
  <si>
    <t>(C) EPA hours per plant per year (AxB)</t>
  </si>
  <si>
    <r>
      <t xml:space="preserve">(D) Plants per year </t>
    </r>
    <r>
      <rPr>
        <b/>
        <vertAlign val="superscript"/>
        <sz val="9"/>
        <color theme="1"/>
        <rFont val="Times New Roman"/>
        <family val="1"/>
      </rPr>
      <t>a</t>
    </r>
  </si>
  <si>
    <t>(E) EPA Technical hours per plant per year (CxD)</t>
  </si>
  <si>
    <t>(F) EPA Managerial hours per year (Ex0.05)</t>
  </si>
  <si>
    <t>(G) EPA Clerical hours per year (Ex0.1)</t>
  </si>
  <si>
    <r>
      <t xml:space="preserve">(H) Total cost per year </t>
    </r>
    <r>
      <rPr>
        <b/>
        <vertAlign val="superscript"/>
        <sz val="9"/>
        <color theme="1"/>
        <rFont val="Times New Roman"/>
        <family val="1"/>
      </rPr>
      <t>b</t>
    </r>
  </si>
  <si>
    <t xml:space="preserve"> percent to account for the benefit packages available to government employees.</t>
  </si>
  <si>
    <r>
      <t>c.</t>
    </r>
    <r>
      <rPr>
        <sz val="10"/>
        <color theme="1"/>
        <rFont val="Times New Roman"/>
        <family val="1"/>
      </rPr>
      <t xml:space="preserve">  All new plants subject to the standard must provide reports of these events as required by section 60.7.  These are one-time-only costs associated with the</t>
    </r>
  </si>
  <si>
    <t xml:space="preserve"> monitoring plan.</t>
  </si>
  <si>
    <r>
      <t>f.</t>
    </r>
    <r>
      <rPr>
        <sz val="10"/>
        <color theme="1"/>
        <rFont val="Times New Roman"/>
        <family val="1"/>
      </rPr>
      <t xml:space="preserve">  We assume that 20 percent of respondents will choose to report quarterly.</t>
    </r>
  </si>
  <si>
    <r>
      <rPr>
        <vertAlign val="superscript"/>
        <sz val="10"/>
        <color theme="1"/>
        <rFont val="Times New Roman"/>
        <family val="1"/>
      </rPr>
      <t>g.</t>
    </r>
    <r>
      <rPr>
        <sz val="10"/>
        <color theme="1"/>
        <rFont val="Times New Roman"/>
        <family val="1"/>
      </rPr>
      <t xml:space="preserve"> Totals have been rounded to 3 significant figures. Figures may not add exactly due to rounding.</t>
    </r>
  </si>
  <si>
    <t>and Clerical $25.76 (GS-6, Step 3, $16.10 + 60%).  This ICR assumes that Managerial hours are 5 percent of Technical hours, and Clerical hours are 10</t>
  </si>
  <si>
    <t xml:space="preserve"> percent of Technical hours.  These rates are from the OPM, 2016 General Schedule, which excludes locality, rates of pay.  The rates have been increased by 60</t>
  </si>
  <si>
    <r>
      <t>b.</t>
    </r>
    <r>
      <rPr>
        <sz val="10"/>
        <color theme="1"/>
        <rFont val="Times New Roman"/>
        <family val="1"/>
      </rPr>
      <t xml:space="preserve">  This cost is based on the average hourly labor rate as follows: Technical $47.62 (GS-12, Step 1, $29.76 + 60%); Managerial $64.16 (GS-13, Step 5, $40.10 + 60%);</t>
    </r>
  </si>
  <si>
    <t>hr per resp</t>
  </si>
  <si>
    <t>Docket ID: EPA-HQ-OAR-2002-0058-XXXX</t>
  </si>
  <si>
    <t>From: ERG, November 2011. "Revised New Unit Analysis Industrial, Commercial, and Institutional Boilers and Process Heaters National Emission Standards for Hazardous Air Pollutants –Major Source."</t>
  </si>
  <si>
    <t>Model Indentifier</t>
  </si>
  <si>
    <t>Sector</t>
  </si>
  <si>
    <t>Standard Fuel Category</t>
  </si>
  <si>
    <t>Average Annual Operation Hours</t>
  </si>
  <si>
    <t>Average Design Capacity (mmBtu/hr)</t>
  </si>
  <si>
    <t>Design Capacity Size Category (mmBtu/hr)</t>
  </si>
  <si>
    <t>Annual Energy Consumption (MMBtu/yr)</t>
  </si>
  <si>
    <t>Number of Existing Units</t>
  </si>
  <si>
    <t>Projected Annual Energy Consumption (MMBtu/yr)</t>
  </si>
  <si>
    <t>Estimated Number of New Units</t>
  </si>
  <si>
    <t>IndBagasseBlr1</t>
  </si>
  <si>
    <t>Industrial</t>
  </si>
  <si>
    <t>Bagasse</t>
  </si>
  <si>
    <t>100 to 250</t>
  </si>
  <si>
    <t>IndBagasseBlr2</t>
  </si>
  <si>
    <t>&gt;250</t>
  </si>
  <si>
    <t>IndBiomassBlr5</t>
  </si>
  <si>
    <t>Biomass</t>
  </si>
  <si>
    <t>IndBiomassBlr6</t>
  </si>
  <si>
    <t>IndCoalBlr3</t>
  </si>
  <si>
    <t>Coal</t>
  </si>
  <si>
    <t>IndCoalBlr4</t>
  </si>
  <si>
    <t>IndGas1Blr5</t>
  </si>
  <si>
    <t>Gas 1</t>
  </si>
  <si>
    <t>IndGas1Blr6</t>
  </si>
  <si>
    <t>IndMtlFurnBlr5</t>
  </si>
  <si>
    <t>Gas 1 - Metal Furnace</t>
  </si>
  <si>
    <t>IndMtlFurnBlr6</t>
  </si>
  <si>
    <t>IndProcGasBlr5</t>
  </si>
  <si>
    <t>Process Gas</t>
  </si>
  <si>
    <t>IndProcGasBlr6</t>
  </si>
  <si>
    <t>Biomass-Fired Units</t>
  </si>
  <si>
    <t>Coal-Fired Units</t>
  </si>
  <si>
    <t>Gas-Fired Units</t>
  </si>
  <si>
    <t>ComBagasseBlr1</t>
  </si>
  <si>
    <t>Commercial</t>
  </si>
  <si>
    <t>ComBagasseBlr2</t>
  </si>
  <si>
    <t>ComBiomassBlr2</t>
  </si>
  <si>
    <t>ComCoalBlr3</t>
  </si>
  <si>
    <t>ComCoalBlr4</t>
  </si>
  <si>
    <t>ComGas1Blr5</t>
  </si>
  <si>
    <t>ComGas1Blr6</t>
  </si>
  <si>
    <t>New per year</t>
  </si>
  <si>
    <t>New (2008 to 2015)</t>
  </si>
  <si>
    <r>
      <t>d.</t>
    </r>
    <r>
      <rPr>
        <sz val="10"/>
        <color theme="1"/>
        <rFont val="Times New Roman"/>
        <family val="1"/>
      </rPr>
      <t xml:space="preserve">  One-time only costs associated with the anticipated 37 new sources per year over the next three years.  According to the 2003 ICR renewal, approximately half</t>
    </r>
  </si>
  <si>
    <r>
      <t>c.</t>
    </r>
    <r>
      <rPr>
        <sz val="10"/>
        <color theme="1"/>
        <rFont val="Times New Roman"/>
        <family val="1"/>
      </rPr>
      <t xml:space="preserve">  EPA estimates that there will be 33 new gas-fired steam generating units per year (which require NO</t>
    </r>
    <r>
      <rPr>
        <vertAlign val="subscript"/>
        <sz val="10"/>
        <color theme="1"/>
        <rFont val="Times New Roman"/>
        <family val="1"/>
      </rPr>
      <t>x</t>
    </r>
    <r>
      <rPr>
        <sz val="10"/>
        <color theme="1"/>
        <rFont val="Times New Roman"/>
        <family val="1"/>
      </rPr>
      <t xml:space="preserve"> controls), 0 new coal-fired steam generating units per</t>
    </r>
  </si>
  <si>
    <r>
      <t xml:space="preserve"> year (which require SO</t>
    </r>
    <r>
      <rPr>
        <vertAlign val="subscript"/>
        <sz val="10"/>
        <color theme="1"/>
        <rFont val="Times New Roman"/>
        <family val="1"/>
      </rPr>
      <t>2</t>
    </r>
    <r>
      <rPr>
        <sz val="10"/>
        <color theme="1"/>
        <rFont val="Times New Roman"/>
        <family val="1"/>
      </rPr>
      <t>, NO</t>
    </r>
    <r>
      <rPr>
        <vertAlign val="subscript"/>
        <sz val="10"/>
        <color theme="1"/>
        <rFont val="Times New Roman"/>
        <family val="1"/>
      </rPr>
      <t>x</t>
    </r>
    <r>
      <rPr>
        <sz val="10"/>
        <color theme="1"/>
        <rFont val="Times New Roman"/>
        <family val="1"/>
      </rPr>
      <t>, and PM controls), and 4 new biomass/wood-fired steam generating units per year (which require NO</t>
    </r>
    <r>
      <rPr>
        <vertAlign val="subscript"/>
        <sz val="10"/>
        <color theme="1"/>
        <rFont val="Times New Roman"/>
        <family val="1"/>
      </rPr>
      <t>x</t>
    </r>
    <r>
      <rPr>
        <sz val="10"/>
        <color theme="1"/>
        <rFont val="Times New Roman"/>
        <family val="1"/>
      </rPr>
      <t xml:space="preserve"> and PM controls).</t>
    </r>
  </si>
  <si>
    <t xml:space="preserve"> anticipated 37 new sources per year over the next three years.  According to the 2003 ICR renewal, approximately half of all new sources will submit a</t>
  </si>
  <si>
    <t>Number of Respondents</t>
  </si>
  <si>
    <t>Year</t>
  </si>
  <si>
    <t>(A)</t>
  </si>
  <si>
    <r>
      <t xml:space="preserve">Number of New Respondents </t>
    </r>
    <r>
      <rPr>
        <vertAlign val="superscript"/>
        <sz val="10"/>
        <color rgb="FF000000"/>
        <rFont val="Times New Roman"/>
        <family val="1"/>
      </rPr>
      <t>1</t>
    </r>
  </si>
  <si>
    <t>(B)</t>
  </si>
  <si>
    <t>Number of Existing Respondents</t>
  </si>
  <si>
    <t>(C)</t>
  </si>
  <si>
    <t>Number of Existing Respondents that keep records but do not submit reports</t>
  </si>
  <si>
    <t>(D)</t>
  </si>
  <si>
    <t>Number of Existing Respondents That Are Also New Respondents</t>
  </si>
  <si>
    <t>(E)</t>
  </si>
  <si>
    <t>(E=A+B+C-D)</t>
  </si>
  <si>
    <t>Average</t>
  </si>
  <si>
    <t>Update:</t>
  </si>
  <si>
    <r>
      <t>d.</t>
    </r>
    <r>
      <rPr>
        <sz val="10"/>
        <color theme="1"/>
        <rFont val="Times New Roman"/>
        <family val="1"/>
      </rPr>
      <t xml:space="preserve">  EPA estimates that there will be 33 new gas-fired steam generating units per year (which require NO</t>
    </r>
    <r>
      <rPr>
        <vertAlign val="subscript"/>
        <sz val="10"/>
        <color theme="1"/>
        <rFont val="Times New Roman"/>
        <family val="1"/>
      </rPr>
      <t>x</t>
    </r>
    <r>
      <rPr>
        <sz val="10"/>
        <color theme="1"/>
        <rFont val="Times New Roman"/>
        <family val="1"/>
      </rPr>
      <t xml:space="preserve"> controls), 0 new coal-fired steam generating units per</t>
    </r>
  </si>
  <si>
    <r>
      <t xml:space="preserve">TOTAL ANNUAL  BURDEN AND COST (rounded) </t>
    </r>
    <r>
      <rPr>
        <b/>
        <vertAlign val="superscript"/>
        <sz val="9"/>
        <color theme="1"/>
        <rFont val="Times New Roman"/>
        <family val="1"/>
      </rPr>
      <t>g</t>
    </r>
  </si>
  <si>
    <t>Existing and New (Previous ICR)</t>
  </si>
  <si>
    <t>*added new units from previous ICR for last year, then new units for this ICR, to get the correct existing and new unit counts.</t>
  </si>
  <si>
    <r>
      <t>e.</t>
    </r>
    <r>
      <rPr>
        <sz val="10"/>
        <color theme="1"/>
        <rFont val="Times New Roman"/>
        <family val="1"/>
      </rPr>
      <t xml:space="preserve">   According to the 2003 ICR renewal, there are 640 sources that must report SO2 emissions,  622 sources that must report PM emissions, and 1,322 sources that 
must report NOx emissions.  Because these existing source estimates were from 2003, this ICR renewal adds additional sources, based on note (b), to account for
 new steam generating units built since 2003. Using this approach, EPA estimates 130, 198, and 524 additional sources must report SO2, PM, and NOx emissions, 
respectively.
</t>
    </r>
  </si>
  <si>
    <r>
      <t>f.</t>
    </r>
    <r>
      <rPr>
        <sz val="10"/>
        <color theme="1"/>
        <rFont val="Times New Roman"/>
        <family val="1"/>
      </rPr>
      <t xml:space="preserve">  According to the 2003 ICR renewal, there are 640 sources that must report SO2 emissions,  622 sources that must report PM emissions, and 1,322 sources that 
must report NOx emissions.  Because these existing source estimates were from 2003, this ICR renewal adds additional sources, based on note (b), to account for
 new steam generating units built since 2003. Using this approach, EPA estimates 130, 198, and 524 additional sources must report SO2, PM, and NOx emissions, 
respectively.
</t>
    </r>
  </si>
  <si>
    <r>
      <t>a.</t>
    </r>
    <r>
      <rPr>
        <sz val="10"/>
        <color theme="1"/>
        <rFont val="Times New Roman"/>
        <family val="1"/>
      </rPr>
      <t xml:space="preserve">  We have assumed that the average number of respondents that will be subject to the rule will be 1,846.  There will be 37 additional new sources that will become subject to the rule over the three-year period of this ICR.</t>
    </r>
  </si>
  <si>
    <r>
      <t>a..</t>
    </r>
    <r>
      <rPr>
        <sz val="10"/>
        <color theme="1"/>
        <rFont val="Times New Roman"/>
        <family val="1"/>
      </rPr>
      <t xml:space="preserve">  We have assumed that the average number of respondents that will be subject to the rule will be 1,846.  There will be 37 additional new sources that will become subject to the rule over the three-year period of this ICR.</t>
    </r>
  </si>
</sst>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6" formatCode="&quot;$&quot;#,##0_);[Red]\(&quot;$&quot;#,##0\)"/>
    <numFmt numFmtId="8" formatCode="&quot;$&quot;#,##0.00_);[Red]\(&quot;$&quot;#,##0.00\)"/>
    <numFmt numFmtId="164" formatCode="#,##0.0"/>
    <numFmt numFmtId="165" formatCode="0.0"/>
  </numFmts>
  <fonts count="29" x14ac:knownFonts="1">
    <font>
      <sz val="11"/>
      <color theme="1"/>
      <name val="Calibri"/>
      <family val="2"/>
      <scheme val="minor"/>
    </font>
    <font>
      <sz val="10"/>
      <color theme="1"/>
      <name val="Times New Roman"/>
      <family val="1"/>
    </font>
    <font>
      <b/>
      <sz val="9"/>
      <color theme="1"/>
      <name val="Times New Roman"/>
      <family val="1"/>
    </font>
    <font>
      <b/>
      <vertAlign val="superscript"/>
      <sz val="9"/>
      <color theme="1"/>
      <name val="Times New Roman"/>
      <family val="1"/>
    </font>
    <font>
      <sz val="9"/>
      <color theme="1"/>
      <name val="Times New Roman"/>
      <family val="1"/>
    </font>
    <font>
      <vertAlign val="superscript"/>
      <sz val="9"/>
      <color theme="1"/>
      <name val="Times New Roman"/>
      <family val="1"/>
    </font>
    <font>
      <b/>
      <vertAlign val="subscript"/>
      <sz val="9"/>
      <color theme="1"/>
      <name val="Times New Roman"/>
      <family val="1"/>
    </font>
    <font>
      <b/>
      <i/>
      <sz val="9"/>
      <color theme="1"/>
      <name val="Times New Roman"/>
      <family val="1"/>
    </font>
    <font>
      <sz val="11"/>
      <color rgb="FFFF0000"/>
      <name val="Calibri"/>
      <family val="2"/>
      <scheme val="minor"/>
    </font>
    <font>
      <b/>
      <sz val="11"/>
      <color theme="1"/>
      <name val="Calibri"/>
      <family val="2"/>
      <scheme val="minor"/>
    </font>
    <font>
      <sz val="12"/>
      <color rgb="FF000000"/>
      <name val="Times New Roman"/>
      <family val="1"/>
    </font>
    <font>
      <sz val="12"/>
      <color theme="1"/>
      <name val="Times New Roman"/>
      <family val="1"/>
    </font>
    <font>
      <sz val="9"/>
      <color rgb="FF000000"/>
      <name val="Times New Roman"/>
      <family val="1"/>
    </font>
    <font>
      <b/>
      <sz val="8"/>
      <name val="Times New Roman"/>
      <family val="1"/>
    </font>
    <font>
      <u/>
      <sz val="10"/>
      <color theme="1"/>
      <name val="Times New Roman"/>
      <family val="1"/>
    </font>
    <font>
      <vertAlign val="superscript"/>
      <sz val="11"/>
      <color theme="1"/>
      <name val="Times New Roman"/>
      <family val="1"/>
    </font>
    <font>
      <vertAlign val="superscript"/>
      <sz val="10"/>
      <color theme="1"/>
      <name val="Times New Roman"/>
      <family val="1"/>
    </font>
    <font>
      <vertAlign val="subscript"/>
      <sz val="10"/>
      <color theme="1"/>
      <name val="Times New Roman"/>
      <family val="1"/>
    </font>
    <font>
      <b/>
      <vertAlign val="superscript"/>
      <sz val="8"/>
      <name val="Times New Roman"/>
      <family val="1"/>
    </font>
    <font>
      <b/>
      <sz val="9"/>
      <color rgb="FF000000"/>
      <name val="Times New Roman"/>
      <family val="1"/>
    </font>
    <font>
      <sz val="11"/>
      <color rgb="FF1F497D"/>
      <name val="Calibri"/>
      <family val="2"/>
      <scheme val="minor"/>
    </font>
    <font>
      <sz val="10"/>
      <color indexed="8"/>
      <name val="Arial"/>
      <family val="2"/>
    </font>
    <font>
      <b/>
      <sz val="8"/>
      <name val="Arial"/>
      <family val="2"/>
    </font>
    <font>
      <b/>
      <sz val="12"/>
      <name val="Arial"/>
      <family val="2"/>
    </font>
    <font>
      <sz val="8"/>
      <name val="Arial"/>
      <family val="2"/>
    </font>
    <font>
      <b/>
      <sz val="12"/>
      <color rgb="FF000000"/>
      <name val="Times New Roman"/>
      <family val="1"/>
    </font>
    <font>
      <sz val="10"/>
      <color rgb="FF000000"/>
      <name val="Times New Roman"/>
      <family val="1"/>
    </font>
    <font>
      <vertAlign val="superscript"/>
      <sz val="10"/>
      <color rgb="FF000000"/>
      <name val="Times New Roman"/>
      <family val="1"/>
    </font>
    <font>
      <b/>
      <i/>
      <sz val="10"/>
      <color theme="1"/>
      <name val="Times New Roman"/>
      <family val="1"/>
    </font>
  </fonts>
  <fills count="5">
    <fill>
      <patternFill patternType="none"/>
    </fill>
    <fill>
      <patternFill patternType="gray125"/>
    </fill>
    <fill>
      <patternFill patternType="solid">
        <fgColor indexed="22"/>
        <bgColor indexed="0"/>
      </patternFill>
    </fill>
    <fill>
      <patternFill patternType="solid">
        <fgColor indexed="22"/>
        <bgColor indexed="64"/>
      </patternFill>
    </fill>
    <fill>
      <patternFill patternType="solid">
        <fgColor rgb="FFFFFF00"/>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top/>
      <bottom style="medium">
        <color indexed="64"/>
      </bottom>
      <diagonal/>
    </border>
    <border>
      <left/>
      <right style="medium">
        <color indexed="64"/>
      </right>
      <top/>
      <bottom style="medium">
        <color indexed="64"/>
      </bottom>
      <diagonal/>
    </border>
  </borders>
  <cellStyleXfs count="2">
    <xf numFmtId="0" fontId="0" fillId="0" borderId="0"/>
    <xf numFmtId="0" fontId="21" fillId="0" borderId="0"/>
  </cellStyleXfs>
  <cellXfs count="128">
    <xf numFmtId="0" fontId="0" fillId="0" borderId="0" xfId="0"/>
    <xf numFmtId="0" fontId="2" fillId="0" borderId="1" xfId="0" applyFont="1" applyBorder="1" applyAlignment="1">
      <alignment vertical="center"/>
    </xf>
    <xf numFmtId="0" fontId="4" fillId="0" borderId="1" xfId="0" applyFont="1" applyBorder="1" applyAlignment="1">
      <alignment horizontal="center" vertical="center"/>
    </xf>
    <xf numFmtId="0" fontId="1" fillId="0" borderId="1" xfId="0" applyFont="1" applyBorder="1" applyAlignment="1">
      <alignment vertical="center"/>
    </xf>
    <xf numFmtId="0" fontId="1" fillId="0" borderId="1" xfId="0" applyFont="1" applyBorder="1" applyAlignment="1">
      <alignment vertical="top"/>
    </xf>
    <xf numFmtId="0" fontId="4" fillId="0" borderId="1" xfId="0" applyFont="1" applyBorder="1" applyAlignment="1">
      <alignment horizontal="left" vertical="center"/>
    </xf>
    <xf numFmtId="3" fontId="4" fillId="0" borderId="1" xfId="0" applyNumberFormat="1" applyFont="1" applyBorder="1" applyAlignment="1">
      <alignment horizontal="center" vertical="center"/>
    </xf>
    <xf numFmtId="8" fontId="4" fillId="0" borderId="1" xfId="0" applyNumberFormat="1" applyFont="1" applyBorder="1" applyAlignment="1">
      <alignment horizontal="right" vertical="center"/>
    </xf>
    <xf numFmtId="0" fontId="4" fillId="0" borderId="1" xfId="0" applyFont="1" applyBorder="1" applyAlignment="1">
      <alignment vertical="center"/>
    </xf>
    <xf numFmtId="0" fontId="7" fillId="0" borderId="1" xfId="0" applyFont="1" applyBorder="1" applyAlignment="1">
      <alignment vertical="center"/>
    </xf>
    <xf numFmtId="6" fontId="2" fillId="0" borderId="1" xfId="0" applyNumberFormat="1" applyFont="1" applyBorder="1" applyAlignment="1">
      <alignment horizontal="right" vertical="center"/>
    </xf>
    <xf numFmtId="0" fontId="0" fillId="0" borderId="0" xfId="0" applyAlignment="1">
      <alignment wrapText="1"/>
    </xf>
    <xf numFmtId="8" fontId="10" fillId="0" borderId="0" xfId="0" applyNumberFormat="1" applyFont="1"/>
    <xf numFmtId="0" fontId="2" fillId="0" borderId="1" xfId="0" applyFont="1" applyBorder="1" applyAlignment="1">
      <alignment horizontal="center" vertical="center" wrapText="1"/>
    </xf>
    <xf numFmtId="0" fontId="13" fillId="0" borderId="1" xfId="0" applyFont="1" applyBorder="1" applyAlignment="1">
      <alignment vertical="center"/>
    </xf>
    <xf numFmtId="0" fontId="0" fillId="0" borderId="1" xfId="0" applyBorder="1"/>
    <xf numFmtId="1" fontId="0" fillId="0" borderId="1" xfId="0" applyNumberFormat="1" applyBorder="1"/>
    <xf numFmtId="0" fontId="9" fillId="0" borderId="1" xfId="0" applyFont="1" applyBorder="1" applyAlignment="1">
      <alignment wrapText="1"/>
    </xf>
    <xf numFmtId="0" fontId="9" fillId="0" borderId="1" xfId="0" applyFont="1" applyBorder="1" applyAlignment="1"/>
    <xf numFmtId="9" fontId="9" fillId="0" borderId="1" xfId="0" applyNumberFormat="1" applyFont="1" applyBorder="1" applyAlignment="1">
      <alignment wrapText="1"/>
    </xf>
    <xf numFmtId="1" fontId="4" fillId="0" borderId="1" xfId="0" applyNumberFormat="1" applyFont="1" applyBorder="1" applyAlignment="1">
      <alignment horizontal="center" vertical="center"/>
    </xf>
    <xf numFmtId="2" fontId="0" fillId="0" borderId="0" xfId="0" applyNumberFormat="1"/>
    <xf numFmtId="164" fontId="4" fillId="0" borderId="1" xfId="0" applyNumberFormat="1" applyFont="1" applyBorder="1" applyAlignment="1">
      <alignment horizontal="center" vertical="center"/>
    </xf>
    <xf numFmtId="0" fontId="8" fillId="0" borderId="0" xfId="0" applyFont="1"/>
    <xf numFmtId="0" fontId="8" fillId="0" borderId="0" xfId="0" applyFont="1" applyAlignment="1">
      <alignment wrapText="1"/>
    </xf>
    <xf numFmtId="0" fontId="14" fillId="0" borderId="0" xfId="0" applyFont="1" applyAlignment="1">
      <alignment vertical="center"/>
    </xf>
    <xf numFmtId="0" fontId="16" fillId="0" borderId="0" xfId="0" applyFont="1" applyAlignment="1">
      <alignment horizontal="left" vertical="center" indent="2"/>
    </xf>
    <xf numFmtId="0" fontId="1" fillId="0" borderId="0" xfId="0" applyFont="1" applyAlignment="1">
      <alignment horizontal="left" vertical="center" indent="2"/>
    </xf>
    <xf numFmtId="0" fontId="16" fillId="0" borderId="0" xfId="0" applyFont="1" applyAlignment="1">
      <alignment horizontal="left" indent="2"/>
    </xf>
    <xf numFmtId="0" fontId="15" fillId="0" borderId="0" xfId="0" applyFont="1" applyAlignment="1">
      <alignment horizontal="left" vertical="center" indent="2"/>
    </xf>
    <xf numFmtId="0" fontId="1" fillId="0" borderId="0" xfId="0" applyFont="1" applyAlignment="1">
      <alignment horizontal="left" indent="2"/>
    </xf>
    <xf numFmtId="0" fontId="12" fillId="0" borderId="1" xfId="0" applyFont="1" applyBorder="1" applyAlignment="1">
      <alignment horizontal="center" vertical="center"/>
    </xf>
    <xf numFmtId="8" fontId="12" fillId="0" borderId="1" xfId="0" applyNumberFormat="1" applyFont="1" applyBorder="1" applyAlignment="1">
      <alignment horizontal="right" vertical="center"/>
    </xf>
    <xf numFmtId="0" fontId="12" fillId="0" borderId="1" xfId="0" applyFont="1" applyBorder="1" applyAlignment="1">
      <alignment horizontal="right" vertical="center"/>
    </xf>
    <xf numFmtId="3" fontId="12" fillId="0" borderId="1" xfId="0" applyNumberFormat="1" applyFont="1" applyBorder="1" applyAlignment="1">
      <alignment horizontal="center" vertical="center"/>
    </xf>
    <xf numFmtId="0" fontId="11" fillId="0" borderId="0" xfId="0" applyFont="1" applyAlignment="1">
      <alignment vertical="center"/>
    </xf>
    <xf numFmtId="164" fontId="12" fillId="0" borderId="1" xfId="0" applyNumberFormat="1" applyFont="1" applyBorder="1" applyAlignment="1">
      <alignment horizontal="center" vertical="center"/>
    </xf>
    <xf numFmtId="0" fontId="2" fillId="0" borderId="1" xfId="0" applyFont="1" applyBorder="1" applyAlignment="1">
      <alignment horizontal="center" vertical="center"/>
    </xf>
    <xf numFmtId="6" fontId="19" fillId="0" borderId="1" xfId="0" applyNumberFormat="1" applyFont="1" applyBorder="1" applyAlignment="1">
      <alignment horizontal="right" vertical="center"/>
    </xf>
    <xf numFmtId="1" fontId="8" fillId="0" borderId="0" xfId="0" applyNumberFormat="1" applyFont="1"/>
    <xf numFmtId="0" fontId="20" fillId="0" borderId="0" xfId="0" applyFont="1"/>
    <xf numFmtId="0" fontId="0" fillId="0" borderId="0" xfId="0" applyAlignment="1"/>
    <xf numFmtId="0" fontId="24" fillId="0" borderId="15" xfId="0" applyFont="1" applyBorder="1" applyAlignment="1">
      <alignment horizontal="center"/>
    </xf>
    <xf numFmtId="0" fontId="24" fillId="0" borderId="1" xfId="1" applyNumberFormat="1" applyFont="1" applyFill="1" applyBorder="1" applyAlignment="1">
      <alignment horizontal="center" wrapText="1"/>
    </xf>
    <xf numFmtId="3" fontId="24" fillId="0" borderId="1" xfId="1" applyNumberFormat="1" applyFont="1" applyFill="1" applyBorder="1" applyAlignment="1">
      <alignment horizontal="center" wrapText="1"/>
    </xf>
    <xf numFmtId="165" fontId="24" fillId="0" borderId="1" xfId="1" applyNumberFormat="1" applyFont="1" applyFill="1" applyBorder="1" applyAlignment="1">
      <alignment horizontal="center" wrapText="1"/>
    </xf>
    <xf numFmtId="11" fontId="24" fillId="0" borderId="15" xfId="0" applyNumberFormat="1" applyFont="1" applyBorder="1" applyAlignment="1">
      <alignment horizontal="center"/>
    </xf>
    <xf numFmtId="37" fontId="24" fillId="0" borderId="16" xfId="1" applyNumberFormat="1" applyFont="1" applyFill="1" applyBorder="1" applyAlignment="1">
      <alignment horizontal="center" wrapText="1"/>
    </xf>
    <xf numFmtId="37" fontId="24" fillId="0" borderId="17" xfId="0" applyNumberFormat="1" applyFont="1" applyBorder="1" applyAlignment="1">
      <alignment horizontal="center"/>
    </xf>
    <xf numFmtId="0" fontId="24" fillId="0" borderId="16" xfId="1" applyNumberFormat="1" applyFont="1" applyFill="1" applyBorder="1" applyAlignment="1">
      <alignment horizontal="center" wrapText="1"/>
    </xf>
    <xf numFmtId="37" fontId="24" fillId="4" borderId="16" xfId="1" applyNumberFormat="1" applyFont="1" applyFill="1" applyBorder="1" applyAlignment="1">
      <alignment horizontal="center" wrapText="1"/>
    </xf>
    <xf numFmtId="37" fontId="24" fillId="4" borderId="17" xfId="0" applyNumberFormat="1" applyFont="1" applyFill="1" applyBorder="1" applyAlignment="1">
      <alignment horizontal="center"/>
    </xf>
    <xf numFmtId="0" fontId="24" fillId="0" borderId="18" xfId="0" applyFont="1" applyBorder="1" applyAlignment="1">
      <alignment horizontal="center"/>
    </xf>
    <xf numFmtId="11" fontId="24" fillId="0" borderId="18" xfId="0" applyNumberFormat="1" applyFont="1" applyBorder="1" applyAlignment="1">
      <alignment horizontal="center"/>
    </xf>
    <xf numFmtId="37" fontId="24" fillId="0" borderId="12" xfId="0" applyNumberFormat="1" applyFont="1" applyBorder="1" applyAlignment="1">
      <alignment horizontal="center"/>
    </xf>
    <xf numFmtId="0" fontId="22" fillId="3" borderId="13" xfId="0" applyNumberFormat="1" applyFont="1" applyFill="1" applyBorder="1" applyAlignment="1">
      <alignment horizontal="center"/>
    </xf>
    <xf numFmtId="0" fontId="22" fillId="2" borderId="14" xfId="1" applyNumberFormat="1" applyFont="1" applyFill="1" applyBorder="1" applyAlignment="1">
      <alignment horizontal="center"/>
    </xf>
    <xf numFmtId="0" fontId="22" fillId="3" borderId="14" xfId="0" applyNumberFormat="1" applyFont="1" applyFill="1" applyBorder="1" applyAlignment="1">
      <alignment horizontal="center"/>
    </xf>
    <xf numFmtId="0" fontId="24" fillId="0" borderId="1" xfId="1" applyNumberFormat="1" applyFont="1" applyFill="1" applyBorder="1" applyAlignment="1">
      <alignment horizontal="center"/>
    </xf>
    <xf numFmtId="3" fontId="24" fillId="0" borderId="1" xfId="1" applyNumberFormat="1" applyFont="1" applyFill="1" applyBorder="1" applyAlignment="1">
      <alignment horizontal="center"/>
    </xf>
    <xf numFmtId="165" fontId="24" fillId="0" borderId="1" xfId="1" applyNumberFormat="1" applyFont="1" applyFill="1" applyBorder="1" applyAlignment="1">
      <alignment horizontal="center"/>
    </xf>
    <xf numFmtId="0" fontId="24" fillId="0" borderId="2" xfId="1" applyNumberFormat="1" applyFont="1" applyFill="1" applyBorder="1" applyAlignment="1">
      <alignment horizontal="center"/>
    </xf>
    <xf numFmtId="37" fontId="24" fillId="0" borderId="16" xfId="1" applyNumberFormat="1" applyFont="1" applyFill="1" applyBorder="1" applyAlignment="1">
      <alignment horizontal="center"/>
    </xf>
    <xf numFmtId="0" fontId="24" fillId="0" borderId="16" xfId="1" applyNumberFormat="1" applyFont="1" applyFill="1" applyBorder="1" applyAlignment="1">
      <alignment horizontal="center"/>
    </xf>
    <xf numFmtId="37" fontId="24" fillId="4" borderId="16" xfId="1" applyNumberFormat="1" applyFont="1" applyFill="1" applyBorder="1" applyAlignment="1">
      <alignment horizontal="center"/>
    </xf>
    <xf numFmtId="0" fontId="24" fillId="0" borderId="19" xfId="1" applyNumberFormat="1" applyFont="1" applyFill="1" applyBorder="1" applyAlignment="1">
      <alignment horizontal="center"/>
    </xf>
    <xf numFmtId="3" fontId="24" fillId="0" borderId="19" xfId="1" applyNumberFormat="1" applyFont="1" applyFill="1" applyBorder="1" applyAlignment="1">
      <alignment horizontal="center"/>
    </xf>
    <xf numFmtId="165" fontId="24" fillId="0" borderId="19" xfId="1" applyNumberFormat="1" applyFont="1" applyFill="1" applyBorder="1" applyAlignment="1">
      <alignment horizontal="center"/>
    </xf>
    <xf numFmtId="0" fontId="24" fillId="0" borderId="20" xfId="1" applyNumberFormat="1" applyFont="1" applyFill="1" applyBorder="1" applyAlignment="1">
      <alignment horizontal="center"/>
    </xf>
    <xf numFmtId="37" fontId="24" fillId="0" borderId="21" xfId="1" applyNumberFormat="1" applyFont="1" applyFill="1" applyBorder="1" applyAlignment="1">
      <alignment horizontal="center"/>
    </xf>
    <xf numFmtId="37" fontId="0" fillId="0" borderId="1" xfId="0" applyNumberFormat="1" applyBorder="1"/>
    <xf numFmtId="37" fontId="9" fillId="0" borderId="1" xfId="0" applyNumberFormat="1" applyFont="1" applyBorder="1"/>
    <xf numFmtId="0" fontId="9" fillId="0" borderId="1" xfId="0" applyFont="1" applyBorder="1"/>
    <xf numFmtId="37" fontId="0" fillId="4" borderId="1" xfId="0" applyNumberFormat="1" applyFill="1" applyBorder="1"/>
    <xf numFmtId="0" fontId="0" fillId="4" borderId="1" xfId="0" applyFill="1" applyBorder="1"/>
    <xf numFmtId="0" fontId="26" fillId="0" borderId="1" xfId="0" applyFont="1" applyBorder="1" applyAlignment="1">
      <alignment vertical="center"/>
    </xf>
    <xf numFmtId="0" fontId="26" fillId="0" borderId="1" xfId="0" applyFont="1" applyBorder="1" applyAlignment="1">
      <alignment horizontal="center" vertical="center"/>
    </xf>
    <xf numFmtId="0" fontId="0" fillId="0" borderId="1" xfId="0" applyBorder="1" applyAlignment="1">
      <alignment vertical="top"/>
    </xf>
    <xf numFmtId="0" fontId="0" fillId="0" borderId="23" xfId="0" applyBorder="1"/>
    <xf numFmtId="0" fontId="0" fillId="0" borderId="24" xfId="0" applyBorder="1"/>
    <xf numFmtId="0" fontId="0" fillId="0" borderId="25" xfId="0" applyBorder="1"/>
    <xf numFmtId="0" fontId="0" fillId="0" borderId="26" xfId="0" applyBorder="1"/>
    <xf numFmtId="0" fontId="0" fillId="0" borderId="15" xfId="0" applyBorder="1"/>
    <xf numFmtId="0" fontId="0" fillId="0" borderId="0" xfId="0" applyBorder="1"/>
    <xf numFmtId="0" fontId="0" fillId="0" borderId="22" xfId="0" applyBorder="1"/>
    <xf numFmtId="0" fontId="9" fillId="0" borderId="15" xfId="0" applyFont="1" applyFill="1" applyBorder="1"/>
    <xf numFmtId="0" fontId="0" fillId="0" borderId="27" xfId="0" applyBorder="1"/>
    <xf numFmtId="0" fontId="26" fillId="0" borderId="15" xfId="0" applyFont="1" applyBorder="1" applyAlignment="1">
      <alignment vertical="center"/>
    </xf>
    <xf numFmtId="0" fontId="26" fillId="0" borderId="16" xfId="0" applyFont="1" applyBorder="1" applyAlignment="1">
      <alignment horizontal="center" vertical="center"/>
    </xf>
    <xf numFmtId="0" fontId="26" fillId="0" borderId="15" xfId="0" applyFont="1" applyBorder="1" applyAlignment="1">
      <alignment horizontal="center" vertical="center"/>
    </xf>
    <xf numFmtId="0" fontId="26" fillId="0" borderId="16" xfId="0" applyFont="1" applyBorder="1" applyAlignment="1">
      <alignment vertical="center"/>
    </xf>
    <xf numFmtId="0" fontId="0" fillId="0" borderId="15" xfId="0" applyBorder="1" applyAlignment="1">
      <alignment vertical="top"/>
    </xf>
    <xf numFmtId="0" fontId="12" fillId="0" borderId="15" xfId="0" applyFont="1" applyBorder="1" applyAlignment="1">
      <alignment horizontal="center" vertical="center"/>
    </xf>
    <xf numFmtId="3" fontId="12" fillId="0" borderId="16" xfId="0" applyNumberFormat="1" applyFont="1" applyBorder="1" applyAlignment="1">
      <alignment horizontal="center" vertical="center"/>
    </xf>
    <xf numFmtId="0" fontId="9" fillId="0" borderId="18" xfId="0" applyFont="1" applyFill="1" applyBorder="1"/>
    <xf numFmtId="37" fontId="0" fillId="0" borderId="19" xfId="0" applyNumberFormat="1" applyBorder="1"/>
    <xf numFmtId="0" fontId="0" fillId="0" borderId="28" xfId="0" applyBorder="1"/>
    <xf numFmtId="0" fontId="0" fillId="0" borderId="29" xfId="0" applyBorder="1"/>
    <xf numFmtId="0" fontId="0" fillId="0" borderId="1" xfId="0" applyFont="1" applyFill="1" applyBorder="1"/>
    <xf numFmtId="37" fontId="0" fillId="0" borderId="1" xfId="0" applyNumberFormat="1" applyFont="1" applyFill="1" applyBorder="1"/>
    <xf numFmtId="1" fontId="0" fillId="0" borderId="1" xfId="0" applyNumberFormat="1" applyFont="1" applyFill="1" applyBorder="1"/>
    <xf numFmtId="3" fontId="0" fillId="0" borderId="0" xfId="0" applyNumberFormat="1"/>
    <xf numFmtId="0" fontId="28" fillId="0" borderId="1" xfId="0" applyFont="1" applyBorder="1" applyAlignment="1">
      <alignment vertical="center"/>
    </xf>
    <xf numFmtId="8" fontId="7" fillId="0" borderId="1" xfId="0" applyNumberFormat="1" applyFont="1" applyBorder="1" applyAlignment="1">
      <alignment horizontal="right" vertical="center"/>
    </xf>
    <xf numFmtId="0" fontId="4" fillId="0" borderId="1" xfId="0" applyFont="1" applyBorder="1" applyAlignment="1">
      <alignment horizontal="left" vertical="center" indent="2"/>
    </xf>
    <xf numFmtId="0" fontId="4" fillId="0" borderId="1" xfId="0" applyFont="1" applyBorder="1" applyAlignment="1">
      <alignment horizontal="left" vertical="center" indent="1"/>
    </xf>
    <xf numFmtId="3" fontId="2" fillId="0" borderId="1" xfId="0" applyNumberFormat="1" applyFont="1" applyBorder="1" applyAlignment="1">
      <alignment horizontal="center" vertical="center"/>
    </xf>
    <xf numFmtId="0" fontId="9" fillId="0" borderId="2" xfId="0" applyFont="1" applyFill="1" applyBorder="1" applyAlignment="1">
      <alignment horizontal="center"/>
    </xf>
    <xf numFmtId="0" fontId="9" fillId="0" borderId="3" xfId="0" applyFont="1" applyFill="1" applyBorder="1" applyAlignment="1">
      <alignment horizontal="center"/>
    </xf>
    <xf numFmtId="0" fontId="9" fillId="0" borderId="4" xfId="0" applyFont="1" applyFill="1" applyBorder="1" applyAlignment="1">
      <alignment horizontal="center"/>
    </xf>
    <xf numFmtId="0" fontId="9" fillId="0" borderId="2" xfId="0" applyFont="1" applyBorder="1" applyAlignment="1">
      <alignment horizontal="center"/>
    </xf>
    <xf numFmtId="0" fontId="9" fillId="0" borderId="3" xfId="0" applyFont="1" applyBorder="1" applyAlignment="1">
      <alignment horizontal="center"/>
    </xf>
    <xf numFmtId="0" fontId="9" fillId="0" borderId="4" xfId="0" applyFont="1" applyBorder="1" applyAlignment="1">
      <alignment horizontal="center"/>
    </xf>
    <xf numFmtId="3" fontId="7" fillId="0" borderId="1" xfId="0" applyNumberFormat="1" applyFont="1" applyBorder="1" applyAlignment="1">
      <alignment horizontal="center" vertical="center"/>
    </xf>
    <xf numFmtId="0" fontId="22" fillId="2" borderId="6" xfId="1" applyNumberFormat="1" applyFont="1" applyFill="1" applyBorder="1" applyAlignment="1">
      <alignment horizontal="center"/>
    </xf>
    <xf numFmtId="0" fontId="24" fillId="0" borderId="11" xfId="0" applyFont="1" applyBorder="1" applyAlignment="1"/>
    <xf numFmtId="0" fontId="22" fillId="2" borderId="7" xfId="1" applyNumberFormat="1" applyFont="1" applyFill="1" applyBorder="1" applyAlignment="1">
      <alignment horizontal="center"/>
    </xf>
    <xf numFmtId="0" fontId="22" fillId="2" borderId="12" xfId="1" applyNumberFormat="1" applyFont="1" applyFill="1" applyBorder="1" applyAlignment="1">
      <alignment horizontal="center"/>
    </xf>
    <xf numFmtId="0" fontId="22" fillId="2" borderId="5" xfId="1" applyNumberFormat="1" applyFont="1" applyFill="1" applyBorder="1" applyAlignment="1">
      <alignment horizontal="center"/>
    </xf>
    <xf numFmtId="0" fontId="24" fillId="0" borderId="10" xfId="0" applyFont="1" applyBorder="1" applyAlignment="1"/>
    <xf numFmtId="0" fontId="10" fillId="0" borderId="27" xfId="0" applyFont="1" applyBorder="1" applyAlignment="1">
      <alignment vertical="center"/>
    </xf>
    <xf numFmtId="0" fontId="10" fillId="0" borderId="0" xfId="0" applyFont="1" applyBorder="1" applyAlignment="1">
      <alignment vertical="center"/>
    </xf>
    <xf numFmtId="0" fontId="10" fillId="0" borderId="22" xfId="0" applyFont="1" applyBorder="1" applyAlignment="1">
      <alignment vertical="center"/>
    </xf>
    <xf numFmtId="0" fontId="25" fillId="0" borderId="27" xfId="0" applyFont="1" applyBorder="1" applyAlignment="1">
      <alignment horizontal="center" vertical="center"/>
    </xf>
    <xf numFmtId="0" fontId="25" fillId="0" borderId="0" xfId="0" applyFont="1" applyBorder="1" applyAlignment="1">
      <alignment horizontal="center" vertical="center"/>
    </xf>
    <xf numFmtId="0" fontId="25" fillId="0" borderId="22" xfId="0" applyFont="1" applyBorder="1" applyAlignment="1">
      <alignment horizontal="center" vertical="center"/>
    </xf>
    <xf numFmtId="0" fontId="23" fillId="3" borderId="8" xfId="0" applyFont="1" applyFill="1" applyBorder="1" applyAlignment="1">
      <alignment horizontal="center"/>
    </xf>
    <xf numFmtId="0" fontId="23" fillId="3" borderId="9" xfId="0" applyFont="1" applyFill="1" applyBorder="1" applyAlignment="1">
      <alignment horizontal="center"/>
    </xf>
  </cellXfs>
  <cellStyles count="2">
    <cellStyle name="Normal" xfId="0" builtinId="0"/>
    <cellStyle name="Normal_Sheet4"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15"/>
  <sheetViews>
    <sheetView tabSelected="1" workbookViewId="0">
      <selection activeCell="A2" sqref="A2"/>
    </sheetView>
  </sheetViews>
  <sheetFormatPr defaultRowHeight="15" x14ac:dyDescent="0.25"/>
  <cols>
    <col min="1" max="1" width="30.85546875" customWidth="1"/>
    <col min="2" max="2" width="10.7109375" customWidth="1"/>
    <col min="3" max="3" width="11.5703125" customWidth="1"/>
    <col min="9" max="9" width="13.28515625" bestFit="1" customWidth="1"/>
    <col min="11" max="11" width="22" style="23" customWidth="1"/>
    <col min="12" max="12" width="24.140625" customWidth="1"/>
    <col min="13" max="13" width="13" customWidth="1"/>
  </cols>
  <sheetData>
    <row r="1" spans="1:15" ht="15.75" x14ac:dyDescent="0.25">
      <c r="F1" s="12">
        <v>106.45</v>
      </c>
      <c r="G1" s="12">
        <v>138.43</v>
      </c>
      <c r="H1" s="12">
        <v>52.77</v>
      </c>
    </row>
    <row r="2" spans="1:15" s="11" customFormat="1" ht="72" x14ac:dyDescent="0.25">
      <c r="A2" s="13" t="s">
        <v>0</v>
      </c>
      <c r="B2" s="13" t="s">
        <v>58</v>
      </c>
      <c r="C2" s="13" t="s">
        <v>59</v>
      </c>
      <c r="D2" s="13" t="s">
        <v>60</v>
      </c>
      <c r="E2" s="13" t="s">
        <v>61</v>
      </c>
      <c r="F2" s="13" t="s">
        <v>62</v>
      </c>
      <c r="G2" s="13" t="s">
        <v>63</v>
      </c>
      <c r="H2" s="13" t="s">
        <v>64</v>
      </c>
      <c r="I2" s="13" t="s">
        <v>65</v>
      </c>
      <c r="K2" s="24" t="s">
        <v>80</v>
      </c>
      <c r="L2" s="17"/>
      <c r="M2" s="18" t="s">
        <v>69</v>
      </c>
      <c r="N2" s="19">
        <v>0.2</v>
      </c>
      <c r="O2" s="19">
        <v>0.8</v>
      </c>
    </row>
    <row r="3" spans="1:15" x14ac:dyDescent="0.25">
      <c r="A3" s="1" t="s">
        <v>1</v>
      </c>
      <c r="B3" s="2" t="s">
        <v>2</v>
      </c>
      <c r="C3" s="3"/>
      <c r="D3" s="3"/>
      <c r="E3" s="3"/>
      <c r="F3" s="4"/>
      <c r="G3" s="4"/>
      <c r="H3" s="4"/>
      <c r="I3" s="3"/>
      <c r="K3" s="23" t="s">
        <v>81</v>
      </c>
      <c r="L3" s="15" t="s">
        <v>66</v>
      </c>
      <c r="M3" s="73">
        <f>'Respondent Universe Update'!P19</f>
        <v>1809</v>
      </c>
      <c r="N3" s="16">
        <f>ROUND(M3*0.2,0)</f>
        <v>362</v>
      </c>
      <c r="O3" s="15">
        <f>ROUND(M3*0.8,0)</f>
        <v>1447</v>
      </c>
    </row>
    <row r="4" spans="1:15" x14ac:dyDescent="0.25">
      <c r="A4" s="1" t="s">
        <v>3</v>
      </c>
      <c r="B4" s="2" t="s">
        <v>2</v>
      </c>
      <c r="C4" s="3"/>
      <c r="D4" s="3"/>
      <c r="E4" s="3"/>
      <c r="F4" s="3"/>
      <c r="G4" s="3"/>
      <c r="H4" s="3"/>
      <c r="I4" s="3"/>
      <c r="K4" s="23" t="s">
        <v>82</v>
      </c>
      <c r="L4" s="15" t="s">
        <v>67</v>
      </c>
      <c r="M4" s="74">
        <f>'Respondent Universe Update'!Q8</f>
        <v>37</v>
      </c>
      <c r="N4" s="16">
        <f t="shared" ref="N4:N21" si="0">ROUND(M4*0.2,0)</f>
        <v>7</v>
      </c>
      <c r="O4" s="15">
        <f t="shared" ref="O4:O21" si="1">ROUND(M4*0.8,0)</f>
        <v>30</v>
      </c>
    </row>
    <row r="5" spans="1:15" x14ac:dyDescent="0.25">
      <c r="A5" s="1" t="s">
        <v>4</v>
      </c>
      <c r="B5" s="3"/>
      <c r="C5" s="3"/>
      <c r="D5" s="3"/>
      <c r="E5" s="3"/>
      <c r="F5" s="3"/>
      <c r="G5" s="3"/>
      <c r="H5" s="3"/>
      <c r="I5" s="3"/>
      <c r="L5" s="15" t="s">
        <v>68</v>
      </c>
      <c r="M5" s="70">
        <f>SUM(M3:M4)</f>
        <v>1846</v>
      </c>
      <c r="N5" s="16">
        <f t="shared" si="0"/>
        <v>369</v>
      </c>
      <c r="O5" s="15">
        <f t="shared" si="1"/>
        <v>1477</v>
      </c>
    </row>
    <row r="6" spans="1:15" x14ac:dyDescent="0.25">
      <c r="A6" s="5" t="s">
        <v>72</v>
      </c>
      <c r="B6" s="2" t="s">
        <v>5</v>
      </c>
      <c r="C6" s="3"/>
      <c r="D6" s="3"/>
      <c r="E6" s="3"/>
      <c r="F6" s="3"/>
      <c r="G6" s="3"/>
      <c r="H6" s="3"/>
      <c r="I6" s="3"/>
      <c r="L6" s="107" t="s">
        <v>199</v>
      </c>
      <c r="M6" s="108"/>
      <c r="N6" s="108"/>
      <c r="O6" s="109"/>
    </row>
    <row r="7" spans="1:15" x14ac:dyDescent="0.25">
      <c r="A7" s="5" t="s">
        <v>6</v>
      </c>
      <c r="B7" s="3"/>
      <c r="C7" s="3"/>
      <c r="D7" s="3"/>
      <c r="E7" s="3"/>
      <c r="F7" s="3"/>
      <c r="G7" s="3"/>
      <c r="H7" s="3"/>
      <c r="I7" s="3"/>
      <c r="L7" s="15" t="s">
        <v>70</v>
      </c>
      <c r="M7" s="99">
        <f>640+117</f>
        <v>757</v>
      </c>
      <c r="N7" s="100">
        <f>ROUND(M7*0.2,0)</f>
        <v>151</v>
      </c>
      <c r="O7" s="98">
        <f>ROUND(M7*0.8,0)</f>
        <v>606</v>
      </c>
    </row>
    <row r="8" spans="1:15" x14ac:dyDescent="0.25">
      <c r="A8" s="5" t="s">
        <v>7</v>
      </c>
      <c r="B8" s="3"/>
      <c r="C8" s="3"/>
      <c r="D8" s="3"/>
      <c r="E8" s="3"/>
      <c r="F8" s="3"/>
      <c r="G8" s="3"/>
      <c r="H8" s="3"/>
      <c r="I8" s="3"/>
      <c r="L8" s="15" t="s">
        <v>14</v>
      </c>
      <c r="M8" s="99">
        <f>622+171</f>
        <v>793</v>
      </c>
      <c r="N8" s="100">
        <f t="shared" ref="N8:N9" si="2">ROUND(M8*0.2,0)</f>
        <v>159</v>
      </c>
      <c r="O8" s="98">
        <f t="shared" ref="O8:O9" si="3">ROUND(M8*0.8,0)</f>
        <v>634</v>
      </c>
    </row>
    <row r="9" spans="1:15" x14ac:dyDescent="0.25">
      <c r="A9" s="104" t="s">
        <v>8</v>
      </c>
      <c r="B9" s="2">
        <v>330</v>
      </c>
      <c r="C9" s="2">
        <v>1</v>
      </c>
      <c r="D9" s="2">
        <f>B9*C9</f>
        <v>330</v>
      </c>
      <c r="E9" s="2">
        <f>M16</f>
        <v>4</v>
      </c>
      <c r="F9" s="6">
        <f>D9*E9</f>
        <v>1320</v>
      </c>
      <c r="G9" s="2">
        <f>F9*0.05</f>
        <v>66</v>
      </c>
      <c r="H9" s="2">
        <f>F9*0.1</f>
        <v>132</v>
      </c>
      <c r="I9" s="7">
        <f>F9*F$1+G9*G$1+H9*H$1</f>
        <v>156616.02000000002</v>
      </c>
      <c r="L9" s="15" t="s">
        <v>71</v>
      </c>
      <c r="M9" s="99">
        <f>1322+405</f>
        <v>1727</v>
      </c>
      <c r="N9" s="100">
        <f t="shared" si="2"/>
        <v>345</v>
      </c>
      <c r="O9" s="98">
        <f t="shared" si="3"/>
        <v>1382</v>
      </c>
    </row>
    <row r="10" spans="1:15" x14ac:dyDescent="0.25">
      <c r="A10" s="104" t="s">
        <v>9</v>
      </c>
      <c r="B10" s="2">
        <v>250</v>
      </c>
      <c r="C10" s="2">
        <v>1</v>
      </c>
      <c r="D10" s="2">
        <f>B10*C10</f>
        <v>250</v>
      </c>
      <c r="E10" s="2">
        <f>M11</f>
        <v>33</v>
      </c>
      <c r="F10" s="6">
        <f>D10*E10</f>
        <v>8250</v>
      </c>
      <c r="G10" s="2">
        <f>F10*0.05</f>
        <v>412.5</v>
      </c>
      <c r="H10" s="2">
        <f>F10*0.1</f>
        <v>825</v>
      </c>
      <c r="I10" s="7">
        <f>F10*F$1+G10*G$1+H10*H$1</f>
        <v>978850.125</v>
      </c>
      <c r="L10" s="110" t="s">
        <v>67</v>
      </c>
      <c r="M10" s="111"/>
      <c r="N10" s="111"/>
      <c r="O10" s="112"/>
    </row>
    <row r="11" spans="1:15" x14ac:dyDescent="0.25">
      <c r="A11" s="5" t="s">
        <v>10</v>
      </c>
      <c r="B11" s="3"/>
      <c r="C11" s="3"/>
      <c r="D11" s="3"/>
      <c r="E11" s="3"/>
      <c r="F11" s="3"/>
      <c r="G11" s="3"/>
      <c r="H11" s="3"/>
      <c r="I11" s="3"/>
      <c r="L11" s="15" t="s">
        <v>75</v>
      </c>
      <c r="M11" s="74">
        <f>'Respondent Universe Update'!Q7</f>
        <v>33</v>
      </c>
      <c r="N11" s="16">
        <f t="shared" si="0"/>
        <v>7</v>
      </c>
      <c r="O11" s="15">
        <f t="shared" si="1"/>
        <v>26</v>
      </c>
    </row>
    <row r="12" spans="1:15" x14ac:dyDescent="0.25">
      <c r="A12" s="104" t="s">
        <v>8</v>
      </c>
      <c r="B12" s="2">
        <v>330</v>
      </c>
      <c r="C12" s="2">
        <v>1</v>
      </c>
      <c r="D12" s="2">
        <f t="shared" ref="D12:D13" si="4">B12*C12</f>
        <v>330</v>
      </c>
      <c r="E12" s="20">
        <f>ROUND(E9*0.2,0)</f>
        <v>1</v>
      </c>
      <c r="F12" s="6">
        <f t="shared" ref="F12:F13" si="5">D12*E12</f>
        <v>330</v>
      </c>
      <c r="G12" s="2">
        <f t="shared" ref="G12:G13" si="6">F12*0.05</f>
        <v>16.5</v>
      </c>
      <c r="H12" s="2">
        <f t="shared" ref="H12:H13" si="7">F12*0.1</f>
        <v>33</v>
      </c>
      <c r="I12" s="7">
        <f>F12*F$1+G12*G$1+H12*H$1</f>
        <v>39154.005000000005</v>
      </c>
      <c r="L12" s="15" t="s">
        <v>76</v>
      </c>
      <c r="M12" s="74">
        <f>'Respondent Universe Update'!Q6</f>
        <v>0</v>
      </c>
      <c r="N12" s="16">
        <f t="shared" si="0"/>
        <v>0</v>
      </c>
      <c r="O12" s="15">
        <f t="shared" si="1"/>
        <v>0</v>
      </c>
    </row>
    <row r="13" spans="1:15" x14ac:dyDescent="0.25">
      <c r="A13" s="104" t="s">
        <v>11</v>
      </c>
      <c r="B13" s="2">
        <v>250</v>
      </c>
      <c r="C13" s="2">
        <v>1</v>
      </c>
      <c r="D13" s="2">
        <f t="shared" si="4"/>
        <v>250</v>
      </c>
      <c r="E13" s="20">
        <f>ROUND(E10*0.2,0)</f>
        <v>7</v>
      </c>
      <c r="F13" s="6">
        <f t="shared" si="5"/>
        <v>1750</v>
      </c>
      <c r="G13" s="2">
        <f t="shared" si="6"/>
        <v>87.5</v>
      </c>
      <c r="H13" s="2">
        <f t="shared" si="7"/>
        <v>175</v>
      </c>
      <c r="I13" s="7">
        <f>F13*F$1+G13*G$1+H13*H$1</f>
        <v>207634.875</v>
      </c>
      <c r="L13" s="15" t="s">
        <v>77</v>
      </c>
      <c r="M13" s="74">
        <f>'Respondent Universe Update'!Q5</f>
        <v>4</v>
      </c>
      <c r="N13" s="16">
        <f t="shared" si="0"/>
        <v>1</v>
      </c>
      <c r="O13" s="15">
        <f t="shared" si="1"/>
        <v>3</v>
      </c>
    </row>
    <row r="14" spans="1:15" x14ac:dyDescent="0.25">
      <c r="A14" s="5" t="s">
        <v>12</v>
      </c>
      <c r="B14" s="3"/>
      <c r="C14" s="3"/>
      <c r="D14" s="3"/>
      <c r="E14" s="3"/>
      <c r="F14" s="3"/>
      <c r="G14" s="3"/>
      <c r="H14" s="3"/>
      <c r="I14" s="3"/>
      <c r="L14" s="110" t="s">
        <v>78</v>
      </c>
      <c r="M14" s="111"/>
      <c r="N14" s="111"/>
      <c r="O14" s="112"/>
    </row>
    <row r="15" spans="1:15" x14ac:dyDescent="0.25">
      <c r="A15" s="104" t="s">
        <v>13</v>
      </c>
      <c r="B15" s="2">
        <v>16</v>
      </c>
      <c r="C15" s="2">
        <v>1</v>
      </c>
      <c r="D15" s="2">
        <f t="shared" ref="D15:D17" si="8">B15*C15</f>
        <v>16</v>
      </c>
      <c r="E15" s="2">
        <f>M15</f>
        <v>0</v>
      </c>
      <c r="F15" s="6">
        <f t="shared" ref="F15:F17" si="9">D15*E15</f>
        <v>0</v>
      </c>
      <c r="G15" s="2">
        <f t="shared" ref="G15:G17" si="10">F15*0.05</f>
        <v>0</v>
      </c>
      <c r="H15" s="2">
        <f t="shared" ref="H15:H17" si="11">F15*0.1</f>
        <v>0</v>
      </c>
      <c r="I15" s="7">
        <f>F15*F$1+G15*G$1+H15*H$1</f>
        <v>0</v>
      </c>
      <c r="L15" s="15" t="s">
        <v>70</v>
      </c>
      <c r="M15" s="15">
        <f>M12</f>
        <v>0</v>
      </c>
      <c r="N15" s="16">
        <f t="shared" si="0"/>
        <v>0</v>
      </c>
      <c r="O15" s="15">
        <f t="shared" si="1"/>
        <v>0</v>
      </c>
    </row>
    <row r="16" spans="1:15" x14ac:dyDescent="0.25">
      <c r="A16" s="104" t="s">
        <v>14</v>
      </c>
      <c r="B16" s="2">
        <v>16</v>
      </c>
      <c r="C16" s="2">
        <v>1</v>
      </c>
      <c r="D16" s="2">
        <f t="shared" si="8"/>
        <v>16</v>
      </c>
      <c r="E16" s="2">
        <f>M16</f>
        <v>4</v>
      </c>
      <c r="F16" s="6">
        <f t="shared" si="9"/>
        <v>64</v>
      </c>
      <c r="G16" s="2">
        <f t="shared" si="10"/>
        <v>3.2</v>
      </c>
      <c r="H16" s="2">
        <f t="shared" si="11"/>
        <v>6.4</v>
      </c>
      <c r="I16" s="7">
        <f>F16*F$1+G16*G$1+H16*H$1</f>
        <v>7593.5039999999999</v>
      </c>
      <c r="L16" s="15" t="s">
        <v>14</v>
      </c>
      <c r="M16" s="15">
        <f>M12+M13</f>
        <v>4</v>
      </c>
      <c r="N16" s="16">
        <f t="shared" si="0"/>
        <v>1</v>
      </c>
      <c r="O16" s="15">
        <f t="shared" si="1"/>
        <v>3</v>
      </c>
    </row>
    <row r="17" spans="1:15" x14ac:dyDescent="0.25">
      <c r="A17" s="104" t="s">
        <v>15</v>
      </c>
      <c r="B17" s="2">
        <v>16</v>
      </c>
      <c r="C17" s="2">
        <v>1</v>
      </c>
      <c r="D17" s="2">
        <f t="shared" si="8"/>
        <v>16</v>
      </c>
      <c r="E17" s="2">
        <f>M17</f>
        <v>37</v>
      </c>
      <c r="F17" s="6">
        <f t="shared" si="9"/>
        <v>592</v>
      </c>
      <c r="G17" s="2">
        <f t="shared" si="10"/>
        <v>29.6</v>
      </c>
      <c r="H17" s="2">
        <f t="shared" si="11"/>
        <v>59.2</v>
      </c>
      <c r="I17" s="7">
        <f>F17*F$1+G17*G$1+H17*H$1</f>
        <v>70239.911999999997</v>
      </c>
      <c r="L17" s="15" t="s">
        <v>71</v>
      </c>
      <c r="M17" s="15">
        <f>SUM(M11:M13)</f>
        <v>37</v>
      </c>
      <c r="N17" s="16">
        <f t="shared" si="0"/>
        <v>7</v>
      </c>
      <c r="O17" s="15">
        <f t="shared" si="1"/>
        <v>30</v>
      </c>
    </row>
    <row r="18" spans="1:15" x14ac:dyDescent="0.25">
      <c r="A18" s="5" t="s">
        <v>16</v>
      </c>
      <c r="B18" s="3"/>
      <c r="C18" s="3"/>
      <c r="D18" s="3"/>
      <c r="E18" s="3"/>
      <c r="F18" s="3"/>
      <c r="G18" s="3"/>
      <c r="H18" s="3"/>
      <c r="I18" s="3"/>
      <c r="L18" s="107" t="s">
        <v>79</v>
      </c>
      <c r="M18" s="108"/>
      <c r="N18" s="108"/>
      <c r="O18" s="109"/>
    </row>
    <row r="19" spans="1:15" x14ac:dyDescent="0.25">
      <c r="A19" s="104" t="s">
        <v>13</v>
      </c>
      <c r="B19" s="2">
        <v>2</v>
      </c>
      <c r="C19" s="2">
        <v>1</v>
      </c>
      <c r="D19" s="2">
        <f t="shared" ref="D19:D21" si="12">B19*C19</f>
        <v>2</v>
      </c>
      <c r="E19" s="2">
        <f>M15</f>
        <v>0</v>
      </c>
      <c r="F19" s="6">
        <f t="shared" ref="F19:F21" si="13">D19*E19</f>
        <v>0</v>
      </c>
      <c r="G19" s="2">
        <f t="shared" ref="G19:G21" si="14">F19*0.05</f>
        <v>0</v>
      </c>
      <c r="H19" s="2">
        <f t="shared" ref="H19:H21" si="15">F19*0.1</f>
        <v>0</v>
      </c>
      <c r="I19" s="7">
        <f>F19*F$1+G19*G$1+H19*H$1</f>
        <v>0</v>
      </c>
      <c r="L19" s="15" t="s">
        <v>70</v>
      </c>
      <c r="M19" s="70">
        <f>M7+13+M15+M15</f>
        <v>770</v>
      </c>
      <c r="N19" s="16">
        <f t="shared" si="0"/>
        <v>154</v>
      </c>
      <c r="O19" s="15">
        <f t="shared" si="1"/>
        <v>616</v>
      </c>
    </row>
    <row r="20" spans="1:15" x14ac:dyDescent="0.25">
      <c r="A20" s="104" t="s">
        <v>14</v>
      </c>
      <c r="B20" s="2">
        <v>2</v>
      </c>
      <c r="C20" s="2">
        <v>1</v>
      </c>
      <c r="D20" s="2">
        <f t="shared" si="12"/>
        <v>2</v>
      </c>
      <c r="E20" s="2">
        <f>M16</f>
        <v>4</v>
      </c>
      <c r="F20" s="6">
        <f t="shared" si="13"/>
        <v>8</v>
      </c>
      <c r="G20" s="2">
        <f t="shared" si="14"/>
        <v>0.4</v>
      </c>
      <c r="H20" s="2">
        <f t="shared" si="15"/>
        <v>0.8</v>
      </c>
      <c r="I20" s="7">
        <f>F20*F$1+G20*G$1+H20*H$1</f>
        <v>949.18799999999999</v>
      </c>
      <c r="L20" s="15" t="s">
        <v>14</v>
      </c>
      <c r="M20" s="70">
        <f>M8+19+M16+M16</f>
        <v>820</v>
      </c>
      <c r="N20" s="16">
        <f t="shared" si="0"/>
        <v>164</v>
      </c>
      <c r="O20" s="15">
        <f t="shared" si="1"/>
        <v>656</v>
      </c>
    </row>
    <row r="21" spans="1:15" x14ac:dyDescent="0.25">
      <c r="A21" s="104" t="s">
        <v>15</v>
      </c>
      <c r="B21" s="2">
        <v>2</v>
      </c>
      <c r="C21" s="2">
        <v>1</v>
      </c>
      <c r="D21" s="2">
        <f t="shared" si="12"/>
        <v>2</v>
      </c>
      <c r="E21" s="2">
        <f>M17</f>
        <v>37</v>
      </c>
      <c r="F21" s="6">
        <f t="shared" si="13"/>
        <v>74</v>
      </c>
      <c r="G21" s="2">
        <f t="shared" si="14"/>
        <v>3.7</v>
      </c>
      <c r="H21" s="2">
        <f t="shared" si="15"/>
        <v>7.4</v>
      </c>
      <c r="I21" s="7">
        <f>F21*F$1+G21*G$1+H21*H$1</f>
        <v>8779.9889999999996</v>
      </c>
      <c r="L21" s="15" t="s">
        <v>71</v>
      </c>
      <c r="M21" s="70">
        <f>M9+45+M17+M17</f>
        <v>1846</v>
      </c>
      <c r="N21" s="16">
        <f t="shared" si="0"/>
        <v>369</v>
      </c>
      <c r="O21" s="15">
        <f t="shared" si="1"/>
        <v>1477</v>
      </c>
    </row>
    <row r="22" spans="1:15" x14ac:dyDescent="0.25">
      <c r="A22" s="5" t="s">
        <v>17</v>
      </c>
      <c r="B22" s="3"/>
      <c r="C22" s="3"/>
      <c r="D22" s="3"/>
      <c r="E22" s="3"/>
      <c r="F22" s="3"/>
      <c r="G22" s="3"/>
      <c r="H22" s="3"/>
      <c r="I22" s="3"/>
      <c r="M22" t="s">
        <v>200</v>
      </c>
    </row>
    <row r="23" spans="1:15" x14ac:dyDescent="0.25">
      <c r="A23" s="104" t="s">
        <v>13</v>
      </c>
      <c r="B23" s="2">
        <v>150</v>
      </c>
      <c r="C23" s="2">
        <v>1</v>
      </c>
      <c r="D23" s="2">
        <f t="shared" ref="D23:D25" si="16">B23*C23</f>
        <v>150</v>
      </c>
      <c r="E23" s="2">
        <f>M15</f>
        <v>0</v>
      </c>
      <c r="F23" s="6">
        <f t="shared" ref="F23:F25" si="17">D23*E23</f>
        <v>0</v>
      </c>
      <c r="G23" s="2">
        <f t="shared" ref="G23:G25" si="18">F23*0.05</f>
        <v>0</v>
      </c>
      <c r="H23" s="2">
        <f t="shared" ref="H23:H25" si="19">F23*0.1</f>
        <v>0</v>
      </c>
      <c r="I23" s="7">
        <f>F23*F$1+G23*G$1+H23*H$1</f>
        <v>0</v>
      </c>
    </row>
    <row r="24" spans="1:15" x14ac:dyDescent="0.25">
      <c r="A24" s="104" t="s">
        <v>14</v>
      </c>
      <c r="B24" s="2">
        <v>100</v>
      </c>
      <c r="C24" s="2">
        <v>1</v>
      </c>
      <c r="D24" s="2">
        <f t="shared" si="16"/>
        <v>100</v>
      </c>
      <c r="E24" s="2">
        <f>M16</f>
        <v>4</v>
      </c>
      <c r="F24" s="6">
        <f t="shared" si="17"/>
        <v>400</v>
      </c>
      <c r="G24" s="2">
        <f t="shared" si="18"/>
        <v>20</v>
      </c>
      <c r="H24" s="2">
        <f t="shared" si="19"/>
        <v>40</v>
      </c>
      <c r="I24" s="7">
        <f>F24*F$1+G24*G$1+H24*H$1</f>
        <v>47459.4</v>
      </c>
    </row>
    <row r="25" spans="1:15" x14ac:dyDescent="0.25">
      <c r="A25" s="104" t="s">
        <v>15</v>
      </c>
      <c r="B25" s="2">
        <v>350</v>
      </c>
      <c r="C25" s="2">
        <v>1</v>
      </c>
      <c r="D25" s="2">
        <f t="shared" si="16"/>
        <v>350</v>
      </c>
      <c r="E25" s="2">
        <f>M17</f>
        <v>37</v>
      </c>
      <c r="F25" s="6">
        <f t="shared" si="17"/>
        <v>12950</v>
      </c>
      <c r="G25" s="2">
        <f t="shared" si="18"/>
        <v>647.5</v>
      </c>
      <c r="H25" s="2">
        <f t="shared" si="19"/>
        <v>1295</v>
      </c>
      <c r="I25" s="7">
        <f>F25*F$1+G25*G$1+H25*H$1</f>
        <v>1536498.075</v>
      </c>
    </row>
    <row r="26" spans="1:15" x14ac:dyDescent="0.25">
      <c r="A26" s="5" t="s">
        <v>18</v>
      </c>
      <c r="B26" s="3"/>
      <c r="C26" s="3"/>
      <c r="D26" s="3"/>
      <c r="E26" s="3"/>
      <c r="F26" s="3"/>
      <c r="G26" s="3"/>
      <c r="H26" s="3"/>
      <c r="I26" s="3"/>
    </row>
    <row r="27" spans="1:15" x14ac:dyDescent="0.25">
      <c r="A27" s="104" t="s">
        <v>13</v>
      </c>
      <c r="B27" s="2">
        <v>150</v>
      </c>
      <c r="C27" s="2">
        <v>1</v>
      </c>
      <c r="D27" s="2">
        <f t="shared" ref="D27:D29" si="20">B27*C27</f>
        <v>150</v>
      </c>
      <c r="E27" s="2">
        <f>ROUND(E23*0.2,0)</f>
        <v>0</v>
      </c>
      <c r="F27" s="6">
        <f t="shared" ref="F27:F29" si="21">D27*E27</f>
        <v>0</v>
      </c>
      <c r="G27" s="2">
        <f t="shared" ref="G27:G29" si="22">F27*0.05</f>
        <v>0</v>
      </c>
      <c r="H27" s="2">
        <f t="shared" ref="H27:H29" si="23">F27*0.1</f>
        <v>0</v>
      </c>
      <c r="I27" s="7">
        <f>F27*F$1+G27*G$1+H27*H$1</f>
        <v>0</v>
      </c>
    </row>
    <row r="28" spans="1:15" x14ac:dyDescent="0.25">
      <c r="A28" s="104" t="s">
        <v>14</v>
      </c>
      <c r="B28" s="2">
        <v>100</v>
      </c>
      <c r="C28" s="2">
        <v>1</v>
      </c>
      <c r="D28" s="2">
        <f t="shared" si="20"/>
        <v>100</v>
      </c>
      <c r="E28" s="2">
        <f t="shared" ref="E28:E29" si="24">ROUND(E24*0.2,0)</f>
        <v>1</v>
      </c>
      <c r="F28" s="6">
        <f t="shared" si="21"/>
        <v>100</v>
      </c>
      <c r="G28" s="2">
        <f t="shared" si="22"/>
        <v>5</v>
      </c>
      <c r="H28" s="2">
        <f t="shared" si="23"/>
        <v>10</v>
      </c>
      <c r="I28" s="7">
        <f>F28*F$1+G28*G$1+H28*H$1</f>
        <v>11864.85</v>
      </c>
    </row>
    <row r="29" spans="1:15" x14ac:dyDescent="0.25">
      <c r="A29" s="104" t="s">
        <v>15</v>
      </c>
      <c r="B29" s="2">
        <v>350</v>
      </c>
      <c r="C29" s="2">
        <v>1</v>
      </c>
      <c r="D29" s="2">
        <f t="shared" si="20"/>
        <v>350</v>
      </c>
      <c r="E29" s="2">
        <f t="shared" si="24"/>
        <v>7</v>
      </c>
      <c r="F29" s="6">
        <f t="shared" si="21"/>
        <v>2450</v>
      </c>
      <c r="G29" s="2">
        <f t="shared" si="22"/>
        <v>122.5</v>
      </c>
      <c r="H29" s="2">
        <f t="shared" si="23"/>
        <v>245</v>
      </c>
      <c r="I29" s="7">
        <f>F29*F$1+G29*G$1+H29*H$1</f>
        <v>290688.82500000001</v>
      </c>
    </row>
    <row r="30" spans="1:15" x14ac:dyDescent="0.25">
      <c r="A30" s="5" t="s">
        <v>19</v>
      </c>
      <c r="B30" s="2" t="s">
        <v>20</v>
      </c>
      <c r="C30" s="3"/>
      <c r="D30" s="3"/>
      <c r="E30" s="3"/>
      <c r="F30" s="3"/>
      <c r="G30" s="3"/>
      <c r="H30" s="3"/>
      <c r="I30" s="3"/>
    </row>
    <row r="31" spans="1:15" x14ac:dyDescent="0.25">
      <c r="A31" s="5" t="s">
        <v>21</v>
      </c>
      <c r="B31" s="3"/>
      <c r="C31" s="3"/>
      <c r="D31" s="3"/>
      <c r="E31" s="3"/>
      <c r="F31" s="3"/>
      <c r="G31" s="3"/>
      <c r="H31" s="3"/>
      <c r="I31" s="3"/>
    </row>
    <row r="32" spans="1:15" x14ac:dyDescent="0.25">
      <c r="A32" s="105" t="s">
        <v>22</v>
      </c>
      <c r="B32" s="2">
        <v>16</v>
      </c>
      <c r="C32" s="2">
        <v>4</v>
      </c>
      <c r="D32" s="2">
        <f t="shared" ref="D32:D33" si="25">B32*C32</f>
        <v>64</v>
      </c>
      <c r="E32" s="2">
        <f>ROUND(M19*0.2,0)</f>
        <v>154</v>
      </c>
      <c r="F32" s="6">
        <f t="shared" ref="F32:F33" si="26">D32*E32</f>
        <v>9856</v>
      </c>
      <c r="G32" s="2">
        <f t="shared" ref="G32:G33" si="27">F32*0.05</f>
        <v>492.8</v>
      </c>
      <c r="H32" s="2">
        <f t="shared" ref="H32:H33" si="28">F32*0.1</f>
        <v>985.6</v>
      </c>
      <c r="I32" s="7">
        <f>F32*F$1+G32*G$1+H32*H$1</f>
        <v>1169399.6159999999</v>
      </c>
    </row>
    <row r="33" spans="1:9" x14ac:dyDescent="0.25">
      <c r="A33" s="105" t="s">
        <v>23</v>
      </c>
      <c r="B33" s="2">
        <v>16</v>
      </c>
      <c r="C33" s="2">
        <v>2</v>
      </c>
      <c r="D33" s="2">
        <f t="shared" si="25"/>
        <v>32</v>
      </c>
      <c r="E33" s="2">
        <f>M19*0.8</f>
        <v>616</v>
      </c>
      <c r="F33" s="6">
        <f t="shared" si="26"/>
        <v>19712</v>
      </c>
      <c r="G33" s="2">
        <f t="shared" si="27"/>
        <v>985.6</v>
      </c>
      <c r="H33" s="2">
        <f t="shared" si="28"/>
        <v>1971.2</v>
      </c>
      <c r="I33" s="7">
        <f>F33*F$1+G33*G$1+H33*H$1</f>
        <v>2338799.2319999998</v>
      </c>
    </row>
    <row r="34" spans="1:9" x14ac:dyDescent="0.25">
      <c r="A34" s="5" t="s">
        <v>24</v>
      </c>
      <c r="B34" s="3"/>
      <c r="C34" s="3"/>
      <c r="D34" s="3"/>
      <c r="E34" s="3"/>
      <c r="F34" s="3"/>
      <c r="G34" s="3"/>
      <c r="H34" s="3"/>
      <c r="I34" s="3"/>
    </row>
    <row r="35" spans="1:9" x14ac:dyDescent="0.25">
      <c r="A35" s="5" t="s">
        <v>22</v>
      </c>
      <c r="B35" s="3"/>
      <c r="C35" s="3"/>
      <c r="D35" s="3"/>
      <c r="E35" s="3"/>
      <c r="F35" s="3"/>
      <c r="G35" s="3"/>
      <c r="H35" s="3"/>
      <c r="I35" s="3"/>
    </row>
    <row r="36" spans="1:9" x14ac:dyDescent="0.25">
      <c r="A36" s="105" t="s">
        <v>25</v>
      </c>
      <c r="B36" s="2">
        <v>16</v>
      </c>
      <c r="C36" s="2">
        <v>4</v>
      </c>
      <c r="D36" s="2">
        <f t="shared" ref="D36:D37" si="29">B36*C36</f>
        <v>64</v>
      </c>
      <c r="E36" s="2">
        <f>ROUND(M20*0.2*0.2,0)</f>
        <v>33</v>
      </c>
      <c r="F36" s="6">
        <f t="shared" ref="F36:F37" si="30">D36*E36</f>
        <v>2112</v>
      </c>
      <c r="G36" s="2">
        <f t="shared" ref="G36:G37" si="31">F36*0.05</f>
        <v>105.60000000000001</v>
      </c>
      <c r="H36" s="2">
        <f t="shared" ref="H36:H37" si="32">F36*0.1</f>
        <v>211.20000000000002</v>
      </c>
      <c r="I36" s="7">
        <f>F36*F$1+G36*G$1+H36*H$1</f>
        <v>250585.63200000001</v>
      </c>
    </row>
    <row r="37" spans="1:9" x14ac:dyDescent="0.25">
      <c r="A37" s="105" t="s">
        <v>26</v>
      </c>
      <c r="B37" s="2">
        <v>8</v>
      </c>
      <c r="C37" s="2">
        <v>4</v>
      </c>
      <c r="D37" s="2">
        <f t="shared" si="29"/>
        <v>32</v>
      </c>
      <c r="E37" s="2">
        <f>ROUND(M20*0.2*0.8,0)</f>
        <v>131</v>
      </c>
      <c r="F37" s="6">
        <f t="shared" si="30"/>
        <v>4192</v>
      </c>
      <c r="G37" s="2">
        <f t="shared" si="31"/>
        <v>209.60000000000002</v>
      </c>
      <c r="H37" s="2">
        <f t="shared" si="32"/>
        <v>419.20000000000005</v>
      </c>
      <c r="I37" s="7">
        <f>F37*F$1+G37*G$1+H37*H$1</f>
        <v>497374.51200000005</v>
      </c>
    </row>
    <row r="38" spans="1:9" x14ac:dyDescent="0.25">
      <c r="A38" s="5" t="s">
        <v>23</v>
      </c>
      <c r="B38" s="3"/>
      <c r="C38" s="3"/>
      <c r="D38" s="3"/>
      <c r="E38" s="3"/>
      <c r="F38" s="3"/>
      <c r="G38" s="3"/>
      <c r="H38" s="3"/>
      <c r="I38" s="3"/>
    </row>
    <row r="39" spans="1:9" x14ac:dyDescent="0.25">
      <c r="A39" s="105" t="s">
        <v>25</v>
      </c>
      <c r="B39" s="2">
        <v>16</v>
      </c>
      <c r="C39" s="2">
        <v>2</v>
      </c>
      <c r="D39" s="2">
        <f t="shared" ref="D39:D40" si="33">B39*C39</f>
        <v>32</v>
      </c>
      <c r="E39" s="2">
        <f>ROUND(M20*0.8*0.2,0)</f>
        <v>131</v>
      </c>
      <c r="F39" s="6">
        <f t="shared" ref="F39:F40" si="34">D39*E39</f>
        <v>4192</v>
      </c>
      <c r="G39" s="2">
        <f t="shared" ref="G39:G40" si="35">F39*0.05</f>
        <v>209.60000000000002</v>
      </c>
      <c r="H39" s="2">
        <f t="shared" ref="H39:H40" si="36">F39*0.1</f>
        <v>419.20000000000005</v>
      </c>
      <c r="I39" s="7">
        <f>F39*F$1+G39*G$1+H39*H$1</f>
        <v>497374.51200000005</v>
      </c>
    </row>
    <row r="40" spans="1:9" x14ac:dyDescent="0.25">
      <c r="A40" s="105" t="s">
        <v>26</v>
      </c>
      <c r="B40" s="2">
        <v>8</v>
      </c>
      <c r="C40" s="2">
        <v>2</v>
      </c>
      <c r="D40" s="2">
        <f t="shared" si="33"/>
        <v>16</v>
      </c>
      <c r="E40" s="2">
        <f>ROUND(M20*0.8*0.8,0)</f>
        <v>525</v>
      </c>
      <c r="F40" s="6">
        <f t="shared" si="34"/>
        <v>8400</v>
      </c>
      <c r="G40" s="2">
        <f t="shared" si="35"/>
        <v>420</v>
      </c>
      <c r="H40" s="2">
        <f t="shared" si="36"/>
        <v>840</v>
      </c>
      <c r="I40" s="7">
        <f>F40*F$1+G40*G$1+H40*H$1</f>
        <v>996647.4</v>
      </c>
    </row>
    <row r="41" spans="1:9" x14ac:dyDescent="0.25">
      <c r="A41" s="5" t="s">
        <v>27</v>
      </c>
      <c r="B41" s="3"/>
      <c r="C41" s="3"/>
      <c r="D41" s="3"/>
      <c r="E41" s="3"/>
      <c r="F41" s="3"/>
      <c r="G41" s="3"/>
      <c r="H41" s="3"/>
      <c r="I41" s="3"/>
    </row>
    <row r="42" spans="1:9" x14ac:dyDescent="0.25">
      <c r="A42" s="5" t="s">
        <v>22</v>
      </c>
      <c r="B42" s="3"/>
      <c r="C42" s="3"/>
      <c r="D42" s="3"/>
      <c r="E42" s="3"/>
      <c r="F42" s="3"/>
      <c r="G42" s="3"/>
      <c r="H42" s="3"/>
      <c r="I42" s="3"/>
    </row>
    <row r="43" spans="1:9" x14ac:dyDescent="0.25">
      <c r="A43" s="5" t="s">
        <v>28</v>
      </c>
      <c r="B43" s="2">
        <v>16</v>
      </c>
      <c r="C43" s="2">
        <v>4</v>
      </c>
      <c r="D43" s="2">
        <f t="shared" ref="D43:D45" si="37">B43*C43</f>
        <v>64</v>
      </c>
      <c r="E43" s="2">
        <f>ROUND(M21*0.2,0)</f>
        <v>369</v>
      </c>
      <c r="F43" s="6">
        <f t="shared" ref="F43:F45" si="38">D43*E43</f>
        <v>23616</v>
      </c>
      <c r="G43" s="2">
        <f t="shared" ref="G43:G45" si="39">F43*0.05</f>
        <v>1180.8</v>
      </c>
      <c r="H43" s="2">
        <f t="shared" ref="H43:H45" si="40">F43*0.1</f>
        <v>2361.6</v>
      </c>
      <c r="I43" s="7">
        <f>F43*F$1+G43*G$1+H43*H$1</f>
        <v>2802002.9760000003</v>
      </c>
    </row>
    <row r="44" spans="1:9" x14ac:dyDescent="0.25">
      <c r="A44" s="105" t="s">
        <v>25</v>
      </c>
      <c r="B44" s="2">
        <v>16</v>
      </c>
      <c r="C44" s="2">
        <v>4</v>
      </c>
      <c r="D44" s="2">
        <f t="shared" si="37"/>
        <v>64</v>
      </c>
      <c r="E44" s="2">
        <f>ROUND(E43*0.2,0)</f>
        <v>74</v>
      </c>
      <c r="F44" s="6">
        <f t="shared" si="38"/>
        <v>4736</v>
      </c>
      <c r="G44" s="2">
        <f t="shared" si="39"/>
        <v>236.8</v>
      </c>
      <c r="H44" s="2">
        <f t="shared" si="40"/>
        <v>473.6</v>
      </c>
      <c r="I44" s="7">
        <f>F44*F$1+G44*G$1+H44*H$1</f>
        <v>561919.29599999997</v>
      </c>
    </row>
    <row r="45" spans="1:9" x14ac:dyDescent="0.25">
      <c r="A45" s="105" t="s">
        <v>26</v>
      </c>
      <c r="B45" s="2">
        <v>8</v>
      </c>
      <c r="C45" s="2">
        <v>4</v>
      </c>
      <c r="D45" s="2">
        <f t="shared" si="37"/>
        <v>32</v>
      </c>
      <c r="E45" s="2">
        <f>ROUND(E43*0.8,0)</f>
        <v>295</v>
      </c>
      <c r="F45" s="6">
        <f t="shared" si="38"/>
        <v>9440</v>
      </c>
      <c r="G45" s="2">
        <f t="shared" si="39"/>
        <v>472</v>
      </c>
      <c r="H45" s="2">
        <f t="shared" si="40"/>
        <v>944</v>
      </c>
      <c r="I45" s="7">
        <f>F45*F$1+G45*G$1+H45*H$1</f>
        <v>1120041.8399999999</v>
      </c>
    </row>
    <row r="46" spans="1:9" x14ac:dyDescent="0.25">
      <c r="A46" s="5" t="s">
        <v>23</v>
      </c>
      <c r="B46" s="3"/>
      <c r="C46" s="3"/>
      <c r="D46" s="3"/>
      <c r="E46" s="3"/>
      <c r="F46" s="3"/>
      <c r="G46" s="3"/>
      <c r="H46" s="3"/>
      <c r="I46" s="3"/>
    </row>
    <row r="47" spans="1:9" x14ac:dyDescent="0.25">
      <c r="A47" s="105" t="s">
        <v>28</v>
      </c>
      <c r="B47" s="2">
        <v>16</v>
      </c>
      <c r="C47" s="2">
        <v>2</v>
      </c>
      <c r="D47" s="2">
        <f t="shared" ref="D47:D49" si="41">B47*C47</f>
        <v>32</v>
      </c>
      <c r="E47" s="6">
        <f>ROUND(M21*0.8,0)</f>
        <v>1477</v>
      </c>
      <c r="F47" s="6">
        <f t="shared" ref="F47:F49" si="42">D47*E47</f>
        <v>47264</v>
      </c>
      <c r="G47" s="2">
        <f t="shared" ref="G47:G49" si="43">F47*0.05</f>
        <v>2363.2000000000003</v>
      </c>
      <c r="H47" s="2">
        <f t="shared" ref="H47:H49" si="44">F47*0.1</f>
        <v>4726.4000000000005</v>
      </c>
      <c r="I47" s="7">
        <f>F47*F$1+G47*G$1+H47*H$1</f>
        <v>5607802.7039999999</v>
      </c>
    </row>
    <row r="48" spans="1:9" x14ac:dyDescent="0.25">
      <c r="A48" s="105" t="s">
        <v>25</v>
      </c>
      <c r="B48" s="2">
        <v>16</v>
      </c>
      <c r="C48" s="2">
        <v>2</v>
      </c>
      <c r="D48" s="2">
        <f t="shared" si="41"/>
        <v>32</v>
      </c>
      <c r="E48" s="2">
        <f>ROUND(E47*0.2,0)</f>
        <v>295</v>
      </c>
      <c r="F48" s="6">
        <f t="shared" si="42"/>
        <v>9440</v>
      </c>
      <c r="G48" s="2">
        <f t="shared" si="43"/>
        <v>472</v>
      </c>
      <c r="H48" s="2">
        <f t="shared" si="44"/>
        <v>944</v>
      </c>
      <c r="I48" s="7">
        <f>F48*F$1+G48*G$1+H48*H$1</f>
        <v>1120041.8399999999</v>
      </c>
    </row>
    <row r="49" spans="1:9" x14ac:dyDescent="0.25">
      <c r="A49" s="105" t="s">
        <v>26</v>
      </c>
      <c r="B49" s="2">
        <v>8</v>
      </c>
      <c r="C49" s="2">
        <v>2</v>
      </c>
      <c r="D49" s="2">
        <f t="shared" si="41"/>
        <v>16</v>
      </c>
      <c r="E49" s="6">
        <f>ROUND(E47*0.8,0)</f>
        <v>1182</v>
      </c>
      <c r="F49" s="6">
        <f t="shared" si="42"/>
        <v>18912</v>
      </c>
      <c r="G49" s="2">
        <f t="shared" si="43"/>
        <v>945.6</v>
      </c>
      <c r="H49" s="2">
        <f t="shared" si="44"/>
        <v>1891.2</v>
      </c>
      <c r="I49" s="7">
        <f>F49*F$1+G49*G$1+H49*H$1</f>
        <v>2243880.432</v>
      </c>
    </row>
    <row r="50" spans="1:9" x14ac:dyDescent="0.25">
      <c r="A50" s="5" t="s">
        <v>29</v>
      </c>
      <c r="B50" s="3"/>
      <c r="C50" s="3"/>
      <c r="D50" s="3"/>
      <c r="E50" s="3"/>
      <c r="F50" s="3"/>
      <c r="G50" s="3"/>
      <c r="H50" s="3"/>
      <c r="I50" s="3"/>
    </row>
    <row r="51" spans="1:9" x14ac:dyDescent="0.25">
      <c r="A51" s="5" t="s">
        <v>22</v>
      </c>
      <c r="B51" s="3"/>
      <c r="C51" s="3"/>
      <c r="D51" s="3"/>
      <c r="E51" s="3"/>
      <c r="F51" s="3"/>
      <c r="G51" s="3"/>
      <c r="H51" s="3"/>
      <c r="I51" s="3"/>
    </row>
    <row r="52" spans="1:9" x14ac:dyDescent="0.25">
      <c r="A52" s="105" t="s">
        <v>13</v>
      </c>
      <c r="B52" s="2">
        <v>11</v>
      </c>
      <c r="C52" s="2">
        <v>4</v>
      </c>
      <c r="D52" s="2">
        <f t="shared" ref="D52:D53" si="45">B52*C52</f>
        <v>44</v>
      </c>
      <c r="E52" s="2">
        <f>ROUND(M19*0.2,0)</f>
        <v>154</v>
      </c>
      <c r="F52" s="6">
        <f t="shared" ref="F52:F53" si="46">D52*E52</f>
        <v>6776</v>
      </c>
      <c r="G52" s="2">
        <f t="shared" ref="G52:G53" si="47">F52*0.05</f>
        <v>338.8</v>
      </c>
      <c r="H52" s="2">
        <f t="shared" ref="H52:H53" si="48">F52*0.1</f>
        <v>677.6</v>
      </c>
      <c r="I52" s="7">
        <f>F52*F$1+G52*G$1+H52*H$1</f>
        <v>803962.23600000015</v>
      </c>
    </row>
    <row r="53" spans="1:9" x14ac:dyDescent="0.25">
      <c r="A53" s="105" t="s">
        <v>15</v>
      </c>
      <c r="B53" s="2">
        <v>11</v>
      </c>
      <c r="C53" s="2">
        <v>4</v>
      </c>
      <c r="D53" s="2">
        <f t="shared" si="45"/>
        <v>44</v>
      </c>
      <c r="E53" s="2">
        <f>ROUND(M21*0.2,0)</f>
        <v>369</v>
      </c>
      <c r="F53" s="6">
        <f t="shared" si="46"/>
        <v>16236</v>
      </c>
      <c r="G53" s="2">
        <f t="shared" si="47"/>
        <v>811.80000000000007</v>
      </c>
      <c r="H53" s="2">
        <f t="shared" si="48"/>
        <v>1623.6000000000001</v>
      </c>
      <c r="I53" s="7">
        <f>F53*F$1+G53*G$1+H53*H$1</f>
        <v>1926377.0459999999</v>
      </c>
    </row>
    <row r="54" spans="1:9" x14ac:dyDescent="0.25">
      <c r="A54" s="5" t="s">
        <v>23</v>
      </c>
      <c r="B54" s="3"/>
      <c r="C54" s="3"/>
      <c r="D54" s="3"/>
      <c r="E54" s="3"/>
      <c r="F54" s="3"/>
      <c r="G54" s="3"/>
      <c r="H54" s="3"/>
      <c r="I54" s="3"/>
    </row>
    <row r="55" spans="1:9" x14ac:dyDescent="0.25">
      <c r="A55" s="105" t="s">
        <v>13</v>
      </c>
      <c r="B55" s="2">
        <v>11</v>
      </c>
      <c r="C55" s="2">
        <v>2</v>
      </c>
      <c r="D55" s="2">
        <f t="shared" ref="D55:D57" si="49">B55*C55</f>
        <v>22</v>
      </c>
      <c r="E55" s="2">
        <f>ROUND(M19*0.8,0)</f>
        <v>616</v>
      </c>
      <c r="F55" s="6">
        <f t="shared" ref="F55:F57" si="50">D55*E55</f>
        <v>13552</v>
      </c>
      <c r="G55" s="22">
        <f t="shared" ref="G55:G57" si="51">F55*0.05</f>
        <v>677.6</v>
      </c>
      <c r="H55" s="22">
        <f t="shared" ref="H55:H57" si="52">F55*0.1</f>
        <v>1355.2</v>
      </c>
      <c r="I55" s="7">
        <f>F55*F$1+G55*G$1+H55*H$1</f>
        <v>1607924.4720000003</v>
      </c>
    </row>
    <row r="56" spans="1:9" x14ac:dyDescent="0.25">
      <c r="A56" s="105" t="s">
        <v>15</v>
      </c>
      <c r="B56" s="2">
        <v>11</v>
      </c>
      <c r="C56" s="2">
        <v>2</v>
      </c>
      <c r="D56" s="2">
        <f t="shared" si="49"/>
        <v>22</v>
      </c>
      <c r="E56" s="6">
        <f>ROUND(M21*0.8,0)</f>
        <v>1477</v>
      </c>
      <c r="F56" s="6">
        <f t="shared" si="50"/>
        <v>32494</v>
      </c>
      <c r="G56" s="22">
        <f t="shared" si="51"/>
        <v>1624.7</v>
      </c>
      <c r="H56" s="22">
        <f t="shared" si="52"/>
        <v>3249.4</v>
      </c>
      <c r="I56" s="7">
        <f>F56*F$1+G56*G$1+H56*H$1</f>
        <v>3855364.3590000002</v>
      </c>
    </row>
    <row r="57" spans="1:9" x14ac:dyDescent="0.25">
      <c r="A57" s="5" t="s">
        <v>30</v>
      </c>
      <c r="B57" s="2">
        <v>250</v>
      </c>
      <c r="C57" s="2">
        <v>1</v>
      </c>
      <c r="D57" s="2">
        <f t="shared" si="49"/>
        <v>250</v>
      </c>
      <c r="E57" s="6">
        <f>M21</f>
        <v>1846</v>
      </c>
      <c r="F57" s="6">
        <f t="shared" si="50"/>
        <v>461500</v>
      </c>
      <c r="G57" s="2">
        <f t="shared" si="51"/>
        <v>23075</v>
      </c>
      <c r="H57" s="2">
        <f t="shared" si="52"/>
        <v>46150</v>
      </c>
      <c r="I57" s="7">
        <f>F57*F$1+G57*G$1+H57*H$1</f>
        <v>54756282.75</v>
      </c>
    </row>
    <row r="58" spans="1:9" x14ac:dyDescent="0.25">
      <c r="A58" s="5" t="s">
        <v>31</v>
      </c>
      <c r="B58" s="3"/>
      <c r="C58" s="3"/>
      <c r="D58" s="3"/>
      <c r="E58" s="3"/>
      <c r="F58" s="3"/>
      <c r="G58" s="3"/>
      <c r="H58" s="3"/>
      <c r="I58" s="3"/>
    </row>
    <row r="59" spans="1:9" x14ac:dyDescent="0.25">
      <c r="A59" s="105" t="s">
        <v>13</v>
      </c>
      <c r="B59" s="2">
        <v>36</v>
      </c>
      <c r="C59" s="2">
        <v>1</v>
      </c>
      <c r="D59" s="2">
        <f t="shared" ref="D59:D60" si="53">B59*C59</f>
        <v>36</v>
      </c>
      <c r="E59" s="2">
        <f>M19</f>
        <v>770</v>
      </c>
      <c r="F59" s="6">
        <f t="shared" ref="F59:F60" si="54">D59*E59</f>
        <v>27720</v>
      </c>
      <c r="G59" s="6">
        <f t="shared" ref="G59:G60" si="55">F59*0.05</f>
        <v>1386</v>
      </c>
      <c r="H59" s="6">
        <f t="shared" ref="H59:H60" si="56">F59*0.1</f>
        <v>2772</v>
      </c>
      <c r="I59" s="7">
        <f>F59*F$1+G59*G$1+H59*H$1</f>
        <v>3288936.42</v>
      </c>
    </row>
    <row r="60" spans="1:9" x14ac:dyDescent="0.25">
      <c r="A60" s="105" t="s">
        <v>15</v>
      </c>
      <c r="B60" s="2">
        <v>36</v>
      </c>
      <c r="C60" s="2">
        <v>1</v>
      </c>
      <c r="D60" s="2">
        <f t="shared" si="53"/>
        <v>36</v>
      </c>
      <c r="E60" s="6">
        <f>M21</f>
        <v>1846</v>
      </c>
      <c r="F60" s="6">
        <f t="shared" si="54"/>
        <v>66456</v>
      </c>
      <c r="G60" s="22">
        <f t="shared" si="55"/>
        <v>3322.8</v>
      </c>
      <c r="H60" s="22">
        <f t="shared" si="56"/>
        <v>6645.6</v>
      </c>
      <c r="I60" s="7">
        <f>F60*F$1+G60*G$1+H60*H$1</f>
        <v>7884904.716</v>
      </c>
    </row>
    <row r="61" spans="1:9" x14ac:dyDescent="0.25">
      <c r="A61" s="5" t="s">
        <v>32</v>
      </c>
      <c r="B61" s="3"/>
      <c r="C61" s="3"/>
      <c r="D61" s="3"/>
      <c r="E61" s="3"/>
      <c r="F61" s="3"/>
      <c r="G61" s="3"/>
      <c r="H61" s="3"/>
      <c r="I61" s="3"/>
    </row>
    <row r="62" spans="1:9" x14ac:dyDescent="0.25">
      <c r="A62" s="5" t="s">
        <v>22</v>
      </c>
      <c r="B62" s="3"/>
      <c r="C62" s="3"/>
      <c r="D62" s="3"/>
      <c r="E62" s="3"/>
      <c r="F62" s="3"/>
      <c r="G62" s="3"/>
      <c r="H62" s="3"/>
      <c r="I62" s="3"/>
    </row>
    <row r="63" spans="1:9" x14ac:dyDescent="0.25">
      <c r="A63" s="105" t="s">
        <v>33</v>
      </c>
      <c r="B63" s="2">
        <v>125</v>
      </c>
      <c r="C63" s="2">
        <v>4</v>
      </c>
      <c r="D63" s="2">
        <f t="shared" ref="D63:D64" si="57">B63*C63</f>
        <v>500</v>
      </c>
      <c r="E63" s="2">
        <f>ROUND(M19*0.2*0.25,0)</f>
        <v>39</v>
      </c>
      <c r="F63" s="6">
        <f t="shared" ref="F63:F64" si="58">D63*E63</f>
        <v>19500</v>
      </c>
      <c r="G63" s="6">
        <f t="shared" ref="G63:G64" si="59">F63*0.05</f>
        <v>975</v>
      </c>
      <c r="H63" s="6">
        <f t="shared" ref="H63:H64" si="60">F63*0.1</f>
        <v>1950</v>
      </c>
      <c r="I63" s="7">
        <f>F63*F$1+G63*G$1+H63*H$1</f>
        <v>2313645.75</v>
      </c>
    </row>
    <row r="64" spans="1:9" x14ac:dyDescent="0.25">
      <c r="A64" s="105" t="s">
        <v>34</v>
      </c>
      <c r="B64" s="2">
        <v>36</v>
      </c>
      <c r="C64" s="2">
        <v>4</v>
      </c>
      <c r="D64" s="2">
        <f t="shared" si="57"/>
        <v>144</v>
      </c>
      <c r="E64" s="2">
        <f>ROUND(M19*0.2*0.75,0)</f>
        <v>116</v>
      </c>
      <c r="F64" s="6">
        <f t="shared" si="58"/>
        <v>16704</v>
      </c>
      <c r="G64" s="22">
        <f t="shared" si="59"/>
        <v>835.2</v>
      </c>
      <c r="H64" s="22">
        <f t="shared" si="60"/>
        <v>1670.4</v>
      </c>
      <c r="I64" s="7">
        <f>F64*F$1+G64*G$1+H64*H$1</f>
        <v>1981904.544</v>
      </c>
    </row>
    <row r="65" spans="1:10" x14ac:dyDescent="0.25">
      <c r="A65" s="5" t="s">
        <v>23</v>
      </c>
      <c r="B65" s="3"/>
      <c r="C65" s="3"/>
      <c r="D65" s="3"/>
      <c r="E65" s="3"/>
      <c r="F65" s="3"/>
      <c r="G65" s="3"/>
      <c r="H65" s="3"/>
      <c r="I65" s="3"/>
    </row>
    <row r="66" spans="1:10" x14ac:dyDescent="0.25">
      <c r="A66" s="105" t="s">
        <v>33</v>
      </c>
      <c r="B66" s="2">
        <v>125</v>
      </c>
      <c r="C66" s="2">
        <v>2</v>
      </c>
      <c r="D66" s="2">
        <f t="shared" ref="D66:D67" si="61">B66*C66</f>
        <v>250</v>
      </c>
      <c r="E66" s="2">
        <f>ROUND(M19*0.8*0.25,0)</f>
        <v>154</v>
      </c>
      <c r="F66" s="6">
        <f t="shared" ref="F66:F67" si="62">D66*E66</f>
        <v>38500</v>
      </c>
      <c r="G66" s="6">
        <f t="shared" ref="G66:G67" si="63">F66*0.05</f>
        <v>1925</v>
      </c>
      <c r="H66" s="6">
        <f t="shared" ref="H66:H67" si="64">F66*0.1</f>
        <v>3850</v>
      </c>
      <c r="I66" s="7">
        <f>F66*F$1+G66*G$1+H66*H$1</f>
        <v>4567967.25</v>
      </c>
    </row>
    <row r="67" spans="1:10" x14ac:dyDescent="0.25">
      <c r="A67" s="105" t="s">
        <v>35</v>
      </c>
      <c r="B67" s="2">
        <v>36</v>
      </c>
      <c r="C67" s="2">
        <v>2</v>
      </c>
      <c r="D67" s="2">
        <f t="shared" si="61"/>
        <v>72</v>
      </c>
      <c r="E67" s="2">
        <f>ROUND(M19*0.8*0.75,0)</f>
        <v>462</v>
      </c>
      <c r="F67" s="6">
        <f t="shared" si="62"/>
        <v>33264</v>
      </c>
      <c r="G67" s="22">
        <f t="shared" si="63"/>
        <v>1663.2</v>
      </c>
      <c r="H67" s="22">
        <f t="shared" si="64"/>
        <v>3326.4</v>
      </c>
      <c r="I67" s="7">
        <f>F67*F$1+G67*G$1+H67*H$1</f>
        <v>3946723.7040000004</v>
      </c>
    </row>
    <row r="68" spans="1:10" x14ac:dyDescent="0.25">
      <c r="A68" s="5" t="s">
        <v>22</v>
      </c>
      <c r="B68" s="3"/>
      <c r="C68" s="3"/>
      <c r="D68" s="3"/>
      <c r="E68" s="3"/>
      <c r="F68" s="3"/>
      <c r="G68" s="3"/>
      <c r="H68" s="3"/>
      <c r="I68" s="3"/>
    </row>
    <row r="69" spans="1:10" x14ac:dyDescent="0.25">
      <c r="A69" s="105" t="s">
        <v>36</v>
      </c>
      <c r="B69" s="2">
        <v>125</v>
      </c>
      <c r="C69" s="2">
        <v>4</v>
      </c>
      <c r="D69" s="2">
        <f t="shared" ref="D69:D70" si="65">B69*C69</f>
        <v>500</v>
      </c>
      <c r="E69" s="2">
        <f>ROUND(M21*0.2*0.25,0)</f>
        <v>92</v>
      </c>
      <c r="F69" s="6">
        <f t="shared" ref="F69:F70" si="66">D69*E69</f>
        <v>46000</v>
      </c>
      <c r="G69" s="6">
        <f t="shared" ref="G69:G70" si="67">F69*0.05</f>
        <v>2300</v>
      </c>
      <c r="H69" s="6">
        <f t="shared" ref="H69:H70" si="68">F69*0.1</f>
        <v>4600</v>
      </c>
      <c r="I69" s="7">
        <f>F69*F$1+G69*G$1+H69*H$1</f>
        <v>5457831</v>
      </c>
      <c r="J69" s="21">
        <f>E69/SUM(E$69:E$70)</f>
        <v>0.24932249322493225</v>
      </c>
    </row>
    <row r="70" spans="1:10" x14ac:dyDescent="0.25">
      <c r="A70" s="105" t="s">
        <v>37</v>
      </c>
      <c r="B70" s="2">
        <v>36</v>
      </c>
      <c r="C70" s="2">
        <v>4</v>
      </c>
      <c r="D70" s="2">
        <f t="shared" si="65"/>
        <v>144</v>
      </c>
      <c r="E70" s="2">
        <f>ROUND(M21*0.2*0.75,0)</f>
        <v>277</v>
      </c>
      <c r="F70" s="6">
        <f t="shared" si="66"/>
        <v>39888</v>
      </c>
      <c r="G70" s="22">
        <f t="shared" si="67"/>
        <v>1994.4</v>
      </c>
      <c r="H70" s="22">
        <f t="shared" si="68"/>
        <v>3988.8</v>
      </c>
      <c r="I70" s="7">
        <f>F70*F$1+G70*G$1+H70*H$1</f>
        <v>4732651.3680000007</v>
      </c>
      <c r="J70" s="21">
        <f>E70/SUM(E$69:E$70)</f>
        <v>0.75067750677506773</v>
      </c>
    </row>
    <row r="71" spans="1:10" x14ac:dyDescent="0.25">
      <c r="A71" s="5" t="s">
        <v>23</v>
      </c>
      <c r="B71" s="3"/>
      <c r="C71" s="3"/>
      <c r="D71" s="3"/>
      <c r="E71" s="3"/>
      <c r="F71" s="3"/>
      <c r="G71" s="3"/>
      <c r="H71" s="3"/>
      <c r="I71" s="3"/>
    </row>
    <row r="72" spans="1:10" x14ac:dyDescent="0.25">
      <c r="A72" s="105" t="s">
        <v>36</v>
      </c>
      <c r="B72" s="2">
        <v>125</v>
      </c>
      <c r="C72" s="2">
        <v>2</v>
      </c>
      <c r="D72" s="2">
        <f t="shared" ref="D72:D73" si="69">B72*C72</f>
        <v>250</v>
      </c>
      <c r="E72" s="6">
        <f>ROUND(M21*0.8*0.25,0)</f>
        <v>369</v>
      </c>
      <c r="F72" s="6">
        <f t="shared" ref="F72:F73" si="70">D72*E72</f>
        <v>92250</v>
      </c>
      <c r="G72" s="6">
        <f t="shared" ref="G72:G73" si="71">F72*0.05</f>
        <v>4612.5</v>
      </c>
      <c r="H72" s="6">
        <f t="shared" ref="H72:H73" si="72">F72*0.1</f>
        <v>9225</v>
      </c>
      <c r="I72" s="7">
        <f>F72*F$1+G72*G$1+H72*H$1</f>
        <v>10945324.125</v>
      </c>
    </row>
    <row r="73" spans="1:10" x14ac:dyDescent="0.25">
      <c r="A73" s="105" t="s">
        <v>37</v>
      </c>
      <c r="B73" s="2">
        <v>36</v>
      </c>
      <c r="C73" s="2">
        <v>2</v>
      </c>
      <c r="D73" s="2">
        <f t="shared" si="69"/>
        <v>72</v>
      </c>
      <c r="E73" s="6">
        <f>ROUND(M21*0.8*0.75,0)</f>
        <v>1108</v>
      </c>
      <c r="F73" s="6">
        <f t="shared" si="70"/>
        <v>79776</v>
      </c>
      <c r="G73" s="22">
        <f t="shared" si="71"/>
        <v>3988.8</v>
      </c>
      <c r="H73" s="22">
        <f t="shared" si="72"/>
        <v>7977.6</v>
      </c>
      <c r="I73" s="7">
        <f>F73*F$1+G73*G$1+H73*H$1</f>
        <v>9465302.7360000014</v>
      </c>
    </row>
    <row r="74" spans="1:10" x14ac:dyDescent="0.25">
      <c r="A74" s="5" t="s">
        <v>38</v>
      </c>
      <c r="B74" s="2" t="s">
        <v>20</v>
      </c>
      <c r="C74" s="3"/>
      <c r="D74" s="3"/>
      <c r="E74" s="3"/>
      <c r="F74" s="3"/>
      <c r="G74" s="3"/>
      <c r="H74" s="3"/>
      <c r="I74" s="3"/>
    </row>
    <row r="75" spans="1:10" x14ac:dyDescent="0.25">
      <c r="A75" s="5" t="s">
        <v>39</v>
      </c>
      <c r="B75" s="2" t="s">
        <v>20</v>
      </c>
      <c r="C75" s="3"/>
      <c r="D75" s="3"/>
      <c r="E75" s="3"/>
      <c r="F75" s="3"/>
      <c r="G75" s="3"/>
      <c r="H75" s="3"/>
      <c r="I75" s="3"/>
    </row>
    <row r="76" spans="1:10" x14ac:dyDescent="0.25">
      <c r="A76" s="5" t="s">
        <v>40</v>
      </c>
      <c r="B76" s="3"/>
      <c r="C76" s="3"/>
      <c r="D76" s="3"/>
      <c r="E76" s="3"/>
      <c r="F76" s="3"/>
      <c r="G76" s="3"/>
      <c r="H76" s="3"/>
      <c r="I76" s="3"/>
    </row>
    <row r="77" spans="1:10" x14ac:dyDescent="0.25">
      <c r="A77" s="8" t="s">
        <v>41</v>
      </c>
      <c r="B77" s="2">
        <v>2</v>
      </c>
      <c r="C77" s="2">
        <v>1</v>
      </c>
      <c r="D77" s="2">
        <f t="shared" ref="D77:D80" si="73">B77*C77</f>
        <v>2</v>
      </c>
      <c r="E77" s="2">
        <f>M$17</f>
        <v>37</v>
      </c>
      <c r="F77" s="6">
        <f t="shared" ref="F77:F80" si="74">D77*E77</f>
        <v>74</v>
      </c>
      <c r="G77" s="2">
        <f t="shared" ref="G77:G80" si="75">F77*0.05</f>
        <v>3.7</v>
      </c>
      <c r="H77" s="2">
        <f t="shared" ref="H77:H80" si="76">F77*0.1</f>
        <v>7.4</v>
      </c>
      <c r="I77" s="7">
        <f>F77*F$1+G77*G$1+H77*H$1</f>
        <v>8779.9889999999996</v>
      </c>
    </row>
    <row r="78" spans="1:10" x14ac:dyDescent="0.25">
      <c r="A78" s="8" t="s">
        <v>42</v>
      </c>
      <c r="B78" s="2">
        <v>2</v>
      </c>
      <c r="C78" s="2">
        <v>1</v>
      </c>
      <c r="D78" s="2">
        <f t="shared" si="73"/>
        <v>2</v>
      </c>
      <c r="E78" s="2">
        <f>M$17</f>
        <v>37</v>
      </c>
      <c r="F78" s="6">
        <f t="shared" si="74"/>
        <v>74</v>
      </c>
      <c r="G78" s="2">
        <f t="shared" si="75"/>
        <v>3.7</v>
      </c>
      <c r="H78" s="2">
        <f t="shared" si="76"/>
        <v>7.4</v>
      </c>
      <c r="I78" s="7">
        <f>F78*F$1+G78*G$1+H78*H$1</f>
        <v>8779.9889999999996</v>
      </c>
    </row>
    <row r="79" spans="1:10" x14ac:dyDescent="0.25">
      <c r="A79" s="8" t="s">
        <v>43</v>
      </c>
      <c r="B79" s="2">
        <v>2</v>
      </c>
      <c r="C79" s="2">
        <v>1</v>
      </c>
      <c r="D79" s="2">
        <f t="shared" si="73"/>
        <v>2</v>
      </c>
      <c r="E79" s="2">
        <f>M$17</f>
        <v>37</v>
      </c>
      <c r="F79" s="6">
        <f t="shared" si="74"/>
        <v>74</v>
      </c>
      <c r="G79" s="2">
        <f t="shared" si="75"/>
        <v>3.7</v>
      </c>
      <c r="H79" s="2">
        <f t="shared" si="76"/>
        <v>7.4</v>
      </c>
      <c r="I79" s="7">
        <f>F79*F$1+G79*G$1+H79*H$1</f>
        <v>8779.9889999999996</v>
      </c>
    </row>
    <row r="80" spans="1:10" x14ac:dyDescent="0.25">
      <c r="A80" s="8" t="s">
        <v>44</v>
      </c>
      <c r="B80" s="2">
        <v>4</v>
      </c>
      <c r="C80" s="2">
        <v>1</v>
      </c>
      <c r="D80" s="2">
        <f t="shared" si="73"/>
        <v>4</v>
      </c>
      <c r="E80" s="2">
        <f>ROUND(M$17/2,0)</f>
        <v>19</v>
      </c>
      <c r="F80" s="6">
        <f t="shared" si="74"/>
        <v>76</v>
      </c>
      <c r="G80" s="2">
        <f t="shared" si="75"/>
        <v>3.8000000000000003</v>
      </c>
      <c r="H80" s="2">
        <f t="shared" si="76"/>
        <v>7.6000000000000005</v>
      </c>
      <c r="I80" s="7">
        <f>F80*F$1+G80*G$1+H80*H$1</f>
        <v>9017.2860000000001</v>
      </c>
    </row>
    <row r="81" spans="1:13" x14ac:dyDescent="0.25">
      <c r="A81" s="8" t="s">
        <v>45</v>
      </c>
      <c r="B81" s="3"/>
      <c r="C81" s="3"/>
      <c r="D81" s="3"/>
      <c r="E81" s="3"/>
      <c r="F81" s="3"/>
      <c r="G81" s="3"/>
      <c r="H81" s="3"/>
      <c r="I81" s="3"/>
    </row>
    <row r="82" spans="1:13" x14ac:dyDescent="0.25">
      <c r="A82" s="8" t="s">
        <v>46</v>
      </c>
      <c r="B82" s="2">
        <v>2</v>
      </c>
      <c r="C82" s="2">
        <v>1</v>
      </c>
      <c r="D82" s="2">
        <f t="shared" ref="D82:D84" si="77">B82*C82</f>
        <v>2</v>
      </c>
      <c r="E82" s="2">
        <f>M15</f>
        <v>0</v>
      </c>
      <c r="F82" s="6">
        <f t="shared" ref="F82:F84" si="78">D82*E82</f>
        <v>0</v>
      </c>
      <c r="G82" s="2">
        <f t="shared" ref="G82:G84" si="79">F82*0.05</f>
        <v>0</v>
      </c>
      <c r="H82" s="2">
        <f t="shared" ref="H82:H84" si="80">F82*0.1</f>
        <v>0</v>
      </c>
      <c r="I82" s="7">
        <f>F82*F$1+G82*G$1+H82*H$1</f>
        <v>0</v>
      </c>
    </row>
    <row r="83" spans="1:13" x14ac:dyDescent="0.25">
      <c r="A83" s="8" t="s">
        <v>47</v>
      </c>
      <c r="B83" s="2">
        <v>2</v>
      </c>
      <c r="C83" s="2">
        <v>1</v>
      </c>
      <c r="D83" s="2">
        <f t="shared" si="77"/>
        <v>2</v>
      </c>
      <c r="E83" s="2">
        <f t="shared" ref="E83:E84" si="81">M16</f>
        <v>4</v>
      </c>
      <c r="F83" s="6">
        <f t="shared" si="78"/>
        <v>8</v>
      </c>
      <c r="G83" s="2">
        <f t="shared" si="79"/>
        <v>0.4</v>
      </c>
      <c r="H83" s="2">
        <f t="shared" si="80"/>
        <v>0.8</v>
      </c>
      <c r="I83" s="7">
        <f>F83*F$1+G83*G$1+H83*H$1</f>
        <v>949.18799999999999</v>
      </c>
    </row>
    <row r="84" spans="1:13" x14ac:dyDescent="0.25">
      <c r="A84" s="8" t="s">
        <v>48</v>
      </c>
      <c r="B84" s="2">
        <v>2</v>
      </c>
      <c r="C84" s="2">
        <v>1</v>
      </c>
      <c r="D84" s="2">
        <f t="shared" si="77"/>
        <v>2</v>
      </c>
      <c r="E84" s="2">
        <f t="shared" si="81"/>
        <v>37</v>
      </c>
      <c r="F84" s="6">
        <f t="shared" si="78"/>
        <v>74</v>
      </c>
      <c r="G84" s="2">
        <f t="shared" si="79"/>
        <v>3.7</v>
      </c>
      <c r="H84" s="2">
        <f t="shared" si="80"/>
        <v>7.4</v>
      </c>
      <c r="I84" s="7">
        <f>F84*F$1+G84*G$1+H84*H$1</f>
        <v>8779.9889999999996</v>
      </c>
    </row>
    <row r="85" spans="1:13" x14ac:dyDescent="0.25">
      <c r="A85" s="9" t="s">
        <v>49</v>
      </c>
      <c r="B85" s="102"/>
      <c r="C85" s="102"/>
      <c r="D85" s="102"/>
      <c r="E85" s="102"/>
      <c r="F85" s="113">
        <f>SUM(F3:H84)</f>
        <v>1358329.3999999997</v>
      </c>
      <c r="G85" s="113"/>
      <c r="H85" s="113"/>
      <c r="I85" s="103">
        <f>SUM(I3:I84)</f>
        <v>140142387.66599998</v>
      </c>
    </row>
    <row r="86" spans="1:13" x14ac:dyDescent="0.25">
      <c r="A86" s="1" t="s">
        <v>50</v>
      </c>
      <c r="B86" s="3"/>
      <c r="C86" s="3"/>
      <c r="D86" s="3"/>
      <c r="E86" s="3"/>
      <c r="F86" s="3"/>
      <c r="G86" s="3"/>
      <c r="H86" s="3"/>
      <c r="I86" s="3"/>
    </row>
    <row r="87" spans="1:13" x14ac:dyDescent="0.25">
      <c r="A87" s="8" t="s">
        <v>73</v>
      </c>
      <c r="B87" s="2">
        <v>1</v>
      </c>
      <c r="C87" s="2">
        <v>1</v>
      </c>
      <c r="D87" s="2">
        <f>B87*C87</f>
        <v>1</v>
      </c>
      <c r="E87" s="6">
        <f>M5</f>
        <v>1846</v>
      </c>
      <c r="F87" s="6">
        <f>D87*E87</f>
        <v>1846</v>
      </c>
      <c r="G87" s="2">
        <f>F87*0.05</f>
        <v>92.300000000000011</v>
      </c>
      <c r="H87" s="2">
        <f>F87*0.1</f>
        <v>184.60000000000002</v>
      </c>
      <c r="I87" s="7">
        <f>F87*F$1+G87*G$1+H87*H$1</f>
        <v>219025.13100000002</v>
      </c>
      <c r="K87" s="23" t="s">
        <v>74</v>
      </c>
    </row>
    <row r="88" spans="1:13" x14ac:dyDescent="0.25">
      <c r="A88" s="8" t="s">
        <v>51</v>
      </c>
      <c r="B88" s="2" t="s">
        <v>2</v>
      </c>
      <c r="C88" s="3"/>
      <c r="D88" s="3"/>
      <c r="E88" s="3"/>
      <c r="F88" s="3"/>
      <c r="G88" s="3"/>
      <c r="H88" s="3"/>
      <c r="I88" s="3"/>
    </row>
    <row r="89" spans="1:13" x14ac:dyDescent="0.25">
      <c r="A89" s="8" t="s">
        <v>52</v>
      </c>
      <c r="B89" s="2" t="s">
        <v>2</v>
      </c>
      <c r="C89" s="3"/>
      <c r="D89" s="3"/>
      <c r="E89" s="3"/>
      <c r="F89" s="3"/>
      <c r="G89" s="3"/>
      <c r="H89" s="3"/>
      <c r="I89" s="3"/>
    </row>
    <row r="90" spans="1:13" x14ac:dyDescent="0.25">
      <c r="A90" s="8" t="s">
        <v>53</v>
      </c>
      <c r="B90" s="2" t="s">
        <v>2</v>
      </c>
      <c r="C90" s="3"/>
      <c r="D90" s="3"/>
      <c r="E90" s="3"/>
      <c r="F90" s="3"/>
      <c r="G90" s="3"/>
      <c r="H90" s="3"/>
      <c r="I90" s="3"/>
    </row>
    <row r="91" spans="1:13" x14ac:dyDescent="0.25">
      <c r="A91" s="8" t="s">
        <v>54</v>
      </c>
      <c r="B91" s="2" t="s">
        <v>2</v>
      </c>
      <c r="C91" s="3"/>
      <c r="D91" s="3"/>
      <c r="E91" s="3"/>
      <c r="F91" s="3"/>
      <c r="G91" s="3"/>
      <c r="H91" s="3"/>
      <c r="I91" s="3"/>
    </row>
    <row r="92" spans="1:13" x14ac:dyDescent="0.25">
      <c r="A92" s="8" t="s">
        <v>55</v>
      </c>
      <c r="B92" s="2">
        <v>1.5</v>
      </c>
      <c r="C92" s="2">
        <v>52</v>
      </c>
      <c r="D92" s="2">
        <f t="shared" ref="D92:D93" si="82">B92*C92</f>
        <v>78</v>
      </c>
      <c r="E92" s="6">
        <f>M5</f>
        <v>1846</v>
      </c>
      <c r="F92" s="6">
        <f t="shared" ref="F92:F93" si="83">D92*E92</f>
        <v>143988</v>
      </c>
      <c r="G92" s="2">
        <f t="shared" ref="G92:G93" si="84">F92*0.05</f>
        <v>7199.4000000000005</v>
      </c>
      <c r="H92" s="2">
        <f t="shared" ref="H92:H93" si="85">F92*0.1</f>
        <v>14398.800000000001</v>
      </c>
      <c r="I92" s="7">
        <f>F92*F$1+G92*G$1+H92*H$1</f>
        <v>17083960.217999998</v>
      </c>
    </row>
    <row r="93" spans="1:13" x14ac:dyDescent="0.25">
      <c r="A93" s="5" t="s">
        <v>56</v>
      </c>
      <c r="B93" s="2">
        <v>1.5</v>
      </c>
      <c r="C93" s="2">
        <v>52</v>
      </c>
      <c r="D93" s="2">
        <f t="shared" si="82"/>
        <v>78</v>
      </c>
      <c r="E93" s="6">
        <f>M5</f>
        <v>1846</v>
      </c>
      <c r="F93" s="6">
        <f t="shared" si="83"/>
        <v>143988</v>
      </c>
      <c r="G93" s="2">
        <f t="shared" si="84"/>
        <v>7199.4000000000005</v>
      </c>
      <c r="H93" s="2">
        <f t="shared" si="85"/>
        <v>14398.800000000001</v>
      </c>
      <c r="I93" s="7">
        <f>F93*F$1+G93*G$1+H93*H$1</f>
        <v>17083960.217999998</v>
      </c>
    </row>
    <row r="94" spans="1:13" x14ac:dyDescent="0.25">
      <c r="A94" s="9" t="s">
        <v>57</v>
      </c>
      <c r="B94" s="102"/>
      <c r="C94" s="102"/>
      <c r="D94" s="102"/>
      <c r="E94" s="102"/>
      <c r="F94" s="113">
        <f>SUM(F86:H93)</f>
        <v>333295.3</v>
      </c>
      <c r="G94" s="113"/>
      <c r="H94" s="113"/>
      <c r="I94" s="103">
        <f>SUM(I86:I93)</f>
        <v>34386945.567000002</v>
      </c>
    </row>
    <row r="95" spans="1:13" x14ac:dyDescent="0.25">
      <c r="A95" s="1" t="s">
        <v>96</v>
      </c>
      <c r="B95" s="3"/>
      <c r="C95" s="3"/>
      <c r="D95" s="3"/>
      <c r="E95" s="3"/>
      <c r="F95" s="106">
        <f>ROUND(F94+F85,-4)</f>
        <v>1690000</v>
      </c>
      <c r="G95" s="106"/>
      <c r="H95" s="106"/>
      <c r="I95" s="10">
        <f>ROUND(I94+I85,-6)</f>
        <v>175000000</v>
      </c>
    </row>
    <row r="96" spans="1:13" x14ac:dyDescent="0.25">
      <c r="A96" s="14" t="s">
        <v>95</v>
      </c>
      <c r="B96" s="15"/>
      <c r="C96" s="15"/>
      <c r="D96" s="15"/>
      <c r="E96" s="15"/>
      <c r="F96" s="15"/>
      <c r="G96" s="15"/>
      <c r="H96" s="15"/>
      <c r="I96" s="10">
        <f>ROUND((200000*37)+(15000*M5),-5)</f>
        <v>35100000</v>
      </c>
      <c r="K96" s="39">
        <f>F95/4430</f>
        <v>381.48984198645599</v>
      </c>
      <c r="L96" s="23" t="s">
        <v>132</v>
      </c>
      <c r="M96" s="101"/>
    </row>
    <row r="97" spans="1:9" x14ac:dyDescent="0.25">
      <c r="A97" s="14" t="s">
        <v>94</v>
      </c>
      <c r="B97" s="15"/>
      <c r="C97" s="15"/>
      <c r="D97" s="15"/>
      <c r="E97" s="15"/>
      <c r="F97" s="15"/>
      <c r="G97" s="15"/>
      <c r="H97" s="15"/>
      <c r="I97" s="10">
        <f>ROUND(I96+I95,-6)</f>
        <v>210000000</v>
      </c>
    </row>
    <row r="100" spans="1:9" x14ac:dyDescent="0.25">
      <c r="A100" s="25" t="s">
        <v>83</v>
      </c>
    </row>
    <row r="101" spans="1:9" ht="18" x14ac:dyDescent="0.25">
      <c r="A101" s="29" t="s">
        <v>203</v>
      </c>
    </row>
    <row r="102" spans="1:9" ht="15.75" x14ac:dyDescent="0.25">
      <c r="A102" s="26" t="s">
        <v>92</v>
      </c>
    </row>
    <row r="103" spans="1:9" x14ac:dyDescent="0.25">
      <c r="A103" s="27" t="s">
        <v>91</v>
      </c>
    </row>
    <row r="104" spans="1:9" x14ac:dyDescent="0.25">
      <c r="A104" s="27" t="s">
        <v>84</v>
      </c>
    </row>
    <row r="105" spans="1:9" x14ac:dyDescent="0.25">
      <c r="A105" s="27" t="s">
        <v>85</v>
      </c>
    </row>
    <row r="106" spans="1:9" ht="15.75" x14ac:dyDescent="0.25">
      <c r="A106" s="26" t="s">
        <v>180</v>
      </c>
    </row>
    <row r="107" spans="1:9" x14ac:dyDescent="0.25">
      <c r="A107" s="27" t="s">
        <v>181</v>
      </c>
    </row>
    <row r="108" spans="1:9" ht="15.75" x14ac:dyDescent="0.25">
      <c r="A108" s="26" t="s">
        <v>179</v>
      </c>
    </row>
    <row r="109" spans="1:9" x14ac:dyDescent="0.25">
      <c r="A109" s="27" t="s">
        <v>86</v>
      </c>
    </row>
    <row r="110" spans="1:9" ht="15.75" x14ac:dyDescent="0.25">
      <c r="A110" s="26" t="s">
        <v>87</v>
      </c>
    </row>
    <row r="111" spans="1:9" ht="15.75" x14ac:dyDescent="0.25">
      <c r="A111" s="26" t="s">
        <v>202</v>
      </c>
    </row>
    <row r="112" spans="1:9" ht="15.75" x14ac:dyDescent="0.25">
      <c r="A112" s="26" t="s">
        <v>88</v>
      </c>
    </row>
    <row r="113" spans="1:1" ht="15.75" x14ac:dyDescent="0.25">
      <c r="A113" s="26" t="s">
        <v>89</v>
      </c>
    </row>
    <row r="114" spans="1:1" ht="16.5" x14ac:dyDescent="0.25">
      <c r="A114" s="28" t="s">
        <v>90</v>
      </c>
    </row>
    <row r="115" spans="1:1" ht="16.5" x14ac:dyDescent="0.25">
      <c r="A115" s="30" t="s">
        <v>93</v>
      </c>
    </row>
  </sheetData>
  <mergeCells count="7">
    <mergeCell ref="F95:H95"/>
    <mergeCell ref="L6:O6"/>
    <mergeCell ref="L18:O18"/>
    <mergeCell ref="L10:O10"/>
    <mergeCell ref="L14:O14"/>
    <mergeCell ref="F85:H85"/>
    <mergeCell ref="F94:H94"/>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3"/>
  <sheetViews>
    <sheetView topLeftCell="B31" workbookViewId="0">
      <selection activeCell="M3" sqref="M3"/>
    </sheetView>
  </sheetViews>
  <sheetFormatPr defaultRowHeight="15" x14ac:dyDescent="0.25"/>
  <cols>
    <col min="1" max="1" width="41.42578125" customWidth="1"/>
    <col min="9" max="9" width="12.28515625" bestFit="1" customWidth="1"/>
    <col min="11" max="11" width="19.5703125" customWidth="1"/>
    <col min="12" max="12" width="21.5703125" customWidth="1"/>
  </cols>
  <sheetData>
    <row r="1" spans="1:15" x14ac:dyDescent="0.25">
      <c r="F1">
        <v>47.62</v>
      </c>
      <c r="G1">
        <v>64.16</v>
      </c>
      <c r="H1">
        <v>25.76</v>
      </c>
    </row>
    <row r="2" spans="1:15" ht="72" x14ac:dyDescent="0.25">
      <c r="A2" s="37" t="s">
        <v>0</v>
      </c>
      <c r="B2" s="13" t="s">
        <v>116</v>
      </c>
      <c r="C2" s="13" t="s">
        <v>117</v>
      </c>
      <c r="D2" s="13" t="s">
        <v>118</v>
      </c>
      <c r="E2" s="13" t="s">
        <v>119</v>
      </c>
      <c r="F2" s="13" t="s">
        <v>120</v>
      </c>
      <c r="G2" s="13" t="s">
        <v>121</v>
      </c>
      <c r="H2" s="13" t="s">
        <v>122</v>
      </c>
      <c r="I2" s="13" t="s">
        <v>123</v>
      </c>
      <c r="K2" s="24" t="s">
        <v>80</v>
      </c>
      <c r="L2" s="17"/>
      <c r="M2" s="18" t="s">
        <v>69</v>
      </c>
      <c r="N2" s="19">
        <v>0.2</v>
      </c>
      <c r="O2" s="19">
        <v>0.8</v>
      </c>
    </row>
    <row r="3" spans="1:15" x14ac:dyDescent="0.25">
      <c r="A3" s="8" t="s">
        <v>97</v>
      </c>
      <c r="B3" s="31">
        <v>1</v>
      </c>
      <c r="C3" s="31">
        <v>116</v>
      </c>
      <c r="D3" s="2">
        <f>B3*C3</f>
        <v>116</v>
      </c>
      <c r="E3" s="2">
        <f>M4</f>
        <v>37</v>
      </c>
      <c r="F3" s="6">
        <f>D3*E3</f>
        <v>4292</v>
      </c>
      <c r="G3" s="2">
        <f>F3*0.05</f>
        <v>214.60000000000002</v>
      </c>
      <c r="H3" s="31">
        <f>F3*0.1</f>
        <v>429.20000000000005</v>
      </c>
      <c r="I3" s="32">
        <f>F3*F$1+G3*G$1+H3*H$1</f>
        <v>229209.96799999999</v>
      </c>
      <c r="K3" s="23" t="s">
        <v>81</v>
      </c>
      <c r="L3" s="15" t="s">
        <v>66</v>
      </c>
      <c r="M3" s="73">
        <f>'Respondent Universe Update'!P19</f>
        <v>1809</v>
      </c>
      <c r="N3" s="16">
        <f>ROUND(M3*0.2,0)</f>
        <v>362</v>
      </c>
      <c r="O3" s="15">
        <f>ROUND(M3*0.8,0)</f>
        <v>1447</v>
      </c>
    </row>
    <row r="4" spans="1:15" x14ac:dyDescent="0.25">
      <c r="A4" s="8" t="s">
        <v>98</v>
      </c>
      <c r="B4" s="31"/>
      <c r="C4" s="31"/>
      <c r="D4" s="2"/>
      <c r="E4" s="2"/>
      <c r="F4" s="2"/>
      <c r="G4" s="2"/>
      <c r="H4" s="31"/>
      <c r="I4" s="33"/>
      <c r="K4" s="23" t="s">
        <v>82</v>
      </c>
      <c r="L4" s="15" t="s">
        <v>67</v>
      </c>
      <c r="M4" s="74">
        <f>'Respondent Universe Update'!Q8</f>
        <v>37</v>
      </c>
      <c r="N4" s="16">
        <f t="shared" ref="N4:N21" si="0">ROUND(M4*0.2,0)</f>
        <v>7</v>
      </c>
      <c r="O4" s="15">
        <f t="shared" ref="O4:O21" si="1">ROUND(M4*0.8,0)</f>
        <v>30</v>
      </c>
    </row>
    <row r="5" spans="1:15" x14ac:dyDescent="0.25">
      <c r="A5" s="5" t="s">
        <v>99</v>
      </c>
      <c r="B5" s="31">
        <v>1</v>
      </c>
      <c r="C5" s="31">
        <v>70</v>
      </c>
      <c r="D5" s="2">
        <f t="shared" ref="D5:D7" si="2">B5*C5</f>
        <v>70</v>
      </c>
      <c r="E5" s="2">
        <f>M$15</f>
        <v>0</v>
      </c>
      <c r="F5" s="6">
        <f t="shared" ref="F5:F7" si="3">D5*E5</f>
        <v>0</v>
      </c>
      <c r="G5" s="2">
        <f t="shared" ref="G5:G7" si="4">F5*0.05</f>
        <v>0</v>
      </c>
      <c r="H5" s="31">
        <f t="shared" ref="H5:H7" si="5">F5*0.1</f>
        <v>0</v>
      </c>
      <c r="I5" s="32">
        <f>F5*F$1+G5*G$1+H5*H$1</f>
        <v>0</v>
      </c>
      <c r="K5" s="23"/>
      <c r="L5" s="15" t="s">
        <v>68</v>
      </c>
      <c r="M5" s="70">
        <f>SUM(M3:M4)</f>
        <v>1846</v>
      </c>
      <c r="N5" s="16">
        <f t="shared" si="0"/>
        <v>369</v>
      </c>
      <c r="O5" s="15">
        <f t="shared" si="1"/>
        <v>1477</v>
      </c>
    </row>
    <row r="6" spans="1:15" x14ac:dyDescent="0.25">
      <c r="A6" s="5" t="s">
        <v>100</v>
      </c>
      <c r="B6" s="31">
        <v>1</v>
      </c>
      <c r="C6" s="31">
        <v>72</v>
      </c>
      <c r="D6" s="2">
        <f t="shared" si="2"/>
        <v>72</v>
      </c>
      <c r="E6" s="2">
        <f>M$16</f>
        <v>4</v>
      </c>
      <c r="F6" s="6">
        <f t="shared" si="3"/>
        <v>288</v>
      </c>
      <c r="G6" s="2">
        <f t="shared" si="4"/>
        <v>14.4</v>
      </c>
      <c r="H6" s="31">
        <f t="shared" si="5"/>
        <v>28.8</v>
      </c>
      <c r="I6" s="32">
        <f>F6*F$1+G6*G$1+H6*H$1</f>
        <v>15380.352000000001</v>
      </c>
      <c r="K6" s="23"/>
      <c r="L6" s="107" t="s">
        <v>199</v>
      </c>
      <c r="M6" s="108"/>
      <c r="N6" s="108"/>
      <c r="O6" s="109"/>
    </row>
    <row r="7" spans="1:15" x14ac:dyDescent="0.25">
      <c r="A7" s="5" t="s">
        <v>101</v>
      </c>
      <c r="B7" s="31">
        <v>1</v>
      </c>
      <c r="C7" s="31">
        <v>104</v>
      </c>
      <c r="D7" s="2">
        <f t="shared" si="2"/>
        <v>104</v>
      </c>
      <c r="E7" s="2">
        <f>M$17</f>
        <v>37</v>
      </c>
      <c r="F7" s="6">
        <f t="shared" si="3"/>
        <v>3848</v>
      </c>
      <c r="G7" s="2">
        <f t="shared" si="4"/>
        <v>192.4</v>
      </c>
      <c r="H7" s="31">
        <f t="shared" si="5"/>
        <v>384.8</v>
      </c>
      <c r="I7" s="32">
        <f>F7*F$1+G7*G$1+H7*H$1</f>
        <v>205498.59199999998</v>
      </c>
      <c r="K7" s="23"/>
      <c r="L7" s="15" t="s">
        <v>70</v>
      </c>
      <c r="M7" s="99">
        <f>640+117</f>
        <v>757</v>
      </c>
      <c r="N7" s="100">
        <f>ROUND(M7*0.2,0)</f>
        <v>151</v>
      </c>
      <c r="O7" s="98">
        <f>ROUND(M7*0.8,0)</f>
        <v>606</v>
      </c>
    </row>
    <row r="8" spans="1:15" x14ac:dyDescent="0.25">
      <c r="A8" s="8" t="s">
        <v>102</v>
      </c>
      <c r="B8" s="31"/>
      <c r="C8" s="31"/>
      <c r="D8" s="2"/>
      <c r="E8" s="2"/>
      <c r="F8" s="2"/>
      <c r="G8" s="2"/>
      <c r="H8" s="31"/>
      <c r="I8" s="33"/>
      <c r="K8" s="23"/>
      <c r="L8" s="15" t="s">
        <v>14</v>
      </c>
      <c r="M8" s="99">
        <f>622+171</f>
        <v>793</v>
      </c>
      <c r="N8" s="100">
        <f t="shared" ref="N8:N9" si="6">ROUND(M8*0.2,0)</f>
        <v>159</v>
      </c>
      <c r="O8" s="98">
        <f t="shared" ref="O8:O9" si="7">ROUND(M8*0.8,0)</f>
        <v>634</v>
      </c>
    </row>
    <row r="9" spans="1:15" x14ac:dyDescent="0.25">
      <c r="A9" s="5" t="s">
        <v>99</v>
      </c>
      <c r="B9" s="31">
        <v>1</v>
      </c>
      <c r="C9" s="31">
        <v>280</v>
      </c>
      <c r="D9" s="2">
        <f t="shared" ref="D9:D11" si="8">B9*C9</f>
        <v>280</v>
      </c>
      <c r="E9" s="2">
        <f>M$15</f>
        <v>0</v>
      </c>
      <c r="F9" s="6">
        <f t="shared" ref="F9:F11" si="9">D9*E9</f>
        <v>0</v>
      </c>
      <c r="G9" s="2">
        <f t="shared" ref="G9:G11" si="10">F9*0.05</f>
        <v>0</v>
      </c>
      <c r="H9" s="31">
        <f t="shared" ref="H9:H11" si="11">F9*0.1</f>
        <v>0</v>
      </c>
      <c r="I9" s="32">
        <f>F9*F$1+G9*G$1+H9*H$1</f>
        <v>0</v>
      </c>
      <c r="K9" s="23"/>
      <c r="L9" s="15" t="s">
        <v>71</v>
      </c>
      <c r="M9" s="99">
        <f>1322+405</f>
        <v>1727</v>
      </c>
      <c r="N9" s="100">
        <f t="shared" si="6"/>
        <v>345</v>
      </c>
      <c r="O9" s="98">
        <f t="shared" si="7"/>
        <v>1382</v>
      </c>
    </row>
    <row r="10" spans="1:15" x14ac:dyDescent="0.25">
      <c r="A10" s="5" t="s">
        <v>100</v>
      </c>
      <c r="B10" s="31">
        <v>1</v>
      </c>
      <c r="C10" s="31">
        <v>288</v>
      </c>
      <c r="D10" s="2">
        <f t="shared" si="8"/>
        <v>288</v>
      </c>
      <c r="E10" s="2">
        <f>M$16</f>
        <v>4</v>
      </c>
      <c r="F10" s="6">
        <f t="shared" si="9"/>
        <v>1152</v>
      </c>
      <c r="G10" s="2">
        <f t="shared" si="10"/>
        <v>57.6</v>
      </c>
      <c r="H10" s="31">
        <f t="shared" si="11"/>
        <v>115.2</v>
      </c>
      <c r="I10" s="32">
        <f>F10*F$1+G10*G$1+H10*H$1</f>
        <v>61521.408000000003</v>
      </c>
      <c r="K10" s="23"/>
      <c r="L10" s="110" t="s">
        <v>67</v>
      </c>
      <c r="M10" s="111"/>
      <c r="N10" s="111"/>
      <c r="O10" s="112"/>
    </row>
    <row r="11" spans="1:15" x14ac:dyDescent="0.25">
      <c r="A11" s="5" t="s">
        <v>101</v>
      </c>
      <c r="B11" s="31">
        <v>1</v>
      </c>
      <c r="C11" s="31">
        <v>416</v>
      </c>
      <c r="D11" s="2">
        <f t="shared" si="8"/>
        <v>416</v>
      </c>
      <c r="E11" s="2">
        <f>M$17</f>
        <v>37</v>
      </c>
      <c r="F11" s="6">
        <f t="shared" si="9"/>
        <v>15392</v>
      </c>
      <c r="G11" s="2">
        <f t="shared" si="10"/>
        <v>769.6</v>
      </c>
      <c r="H11" s="31">
        <f t="shared" si="11"/>
        <v>1539.2</v>
      </c>
      <c r="I11" s="32">
        <f>F11*F$1+G11*G$1+H11*H$1</f>
        <v>821994.3679999999</v>
      </c>
      <c r="K11" s="23"/>
      <c r="L11" s="15" t="s">
        <v>75</v>
      </c>
      <c r="M11" s="74">
        <f>'Respondent Universe Update'!Q7</f>
        <v>33</v>
      </c>
      <c r="N11" s="16">
        <f t="shared" si="0"/>
        <v>7</v>
      </c>
      <c r="O11" s="15">
        <f t="shared" si="1"/>
        <v>26</v>
      </c>
    </row>
    <row r="12" spans="1:15" x14ac:dyDescent="0.25">
      <c r="A12" s="8" t="s">
        <v>103</v>
      </c>
      <c r="B12" s="31"/>
      <c r="C12" s="31"/>
      <c r="D12" s="2"/>
      <c r="E12" s="2"/>
      <c r="F12" s="2"/>
      <c r="G12" s="2"/>
      <c r="H12" s="31"/>
      <c r="I12" s="33"/>
      <c r="K12" s="23"/>
      <c r="L12" s="15" t="s">
        <v>76</v>
      </c>
      <c r="M12" s="74">
        <f>'Respondent Universe Update'!Q6</f>
        <v>0</v>
      </c>
      <c r="N12" s="16">
        <f t="shared" si="0"/>
        <v>0</v>
      </c>
      <c r="O12" s="15">
        <f t="shared" si="1"/>
        <v>0</v>
      </c>
    </row>
    <row r="13" spans="1:15" x14ac:dyDescent="0.25">
      <c r="A13" s="5" t="s">
        <v>99</v>
      </c>
      <c r="B13" s="31">
        <v>1</v>
      </c>
      <c r="C13" s="31">
        <v>56</v>
      </c>
      <c r="D13" s="2">
        <f t="shared" ref="D13:D26" si="12">B13*C13</f>
        <v>56</v>
      </c>
      <c r="E13" s="2">
        <f>M$15</f>
        <v>0</v>
      </c>
      <c r="F13" s="6">
        <f t="shared" ref="F13:F15" si="13">D13*E13</f>
        <v>0</v>
      </c>
      <c r="G13" s="2">
        <f t="shared" ref="G13:G15" si="14">F13*0.05</f>
        <v>0</v>
      </c>
      <c r="H13" s="31">
        <f t="shared" ref="H13:H15" si="15">F13*0.1</f>
        <v>0</v>
      </c>
      <c r="I13" s="32">
        <f t="shared" ref="I13:I15" si="16">F13*F$1+G13*G$1+H13*H$1</f>
        <v>0</v>
      </c>
      <c r="K13" s="23"/>
      <c r="L13" s="15" t="s">
        <v>77</v>
      </c>
      <c r="M13" s="74">
        <f>'Respondent Universe Update'!Q5</f>
        <v>4</v>
      </c>
      <c r="N13" s="16">
        <f t="shared" si="0"/>
        <v>1</v>
      </c>
      <c r="O13" s="15">
        <f t="shared" si="1"/>
        <v>3</v>
      </c>
    </row>
    <row r="14" spans="1:15" x14ac:dyDescent="0.25">
      <c r="A14" s="5" t="s">
        <v>100</v>
      </c>
      <c r="B14" s="31">
        <v>1</v>
      </c>
      <c r="C14" s="31">
        <v>82</v>
      </c>
      <c r="D14" s="2">
        <f t="shared" si="12"/>
        <v>82</v>
      </c>
      <c r="E14" s="2">
        <f>M$16</f>
        <v>4</v>
      </c>
      <c r="F14" s="6">
        <f t="shared" si="13"/>
        <v>328</v>
      </c>
      <c r="G14" s="2">
        <f t="shared" si="14"/>
        <v>16.400000000000002</v>
      </c>
      <c r="H14" s="31">
        <f t="shared" si="15"/>
        <v>32.800000000000004</v>
      </c>
      <c r="I14" s="32">
        <f t="shared" si="16"/>
        <v>17516.511999999999</v>
      </c>
      <c r="K14" s="23"/>
      <c r="L14" s="110" t="s">
        <v>78</v>
      </c>
      <c r="M14" s="111"/>
      <c r="N14" s="111"/>
      <c r="O14" s="112"/>
    </row>
    <row r="15" spans="1:15" x14ac:dyDescent="0.25">
      <c r="A15" s="5" t="s">
        <v>101</v>
      </c>
      <c r="B15" s="31">
        <v>1</v>
      </c>
      <c r="C15" s="31">
        <v>42</v>
      </c>
      <c r="D15" s="2">
        <f t="shared" si="12"/>
        <v>42</v>
      </c>
      <c r="E15" s="2">
        <f>M$17</f>
        <v>37</v>
      </c>
      <c r="F15" s="6">
        <f t="shared" si="13"/>
        <v>1554</v>
      </c>
      <c r="G15" s="2">
        <f t="shared" si="14"/>
        <v>77.7</v>
      </c>
      <c r="H15" s="31">
        <f t="shared" si="15"/>
        <v>155.4</v>
      </c>
      <c r="I15" s="32">
        <f t="shared" si="16"/>
        <v>82989.816000000006</v>
      </c>
      <c r="K15" s="23"/>
      <c r="L15" s="15" t="s">
        <v>70</v>
      </c>
      <c r="M15" s="15">
        <f>M12</f>
        <v>0</v>
      </c>
      <c r="N15" s="16">
        <f t="shared" si="0"/>
        <v>0</v>
      </c>
      <c r="O15" s="15">
        <f t="shared" si="1"/>
        <v>0</v>
      </c>
    </row>
    <row r="16" spans="1:15" x14ac:dyDescent="0.25">
      <c r="A16" s="8" t="s">
        <v>104</v>
      </c>
      <c r="B16" s="31"/>
      <c r="C16" s="31"/>
      <c r="D16" s="2"/>
      <c r="E16" s="2"/>
      <c r="F16" s="2"/>
      <c r="G16" s="2"/>
      <c r="H16" s="31"/>
      <c r="I16" s="33"/>
      <c r="K16" s="23"/>
      <c r="L16" s="15" t="s">
        <v>14</v>
      </c>
      <c r="M16" s="15">
        <f>M12+M13</f>
        <v>4</v>
      </c>
      <c r="N16" s="16">
        <f t="shared" si="0"/>
        <v>1</v>
      </c>
      <c r="O16" s="15">
        <f t="shared" si="1"/>
        <v>3</v>
      </c>
    </row>
    <row r="17" spans="1:17" x14ac:dyDescent="0.25">
      <c r="A17" s="5" t="s">
        <v>99</v>
      </c>
      <c r="B17" s="31">
        <v>1</v>
      </c>
      <c r="C17" s="31">
        <v>448</v>
      </c>
      <c r="D17" s="2">
        <f t="shared" si="12"/>
        <v>448</v>
      </c>
      <c r="E17" s="2">
        <f>M$15</f>
        <v>0</v>
      </c>
      <c r="F17" s="6">
        <f t="shared" ref="F17:F20" si="17">D17*E17</f>
        <v>0</v>
      </c>
      <c r="G17" s="2">
        <f t="shared" ref="G17:G20" si="18">F17*0.05</f>
        <v>0</v>
      </c>
      <c r="H17" s="31">
        <f t="shared" ref="H17:H20" si="19">F17*0.1</f>
        <v>0</v>
      </c>
      <c r="I17" s="32">
        <f t="shared" ref="I17:I20" si="20">F17*F$1+G17*G$1+H17*H$1</f>
        <v>0</v>
      </c>
      <c r="K17" s="23"/>
      <c r="L17" s="15" t="s">
        <v>71</v>
      </c>
      <c r="M17" s="15">
        <f>SUM(M11:M13)</f>
        <v>37</v>
      </c>
      <c r="N17" s="16">
        <f t="shared" si="0"/>
        <v>7</v>
      </c>
      <c r="O17" s="15">
        <f t="shared" si="1"/>
        <v>30</v>
      </c>
    </row>
    <row r="18" spans="1:17" x14ac:dyDescent="0.25">
      <c r="A18" s="5" t="s">
        <v>100</v>
      </c>
      <c r="B18" s="31">
        <v>1</v>
      </c>
      <c r="C18" s="31">
        <v>656</v>
      </c>
      <c r="D18" s="2">
        <f t="shared" si="12"/>
        <v>656</v>
      </c>
      <c r="E18" s="2">
        <f>M$16</f>
        <v>4</v>
      </c>
      <c r="F18" s="6">
        <f t="shared" si="17"/>
        <v>2624</v>
      </c>
      <c r="G18" s="2">
        <f t="shared" si="18"/>
        <v>131.20000000000002</v>
      </c>
      <c r="H18" s="36">
        <f t="shared" si="19"/>
        <v>262.40000000000003</v>
      </c>
      <c r="I18" s="32">
        <f t="shared" si="20"/>
        <v>140132.09599999999</v>
      </c>
      <c r="L18" s="107" t="s">
        <v>79</v>
      </c>
      <c r="M18" s="108"/>
      <c r="N18" s="108"/>
      <c r="O18" s="109"/>
    </row>
    <row r="19" spans="1:17" x14ac:dyDescent="0.25">
      <c r="A19" s="5" t="s">
        <v>101</v>
      </c>
      <c r="B19" s="31">
        <v>1</v>
      </c>
      <c r="C19" s="31">
        <v>336</v>
      </c>
      <c r="D19" s="2">
        <f t="shared" si="12"/>
        <v>336</v>
      </c>
      <c r="E19" s="2">
        <f>M$17</f>
        <v>37</v>
      </c>
      <c r="F19" s="6">
        <f t="shared" si="17"/>
        <v>12432</v>
      </c>
      <c r="G19" s="2">
        <f t="shared" si="18"/>
        <v>621.6</v>
      </c>
      <c r="H19" s="34">
        <f t="shared" si="19"/>
        <v>1243.2</v>
      </c>
      <c r="I19" s="32">
        <f t="shared" si="20"/>
        <v>663918.52800000005</v>
      </c>
      <c r="L19" s="15" t="s">
        <v>70</v>
      </c>
      <c r="M19" s="70">
        <f>M7+13+M15+M15</f>
        <v>770</v>
      </c>
      <c r="N19" s="16">
        <f t="shared" si="0"/>
        <v>154</v>
      </c>
      <c r="O19" s="15">
        <f t="shared" si="1"/>
        <v>616</v>
      </c>
      <c r="Q19">
        <f>117+13</f>
        <v>130</v>
      </c>
    </row>
    <row r="20" spans="1:17" x14ac:dyDescent="0.25">
      <c r="A20" s="8" t="s">
        <v>105</v>
      </c>
      <c r="B20" s="31">
        <v>1</v>
      </c>
      <c r="C20" s="31">
        <v>108</v>
      </c>
      <c r="D20" s="2">
        <f t="shared" si="12"/>
        <v>108</v>
      </c>
      <c r="E20" s="2">
        <f>ROUND(E19/2,0)</f>
        <v>19</v>
      </c>
      <c r="F20" s="6">
        <f t="shared" si="17"/>
        <v>2052</v>
      </c>
      <c r="G20" s="2">
        <f t="shared" si="18"/>
        <v>102.60000000000001</v>
      </c>
      <c r="H20" s="31">
        <f t="shared" si="19"/>
        <v>205.20000000000002</v>
      </c>
      <c r="I20" s="32">
        <f t="shared" si="20"/>
        <v>109585.008</v>
      </c>
      <c r="L20" s="15" t="s">
        <v>14</v>
      </c>
      <c r="M20" s="70">
        <f>M8+19+M16+M16</f>
        <v>820</v>
      </c>
      <c r="N20" s="16">
        <f t="shared" si="0"/>
        <v>164</v>
      </c>
      <c r="O20" s="15">
        <f t="shared" si="1"/>
        <v>656</v>
      </c>
      <c r="Q20">
        <f>171+19+4+4</f>
        <v>198</v>
      </c>
    </row>
    <row r="21" spans="1:17" x14ac:dyDescent="0.25">
      <c r="A21" s="8" t="s">
        <v>106</v>
      </c>
      <c r="B21" s="31"/>
      <c r="C21" s="31"/>
      <c r="D21" s="2"/>
      <c r="E21" s="2"/>
      <c r="F21" s="2"/>
      <c r="G21" s="2"/>
      <c r="H21" s="31"/>
      <c r="I21" s="33"/>
      <c r="L21" s="15" t="s">
        <v>71</v>
      </c>
      <c r="M21" s="70">
        <f>M9+45+M17+M17</f>
        <v>1846</v>
      </c>
      <c r="N21" s="16">
        <f t="shared" si="0"/>
        <v>369</v>
      </c>
      <c r="O21" s="15">
        <f t="shared" si="1"/>
        <v>1477</v>
      </c>
      <c r="Q21">
        <f>405+45+37+37</f>
        <v>524</v>
      </c>
    </row>
    <row r="22" spans="1:17" x14ac:dyDescent="0.25">
      <c r="A22" s="5" t="s">
        <v>107</v>
      </c>
      <c r="B22" s="31">
        <v>4</v>
      </c>
      <c r="C22" s="31">
        <v>42</v>
      </c>
      <c r="D22" s="2">
        <f t="shared" si="12"/>
        <v>168</v>
      </c>
      <c r="E22" s="2">
        <f>ROUND(M21*0.2,0)</f>
        <v>369</v>
      </c>
      <c r="F22" s="6">
        <f t="shared" ref="F22:F23" si="21">D22*E22</f>
        <v>61992</v>
      </c>
      <c r="G22" s="22">
        <f t="shared" ref="G22:G23" si="22">F22*0.05</f>
        <v>3099.6000000000004</v>
      </c>
      <c r="H22" s="36">
        <f t="shared" ref="H22:H23" si="23">F22*0.1</f>
        <v>6199.2000000000007</v>
      </c>
      <c r="I22" s="32">
        <f t="shared" ref="I22:I23" si="24">F22*F$1+G22*G$1+H22*H$1</f>
        <v>3310620.7680000002</v>
      </c>
      <c r="M22" t="s">
        <v>200</v>
      </c>
    </row>
    <row r="23" spans="1:17" x14ac:dyDescent="0.25">
      <c r="A23" s="5" t="s">
        <v>23</v>
      </c>
      <c r="B23" s="31">
        <v>2</v>
      </c>
      <c r="C23" s="31">
        <v>42</v>
      </c>
      <c r="D23" s="2">
        <f t="shared" si="12"/>
        <v>84</v>
      </c>
      <c r="E23" s="2">
        <f>ROUND(M21*0.8,0)</f>
        <v>1477</v>
      </c>
      <c r="F23" s="6">
        <f t="shared" si="21"/>
        <v>124068</v>
      </c>
      <c r="G23" s="22">
        <f t="shared" si="22"/>
        <v>6203.4000000000005</v>
      </c>
      <c r="H23" s="36">
        <f t="shared" si="23"/>
        <v>12406.800000000001</v>
      </c>
      <c r="I23" s="32">
        <f t="shared" si="24"/>
        <v>6625727.4719999991</v>
      </c>
    </row>
    <row r="24" spans="1:17" x14ac:dyDescent="0.25">
      <c r="A24" s="8" t="s">
        <v>108</v>
      </c>
      <c r="B24" s="31"/>
      <c r="C24" s="31"/>
      <c r="D24" s="2"/>
      <c r="E24" s="2"/>
      <c r="F24" s="2"/>
      <c r="G24" s="2"/>
      <c r="H24" s="31"/>
      <c r="I24" s="33"/>
    </row>
    <row r="25" spans="1:17" x14ac:dyDescent="0.25">
      <c r="A25" s="5" t="s">
        <v>107</v>
      </c>
      <c r="B25" s="31">
        <v>4</v>
      </c>
      <c r="C25" s="31">
        <v>70</v>
      </c>
      <c r="D25" s="2">
        <f t="shared" si="12"/>
        <v>280</v>
      </c>
      <c r="E25" s="2">
        <f>ROUND(M19*0.2,0)</f>
        <v>154</v>
      </c>
      <c r="F25" s="6">
        <f t="shared" ref="F25:F26" si="25">D25*E25</f>
        <v>43120</v>
      </c>
      <c r="G25" s="6">
        <f t="shared" ref="G25:G26" si="26">F25*0.05</f>
        <v>2156</v>
      </c>
      <c r="H25" s="34">
        <f t="shared" ref="H25:H26" si="27">F25*0.1</f>
        <v>4312</v>
      </c>
      <c r="I25" s="32">
        <f t="shared" ref="I25:I26" si="28">F25*F$1+G25*G$1+H25*H$1</f>
        <v>2302780.48</v>
      </c>
    </row>
    <row r="26" spans="1:17" x14ac:dyDescent="0.25">
      <c r="A26" s="5" t="s">
        <v>23</v>
      </c>
      <c r="B26" s="31">
        <v>2</v>
      </c>
      <c r="C26" s="31">
        <v>70</v>
      </c>
      <c r="D26" s="2">
        <f t="shared" si="12"/>
        <v>140</v>
      </c>
      <c r="E26" s="2">
        <f>ROUND(M19*0.8,0)</f>
        <v>616</v>
      </c>
      <c r="F26" s="6">
        <f t="shared" si="25"/>
        <v>86240</v>
      </c>
      <c r="G26" s="6">
        <f t="shared" si="26"/>
        <v>4312</v>
      </c>
      <c r="H26" s="34">
        <f t="shared" si="27"/>
        <v>8624</v>
      </c>
      <c r="I26" s="32">
        <f t="shared" si="28"/>
        <v>4605560.96</v>
      </c>
    </row>
    <row r="27" spans="1:17" x14ac:dyDescent="0.25">
      <c r="A27" s="8" t="s">
        <v>109</v>
      </c>
      <c r="B27" s="31"/>
      <c r="C27" s="31"/>
      <c r="D27" s="2"/>
      <c r="E27" s="2"/>
      <c r="F27" s="2"/>
      <c r="G27" s="2"/>
      <c r="H27" s="31"/>
      <c r="I27" s="33"/>
    </row>
    <row r="28" spans="1:17" x14ac:dyDescent="0.25">
      <c r="A28" s="5" t="s">
        <v>13</v>
      </c>
      <c r="B28" s="31"/>
      <c r="C28" s="31"/>
      <c r="D28" s="2"/>
      <c r="E28" s="2"/>
      <c r="F28" s="2"/>
      <c r="G28" s="2"/>
      <c r="H28" s="31"/>
      <c r="I28" s="33"/>
    </row>
    <row r="29" spans="1:17" x14ac:dyDescent="0.25">
      <c r="A29" s="8" t="s">
        <v>110</v>
      </c>
      <c r="B29" s="31">
        <v>4</v>
      </c>
      <c r="C29" s="31">
        <v>130</v>
      </c>
      <c r="D29" s="2">
        <f t="shared" ref="D29:D30" si="29">B29*C29</f>
        <v>520</v>
      </c>
      <c r="E29" s="2">
        <f>ROUND(M19*0.2,0)</f>
        <v>154</v>
      </c>
      <c r="F29" s="6">
        <f t="shared" ref="F29:F30" si="30">D29*E29</f>
        <v>80080</v>
      </c>
      <c r="G29" s="6">
        <f t="shared" ref="G29:G30" si="31">F29*0.05</f>
        <v>4004</v>
      </c>
      <c r="H29" s="34">
        <f t="shared" ref="H29:H30" si="32">F29*0.1</f>
        <v>8008</v>
      </c>
      <c r="I29" s="32">
        <f t="shared" ref="I29:I30" si="33">F29*F$1+G29*G$1+H29*H$1</f>
        <v>4276592.3199999994</v>
      </c>
    </row>
    <row r="30" spans="1:17" x14ac:dyDescent="0.25">
      <c r="A30" s="8" t="s">
        <v>111</v>
      </c>
      <c r="B30" s="31">
        <v>2</v>
      </c>
      <c r="C30" s="31">
        <v>130</v>
      </c>
      <c r="D30" s="2">
        <f t="shared" si="29"/>
        <v>260</v>
      </c>
      <c r="E30" s="2">
        <f>ROUND(M19*0.8,0)</f>
        <v>616</v>
      </c>
      <c r="F30" s="6">
        <f t="shared" si="30"/>
        <v>160160</v>
      </c>
      <c r="G30" s="6">
        <f t="shared" si="31"/>
        <v>8008</v>
      </c>
      <c r="H30" s="34">
        <f t="shared" si="32"/>
        <v>16016</v>
      </c>
      <c r="I30" s="32">
        <f t="shared" si="33"/>
        <v>8553184.6399999987</v>
      </c>
    </row>
    <row r="31" spans="1:17" x14ac:dyDescent="0.25">
      <c r="A31" s="5" t="s">
        <v>112</v>
      </c>
      <c r="B31" s="31"/>
      <c r="C31" s="31"/>
      <c r="D31" s="2"/>
      <c r="E31" s="2"/>
      <c r="F31" s="2"/>
      <c r="G31" s="2"/>
      <c r="H31" s="31"/>
      <c r="I31" s="33"/>
    </row>
    <row r="32" spans="1:17" x14ac:dyDescent="0.25">
      <c r="A32" s="8" t="s">
        <v>113</v>
      </c>
      <c r="B32" s="31">
        <v>4</v>
      </c>
      <c r="C32" s="31">
        <v>92</v>
      </c>
      <c r="D32" s="2">
        <f t="shared" ref="D32:D33" si="34">B32*C32</f>
        <v>368</v>
      </c>
      <c r="E32" s="2">
        <f>ROUND(M21*0.2,0)</f>
        <v>369</v>
      </c>
      <c r="F32" s="6">
        <f t="shared" ref="F32:F33" si="35">D32*E32</f>
        <v>135792</v>
      </c>
      <c r="G32" s="22">
        <f t="shared" ref="G32:G33" si="36">F32*0.05</f>
        <v>6789.6</v>
      </c>
      <c r="H32" s="36">
        <f t="shared" ref="H32:H33" si="37">F32*0.1</f>
        <v>13579.2</v>
      </c>
      <c r="I32" s="32">
        <f t="shared" ref="I32:I33" si="38">F32*F$1+G32*G$1+H32*H$1</f>
        <v>7251835.9679999994</v>
      </c>
    </row>
    <row r="33" spans="1:16" x14ac:dyDescent="0.25">
      <c r="A33" s="8" t="s">
        <v>114</v>
      </c>
      <c r="B33" s="31">
        <v>2</v>
      </c>
      <c r="C33" s="31">
        <v>92</v>
      </c>
      <c r="D33" s="2">
        <f t="shared" si="34"/>
        <v>184</v>
      </c>
      <c r="E33" s="2">
        <f>ROUND(M21*0.8,0)</f>
        <v>1477</v>
      </c>
      <c r="F33" s="6">
        <f t="shared" si="35"/>
        <v>271768</v>
      </c>
      <c r="G33" s="22">
        <f t="shared" si="36"/>
        <v>13588.400000000001</v>
      </c>
      <c r="H33" s="36">
        <f t="shared" si="37"/>
        <v>27176.800000000003</v>
      </c>
      <c r="I33" s="32">
        <f t="shared" si="38"/>
        <v>14513498.272000002</v>
      </c>
    </row>
    <row r="34" spans="1:16" x14ac:dyDescent="0.25">
      <c r="A34" s="8" t="s">
        <v>115</v>
      </c>
      <c r="B34" s="31"/>
      <c r="C34" s="31"/>
      <c r="D34" s="2"/>
      <c r="E34" s="2"/>
      <c r="F34" s="2"/>
      <c r="G34" s="2"/>
      <c r="H34" s="31"/>
      <c r="I34" s="33"/>
    </row>
    <row r="35" spans="1:16" x14ac:dyDescent="0.25">
      <c r="A35" s="5" t="s">
        <v>13</v>
      </c>
      <c r="B35" s="31">
        <v>1</v>
      </c>
      <c r="C35" s="31">
        <v>42</v>
      </c>
      <c r="D35" s="2">
        <f t="shared" ref="D35:D36" si="39">B35*C35</f>
        <v>42</v>
      </c>
      <c r="E35" s="2">
        <f>M19</f>
        <v>770</v>
      </c>
      <c r="F35" s="6">
        <f t="shared" ref="F35:F36" si="40">D35*E35</f>
        <v>32340</v>
      </c>
      <c r="G35" s="6">
        <f t="shared" ref="G35:G36" si="41">F35*0.05</f>
        <v>1617</v>
      </c>
      <c r="H35" s="34">
        <f t="shared" ref="H35:H36" si="42">F35*0.1</f>
        <v>3234</v>
      </c>
      <c r="I35" s="32">
        <f t="shared" ref="I35:I36" si="43">F35*F$1+G35*G$1+H35*H$1</f>
        <v>1727085.3599999999</v>
      </c>
    </row>
    <row r="36" spans="1:16" x14ac:dyDescent="0.25">
      <c r="A36" s="5" t="s">
        <v>112</v>
      </c>
      <c r="B36" s="31">
        <v>1</v>
      </c>
      <c r="C36" s="31">
        <v>56</v>
      </c>
      <c r="D36" s="2">
        <f t="shared" si="39"/>
        <v>56</v>
      </c>
      <c r="E36" s="6">
        <f>M21</f>
        <v>1846</v>
      </c>
      <c r="F36" s="6">
        <f t="shared" si="40"/>
        <v>103376</v>
      </c>
      <c r="G36" s="22">
        <f t="shared" si="41"/>
        <v>5168.8</v>
      </c>
      <c r="H36" s="36">
        <f t="shared" si="42"/>
        <v>10337.6</v>
      </c>
      <c r="I36" s="32">
        <f t="shared" si="43"/>
        <v>5520691.9040000001</v>
      </c>
    </row>
    <row r="37" spans="1:16" x14ac:dyDescent="0.25">
      <c r="A37" s="1" t="s">
        <v>198</v>
      </c>
      <c r="B37" s="3"/>
      <c r="C37" s="3"/>
      <c r="D37" s="3"/>
      <c r="E37" s="3"/>
      <c r="F37" s="106">
        <f>ROUND(SUM(F3:H36),-4)</f>
        <v>1310000</v>
      </c>
      <c r="G37" s="106"/>
      <c r="H37" s="106"/>
      <c r="I37" s="38">
        <f>ROUND(SUM(I3:I36),-5)</f>
        <v>61000000</v>
      </c>
    </row>
    <row r="39" spans="1:16" ht="15.75" x14ac:dyDescent="0.25">
      <c r="P39" s="35"/>
    </row>
    <row r="40" spans="1:16" ht="15.75" x14ac:dyDescent="0.25">
      <c r="A40" s="25" t="s">
        <v>83</v>
      </c>
      <c r="P40" s="35"/>
    </row>
    <row r="41" spans="1:16" ht="18" x14ac:dyDescent="0.25">
      <c r="A41" s="29" t="s">
        <v>204</v>
      </c>
    </row>
    <row r="42" spans="1:16" ht="15.75" x14ac:dyDescent="0.25">
      <c r="A42" s="26" t="s">
        <v>131</v>
      </c>
      <c r="M42" s="35"/>
      <c r="N42" s="35"/>
    </row>
    <row r="43" spans="1:16" ht="15.75" x14ac:dyDescent="0.25">
      <c r="A43" s="27" t="s">
        <v>129</v>
      </c>
      <c r="O43" s="35"/>
    </row>
    <row r="44" spans="1:16" ht="15.75" x14ac:dyDescent="0.25">
      <c r="A44" s="27" t="s">
        <v>130</v>
      </c>
      <c r="O44" s="35"/>
    </row>
    <row r="45" spans="1:16" x14ac:dyDescent="0.25">
      <c r="A45" s="27" t="s">
        <v>124</v>
      </c>
    </row>
    <row r="46" spans="1:16" ht="15.75" x14ac:dyDescent="0.25">
      <c r="A46" s="26" t="s">
        <v>125</v>
      </c>
    </row>
    <row r="47" spans="1:16" x14ac:dyDescent="0.25">
      <c r="A47" s="27" t="s">
        <v>182</v>
      </c>
    </row>
    <row r="48" spans="1:16" x14ac:dyDescent="0.25">
      <c r="A48" s="27" t="s">
        <v>126</v>
      </c>
    </row>
    <row r="49" spans="1:1" ht="15.75" x14ac:dyDescent="0.25">
      <c r="A49" s="26" t="s">
        <v>197</v>
      </c>
    </row>
    <row r="50" spans="1:1" x14ac:dyDescent="0.25">
      <c r="A50" s="27" t="s">
        <v>181</v>
      </c>
    </row>
    <row r="51" spans="1:1" ht="15.75" x14ac:dyDescent="0.25">
      <c r="A51" s="26" t="s">
        <v>201</v>
      </c>
    </row>
    <row r="52" spans="1:1" ht="15.75" x14ac:dyDescent="0.25">
      <c r="A52" s="26" t="s">
        <v>127</v>
      </c>
    </row>
    <row r="53" spans="1:1" ht="16.5" x14ac:dyDescent="0.25">
      <c r="A53" s="30" t="s">
        <v>128</v>
      </c>
    </row>
  </sheetData>
  <mergeCells count="5">
    <mergeCell ref="F37:H37"/>
    <mergeCell ref="L10:O10"/>
    <mergeCell ref="L14:O14"/>
    <mergeCell ref="L18:O18"/>
    <mergeCell ref="L6:O6"/>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S27"/>
  <sheetViews>
    <sheetView topLeftCell="C1" workbookViewId="0">
      <selection activeCell="S19" sqref="S19"/>
    </sheetView>
  </sheetViews>
  <sheetFormatPr defaultRowHeight="15" x14ac:dyDescent="0.25"/>
  <cols>
    <col min="2" max="2" width="15" customWidth="1"/>
    <col min="14" max="14" width="18.85546875" bestFit="1" customWidth="1"/>
    <col min="16" max="16" width="17.140625" customWidth="1"/>
    <col min="17" max="17" width="12.85546875" bestFit="1" customWidth="1"/>
  </cols>
  <sheetData>
    <row r="1" spans="2:19" x14ac:dyDescent="0.25">
      <c r="B1" s="41" t="s">
        <v>134</v>
      </c>
    </row>
    <row r="2" spans="2:19" x14ac:dyDescent="0.25">
      <c r="B2" s="40" t="s">
        <v>133</v>
      </c>
    </row>
    <row r="3" spans="2:19" ht="15.75" thickBot="1" x14ac:dyDescent="0.3"/>
    <row r="4" spans="2:19" ht="16.5" thickBot="1" x14ac:dyDescent="0.3">
      <c r="B4" s="118" t="s">
        <v>135</v>
      </c>
      <c r="C4" s="114" t="s">
        <v>136</v>
      </c>
      <c r="D4" s="114" t="s">
        <v>137</v>
      </c>
      <c r="E4" s="114" t="s">
        <v>138</v>
      </c>
      <c r="F4" s="114" t="s">
        <v>139</v>
      </c>
      <c r="G4" s="116" t="s">
        <v>140</v>
      </c>
      <c r="H4" s="126">
        <v>2008</v>
      </c>
      <c r="I4" s="127"/>
      <c r="J4" s="126">
        <v>2015</v>
      </c>
      <c r="K4" s="127"/>
      <c r="N4" s="78"/>
      <c r="O4" s="79" t="s">
        <v>66</v>
      </c>
      <c r="P4" s="79" t="s">
        <v>178</v>
      </c>
      <c r="Q4" s="79" t="s">
        <v>177</v>
      </c>
      <c r="R4" s="80"/>
      <c r="S4" s="81"/>
    </row>
    <row r="5" spans="2:19" ht="15.75" thickBot="1" x14ac:dyDescent="0.3">
      <c r="B5" s="119"/>
      <c r="C5" s="115"/>
      <c r="D5" s="115"/>
      <c r="E5" s="115"/>
      <c r="F5" s="115"/>
      <c r="G5" s="117"/>
      <c r="H5" s="55" t="s">
        <v>141</v>
      </c>
      <c r="I5" s="56" t="s">
        <v>142</v>
      </c>
      <c r="J5" s="55" t="s">
        <v>143</v>
      </c>
      <c r="K5" s="57" t="s">
        <v>144</v>
      </c>
      <c r="N5" s="82" t="s">
        <v>166</v>
      </c>
      <c r="O5" s="70"/>
      <c r="P5" s="70">
        <f>SUM(K6:K9,K21:K23)</f>
        <v>31</v>
      </c>
      <c r="Q5" s="15">
        <f>ROUND(P5/(2015-2008),0)</f>
        <v>4</v>
      </c>
      <c r="R5" s="83"/>
      <c r="S5" s="84"/>
    </row>
    <row r="6" spans="2:19" x14ac:dyDescent="0.25">
      <c r="B6" s="42" t="s">
        <v>145</v>
      </c>
      <c r="C6" s="58" t="s">
        <v>146</v>
      </c>
      <c r="D6" s="58" t="s">
        <v>147</v>
      </c>
      <c r="E6" s="59">
        <v>3903</v>
      </c>
      <c r="F6" s="60">
        <v>229</v>
      </c>
      <c r="G6" s="61" t="s">
        <v>148</v>
      </c>
      <c r="H6" s="46">
        <v>804408.3</v>
      </c>
      <c r="I6" s="62">
        <v>1</v>
      </c>
      <c r="J6" s="46" t="s">
        <v>2</v>
      </c>
      <c r="K6" s="48">
        <v>0</v>
      </c>
      <c r="N6" s="82" t="s">
        <v>167</v>
      </c>
      <c r="O6" s="70"/>
      <c r="P6" s="70">
        <f>SUM(K10:K11,K24:K25)</f>
        <v>0</v>
      </c>
      <c r="Q6" s="15">
        <f t="shared" ref="Q6:Q7" si="0">ROUND(P6/(2015-2008),0)</f>
        <v>0</v>
      </c>
      <c r="R6" s="83"/>
      <c r="S6" s="84"/>
    </row>
    <row r="7" spans="2:19" x14ac:dyDescent="0.25">
      <c r="B7" s="42" t="s">
        <v>149</v>
      </c>
      <c r="C7" s="58" t="s">
        <v>146</v>
      </c>
      <c r="D7" s="58" t="s">
        <v>147</v>
      </c>
      <c r="E7" s="59">
        <v>4924.125</v>
      </c>
      <c r="F7" s="60">
        <v>489.17500000000001</v>
      </c>
      <c r="G7" s="63" t="s">
        <v>150</v>
      </c>
      <c r="H7" s="46">
        <v>34686127.395000003</v>
      </c>
      <c r="I7" s="62">
        <v>16</v>
      </c>
      <c r="J7" s="46" t="s">
        <v>2</v>
      </c>
      <c r="K7" s="48">
        <v>0</v>
      </c>
      <c r="N7" s="82" t="s">
        <v>168</v>
      </c>
      <c r="O7" s="70"/>
      <c r="P7" s="70">
        <f>SUM(K12:K15,K16:K17,K26:K27)</f>
        <v>231</v>
      </c>
      <c r="Q7" s="15">
        <f t="shared" si="0"/>
        <v>33</v>
      </c>
      <c r="R7" s="83"/>
      <c r="S7" s="84"/>
    </row>
    <row r="8" spans="2:19" x14ac:dyDescent="0.25">
      <c r="B8" s="42" t="s">
        <v>151</v>
      </c>
      <c r="C8" s="58" t="s">
        <v>146</v>
      </c>
      <c r="D8" s="58" t="s">
        <v>152</v>
      </c>
      <c r="E8" s="59">
        <v>7981.5124999999998</v>
      </c>
      <c r="F8" s="60">
        <v>170.13202461790399</v>
      </c>
      <c r="G8" s="63" t="s">
        <v>148</v>
      </c>
      <c r="H8" s="46">
        <v>97769583.441943809</v>
      </c>
      <c r="I8" s="64">
        <v>80</v>
      </c>
      <c r="J8" s="46">
        <v>121568758.35873275</v>
      </c>
      <c r="K8" s="51">
        <v>18</v>
      </c>
      <c r="N8" s="85" t="s">
        <v>68</v>
      </c>
      <c r="O8" s="71"/>
      <c r="P8" s="72"/>
      <c r="Q8" s="72">
        <f>SUM(Q5:Q7)</f>
        <v>37</v>
      </c>
      <c r="R8" s="83"/>
      <c r="S8" s="84"/>
    </row>
    <row r="9" spans="2:19" x14ac:dyDescent="0.25">
      <c r="B9" s="42" t="s">
        <v>153</v>
      </c>
      <c r="C9" s="58" t="s">
        <v>146</v>
      </c>
      <c r="D9" s="58" t="s">
        <v>152</v>
      </c>
      <c r="E9" s="59">
        <v>8361.6181818181794</v>
      </c>
      <c r="F9" s="60">
        <v>442.57854545454501</v>
      </c>
      <c r="G9" s="61" t="s">
        <v>150</v>
      </c>
      <c r="H9" s="46">
        <v>183183304.22149065</v>
      </c>
      <c r="I9" s="64">
        <v>55</v>
      </c>
      <c r="J9" s="46">
        <v>227773976.95961663</v>
      </c>
      <c r="K9" s="51">
        <v>13</v>
      </c>
      <c r="N9" s="86"/>
      <c r="O9" s="83"/>
      <c r="P9" s="83"/>
      <c r="Q9" s="83"/>
      <c r="R9" s="83"/>
      <c r="S9" s="84"/>
    </row>
    <row r="10" spans="2:19" x14ac:dyDescent="0.25">
      <c r="B10" s="42" t="s">
        <v>154</v>
      </c>
      <c r="C10" s="58" t="s">
        <v>146</v>
      </c>
      <c r="D10" s="58" t="s">
        <v>155</v>
      </c>
      <c r="E10" s="59">
        <v>6667.9411764705901</v>
      </c>
      <c r="F10" s="60">
        <v>185.74220211176501</v>
      </c>
      <c r="G10" s="61" t="s">
        <v>148</v>
      </c>
      <c r="H10" s="46">
        <v>246341245.6484358</v>
      </c>
      <c r="I10" s="62">
        <v>221</v>
      </c>
      <c r="J10" s="46">
        <v>231117910.24319538</v>
      </c>
      <c r="K10" s="48">
        <v>0</v>
      </c>
      <c r="N10" s="86"/>
      <c r="O10" s="83"/>
      <c r="P10" s="83"/>
      <c r="Q10" s="83"/>
      <c r="R10" s="83"/>
      <c r="S10" s="84"/>
    </row>
    <row r="11" spans="2:19" ht="15.75" x14ac:dyDescent="0.25">
      <c r="B11" s="42" t="s">
        <v>156</v>
      </c>
      <c r="C11" s="58" t="s">
        <v>146</v>
      </c>
      <c r="D11" s="58" t="s">
        <v>155</v>
      </c>
      <c r="E11" s="59">
        <v>7554.0106951871703</v>
      </c>
      <c r="F11" s="60">
        <v>536.26629273467699</v>
      </c>
      <c r="G11" s="63" t="s">
        <v>150</v>
      </c>
      <c r="H11" s="46">
        <v>681776788.6053046</v>
      </c>
      <c r="I11" s="62">
        <v>187</v>
      </c>
      <c r="J11" s="46">
        <v>639644515.1521678</v>
      </c>
      <c r="K11" s="48">
        <v>0</v>
      </c>
      <c r="N11" s="120"/>
      <c r="O11" s="121"/>
      <c r="P11" s="121"/>
      <c r="Q11" s="121"/>
      <c r="R11" s="121"/>
      <c r="S11" s="122"/>
    </row>
    <row r="12" spans="2:19" ht="15.75" x14ac:dyDescent="0.25">
      <c r="B12" s="42" t="s">
        <v>157</v>
      </c>
      <c r="C12" s="58" t="s">
        <v>146</v>
      </c>
      <c r="D12" s="58" t="s">
        <v>158</v>
      </c>
      <c r="E12" s="59">
        <v>6939.1507352941198</v>
      </c>
      <c r="F12" s="60">
        <v>164.41542073529399</v>
      </c>
      <c r="G12" s="63" t="s">
        <v>148</v>
      </c>
      <c r="H12" s="46">
        <v>837879447.91880691</v>
      </c>
      <c r="I12" s="64">
        <v>816</v>
      </c>
      <c r="J12" s="46">
        <v>1014533387.1579112</v>
      </c>
      <c r="K12" s="51">
        <v>155</v>
      </c>
      <c r="N12" s="123" t="s">
        <v>183</v>
      </c>
      <c r="O12" s="124"/>
      <c r="P12" s="124"/>
      <c r="Q12" s="124"/>
      <c r="R12" s="124"/>
      <c r="S12" s="125"/>
    </row>
    <row r="13" spans="2:19" ht="15" customHeight="1" x14ac:dyDescent="0.25">
      <c r="B13" s="42" t="s">
        <v>159</v>
      </c>
      <c r="C13" s="58" t="s">
        <v>146</v>
      </c>
      <c r="D13" s="58" t="s">
        <v>158</v>
      </c>
      <c r="E13" s="59">
        <v>7689.7892861970204</v>
      </c>
      <c r="F13" s="60">
        <v>416.82752238806</v>
      </c>
      <c r="G13" s="61" t="s">
        <v>150</v>
      </c>
      <c r="H13" s="46">
        <v>966402718.47930336</v>
      </c>
      <c r="I13" s="64">
        <v>335</v>
      </c>
      <c r="J13" s="46">
        <v>1170153804.0737684</v>
      </c>
      <c r="K13" s="51">
        <v>64</v>
      </c>
      <c r="N13" s="87"/>
      <c r="O13" s="76" t="s">
        <v>185</v>
      </c>
      <c r="P13" s="76" t="s">
        <v>187</v>
      </c>
      <c r="Q13" s="76" t="s">
        <v>189</v>
      </c>
      <c r="R13" s="76" t="s">
        <v>191</v>
      </c>
      <c r="S13" s="88" t="s">
        <v>193</v>
      </c>
    </row>
    <row r="14" spans="2:19" ht="15" customHeight="1" x14ac:dyDescent="0.25">
      <c r="B14" s="42" t="s">
        <v>160</v>
      </c>
      <c r="C14" s="58" t="s">
        <v>146</v>
      </c>
      <c r="D14" s="58" t="s">
        <v>161</v>
      </c>
      <c r="E14" s="59">
        <v>7289.5</v>
      </c>
      <c r="F14" s="60">
        <v>157.45750000000001</v>
      </c>
      <c r="G14" s="61" t="s">
        <v>148</v>
      </c>
      <c r="H14" s="46">
        <v>16528124.826000001</v>
      </c>
      <c r="I14" s="64">
        <v>16</v>
      </c>
      <c r="J14" s="46">
        <v>20012824.642901905</v>
      </c>
      <c r="K14" s="51">
        <v>4</v>
      </c>
      <c r="N14" s="89" t="s">
        <v>184</v>
      </c>
      <c r="O14" s="75" t="s">
        <v>186</v>
      </c>
      <c r="P14" s="75" t="s">
        <v>188</v>
      </c>
      <c r="Q14" s="75" t="s">
        <v>190</v>
      </c>
      <c r="R14" s="75" t="s">
        <v>192</v>
      </c>
      <c r="S14" s="90" t="s">
        <v>183</v>
      </c>
    </row>
    <row r="15" spans="2:19" x14ac:dyDescent="0.25">
      <c r="B15" s="42" t="s">
        <v>162</v>
      </c>
      <c r="C15" s="58" t="s">
        <v>146</v>
      </c>
      <c r="D15" s="58" t="s">
        <v>161</v>
      </c>
      <c r="E15" s="59">
        <v>8440</v>
      </c>
      <c r="F15" s="60">
        <v>370.25</v>
      </c>
      <c r="G15" s="61" t="s">
        <v>150</v>
      </c>
      <c r="H15" s="46">
        <v>11249676</v>
      </c>
      <c r="I15" s="64">
        <v>4</v>
      </c>
      <c r="J15" s="46">
        <v>13621496.415812591</v>
      </c>
      <c r="K15" s="51">
        <v>1</v>
      </c>
      <c r="N15" s="91"/>
      <c r="O15" s="77"/>
      <c r="P15" s="77"/>
      <c r="Q15" s="77"/>
      <c r="R15" s="77"/>
      <c r="S15" s="90" t="s">
        <v>194</v>
      </c>
    </row>
    <row r="16" spans="2:19" x14ac:dyDescent="0.25">
      <c r="B16" s="42" t="s">
        <v>163</v>
      </c>
      <c r="C16" s="58" t="s">
        <v>146</v>
      </c>
      <c r="D16" s="58" t="s">
        <v>164</v>
      </c>
      <c r="E16" s="59">
        <v>6451.1428571428596</v>
      </c>
      <c r="F16" s="60">
        <v>186.44285714285701</v>
      </c>
      <c r="G16" s="61" t="s">
        <v>148</v>
      </c>
      <c r="H16" s="46">
        <v>30309791.554285705</v>
      </c>
      <c r="I16" s="62">
        <v>28</v>
      </c>
      <c r="J16" s="46" t="s">
        <v>2</v>
      </c>
      <c r="K16" s="48">
        <v>0</v>
      </c>
      <c r="N16" s="92">
        <v>1</v>
      </c>
      <c r="O16" s="31">
        <v>37</v>
      </c>
      <c r="P16" s="34">
        <v>1772</v>
      </c>
      <c r="Q16" s="31">
        <v>0</v>
      </c>
      <c r="R16" s="31">
        <v>0</v>
      </c>
      <c r="S16" s="93">
        <f>O16+P16</f>
        <v>1809</v>
      </c>
    </row>
    <row r="17" spans="2:19" ht="15.75" thickBot="1" x14ac:dyDescent="0.3">
      <c r="B17" s="52" t="s">
        <v>165</v>
      </c>
      <c r="C17" s="65" t="s">
        <v>146</v>
      </c>
      <c r="D17" s="65" t="s">
        <v>164</v>
      </c>
      <c r="E17" s="66">
        <v>7676.3571428571404</v>
      </c>
      <c r="F17" s="67">
        <v>532.267857142857</v>
      </c>
      <c r="G17" s="68" t="s">
        <v>150</v>
      </c>
      <c r="H17" s="53">
        <v>102964129.81071423</v>
      </c>
      <c r="I17" s="69">
        <v>28</v>
      </c>
      <c r="J17" s="53" t="s">
        <v>2</v>
      </c>
      <c r="K17" s="54">
        <v>0</v>
      </c>
      <c r="N17" s="92">
        <v>2</v>
      </c>
      <c r="O17" s="31">
        <v>37</v>
      </c>
      <c r="P17" s="34">
        <f>S16</f>
        <v>1809</v>
      </c>
      <c r="Q17" s="31">
        <v>0</v>
      </c>
      <c r="R17" s="31">
        <v>0</v>
      </c>
      <c r="S17" s="93">
        <f t="shared" ref="S17:S18" si="1">O17+P17</f>
        <v>1846</v>
      </c>
    </row>
    <row r="18" spans="2:19" ht="15.75" thickBot="1" x14ac:dyDescent="0.3">
      <c r="N18" s="92">
        <v>3</v>
      </c>
      <c r="O18" s="31">
        <v>37</v>
      </c>
      <c r="P18" s="34">
        <f>S17</f>
        <v>1846</v>
      </c>
      <c r="Q18" s="31">
        <v>0</v>
      </c>
      <c r="R18" s="31">
        <v>0</v>
      </c>
      <c r="S18" s="93">
        <f t="shared" si="1"/>
        <v>1883</v>
      </c>
    </row>
    <row r="19" spans="2:19" ht="16.5" thickBot="1" x14ac:dyDescent="0.3">
      <c r="B19" s="118" t="s">
        <v>135</v>
      </c>
      <c r="C19" s="114" t="s">
        <v>136</v>
      </c>
      <c r="D19" s="114" t="s">
        <v>137</v>
      </c>
      <c r="E19" s="114" t="s">
        <v>138</v>
      </c>
      <c r="F19" s="114" t="s">
        <v>139</v>
      </c>
      <c r="G19" s="116" t="s">
        <v>140</v>
      </c>
      <c r="H19" s="126">
        <v>2008</v>
      </c>
      <c r="I19" s="127"/>
      <c r="J19" s="126">
        <v>2015</v>
      </c>
      <c r="K19" s="127"/>
      <c r="N19" s="92" t="s">
        <v>195</v>
      </c>
      <c r="O19" s="31">
        <v>37</v>
      </c>
      <c r="P19" s="34">
        <f>AVERAGE(P16:P18)</f>
        <v>1809</v>
      </c>
      <c r="Q19" s="31">
        <v>0</v>
      </c>
      <c r="R19" s="31">
        <v>0</v>
      </c>
      <c r="S19" s="93">
        <f>AVERAGE(S16:S18)</f>
        <v>1846</v>
      </c>
    </row>
    <row r="20" spans="2:19" ht="15.75" thickBot="1" x14ac:dyDescent="0.3">
      <c r="B20" s="119"/>
      <c r="C20" s="115"/>
      <c r="D20" s="115"/>
      <c r="E20" s="115"/>
      <c r="F20" s="115"/>
      <c r="G20" s="117"/>
      <c r="H20" s="55" t="s">
        <v>141</v>
      </c>
      <c r="I20" s="56" t="s">
        <v>142</v>
      </c>
      <c r="J20" s="55" t="s">
        <v>143</v>
      </c>
      <c r="K20" s="57" t="s">
        <v>144</v>
      </c>
      <c r="N20" s="86"/>
      <c r="O20" s="83"/>
      <c r="P20" s="83"/>
      <c r="Q20" s="83"/>
      <c r="R20" s="83"/>
      <c r="S20" s="84"/>
    </row>
    <row r="21" spans="2:19" x14ac:dyDescent="0.25">
      <c r="B21" s="42" t="s">
        <v>169</v>
      </c>
      <c r="C21" s="43" t="s">
        <v>170</v>
      </c>
      <c r="D21" s="43" t="s">
        <v>147</v>
      </c>
      <c r="E21" s="44">
        <v>8040</v>
      </c>
      <c r="F21" s="45">
        <v>212</v>
      </c>
      <c r="G21" s="49" t="s">
        <v>148</v>
      </c>
      <c r="H21" s="46">
        <v>3068064</v>
      </c>
      <c r="I21" s="50">
        <v>2</v>
      </c>
      <c r="J21" s="46" t="s">
        <v>2</v>
      </c>
      <c r="K21" s="48">
        <v>0</v>
      </c>
      <c r="N21" s="86" t="s">
        <v>196</v>
      </c>
      <c r="O21" s="83"/>
      <c r="P21" s="83"/>
      <c r="Q21" s="83"/>
      <c r="R21" s="83"/>
      <c r="S21" s="84"/>
    </row>
    <row r="22" spans="2:19" x14ac:dyDescent="0.25">
      <c r="B22" s="42" t="s">
        <v>171</v>
      </c>
      <c r="C22" s="43" t="s">
        <v>170</v>
      </c>
      <c r="D22" s="43" t="s">
        <v>147</v>
      </c>
      <c r="E22" s="44">
        <v>8040</v>
      </c>
      <c r="F22" s="45">
        <v>568</v>
      </c>
      <c r="G22" s="49" t="s">
        <v>150</v>
      </c>
      <c r="H22" s="46">
        <v>4110048</v>
      </c>
      <c r="I22" s="50">
        <v>1</v>
      </c>
      <c r="J22" s="46" t="s">
        <v>2</v>
      </c>
      <c r="K22" s="48">
        <v>0</v>
      </c>
      <c r="N22" s="82"/>
      <c r="O22" s="15" t="s">
        <v>66</v>
      </c>
      <c r="P22" s="83"/>
      <c r="Q22" s="83"/>
      <c r="R22" s="83"/>
      <c r="S22" s="84"/>
    </row>
    <row r="23" spans="2:19" x14ac:dyDescent="0.25">
      <c r="B23" s="42" t="s">
        <v>172</v>
      </c>
      <c r="C23" s="43" t="s">
        <v>170</v>
      </c>
      <c r="D23" s="43" t="s">
        <v>152</v>
      </c>
      <c r="E23" s="44"/>
      <c r="F23" s="45"/>
      <c r="G23" s="49" t="s">
        <v>148</v>
      </c>
      <c r="H23" s="46">
        <v>0</v>
      </c>
      <c r="I23" s="47">
        <v>0</v>
      </c>
      <c r="J23" s="46">
        <v>0</v>
      </c>
      <c r="K23" s="48">
        <v>0</v>
      </c>
      <c r="N23" s="82" t="s">
        <v>166</v>
      </c>
      <c r="O23" s="70"/>
      <c r="P23" s="83"/>
      <c r="Q23" s="83"/>
      <c r="R23" s="83"/>
      <c r="S23" s="84"/>
    </row>
    <row r="24" spans="2:19" x14ac:dyDescent="0.25">
      <c r="B24" s="42" t="s">
        <v>173</v>
      </c>
      <c r="C24" s="43" t="s">
        <v>170</v>
      </c>
      <c r="D24" s="43" t="s">
        <v>155</v>
      </c>
      <c r="E24" s="44">
        <v>5947.2391304347802</v>
      </c>
      <c r="F24" s="45">
        <v>156.116304347826</v>
      </c>
      <c r="G24" s="49" t="s">
        <v>148</v>
      </c>
      <c r="H24" s="46">
        <v>38438285.156413011</v>
      </c>
      <c r="I24" s="50">
        <v>46</v>
      </c>
      <c r="J24" s="46">
        <v>32947101.562639717</v>
      </c>
      <c r="K24" s="48">
        <v>0</v>
      </c>
      <c r="N24" s="82" t="s">
        <v>167</v>
      </c>
      <c r="O24" s="70"/>
      <c r="P24" s="83"/>
      <c r="Q24" s="83"/>
      <c r="R24" s="83"/>
      <c r="S24" s="84"/>
    </row>
    <row r="25" spans="2:19" x14ac:dyDescent="0.25">
      <c r="B25" s="42" t="s">
        <v>174</v>
      </c>
      <c r="C25" s="43" t="s">
        <v>170</v>
      </c>
      <c r="D25" s="43" t="s">
        <v>155</v>
      </c>
      <c r="E25" s="44">
        <v>7820</v>
      </c>
      <c r="F25" s="45">
        <v>431.37294117647099</v>
      </c>
      <c r="G25" s="49" t="s">
        <v>150</v>
      </c>
      <c r="H25" s="46">
        <v>51612046.920000046</v>
      </c>
      <c r="I25" s="50">
        <v>17</v>
      </c>
      <c r="J25" s="46">
        <v>44238897.360000029</v>
      </c>
      <c r="K25" s="48">
        <v>0</v>
      </c>
      <c r="N25" s="82" t="s">
        <v>168</v>
      </c>
      <c r="O25" s="70"/>
      <c r="P25" s="83"/>
      <c r="Q25" s="83"/>
      <c r="R25" s="83"/>
      <c r="S25" s="84"/>
    </row>
    <row r="26" spans="2:19" ht="15.75" thickBot="1" x14ac:dyDescent="0.3">
      <c r="B26" s="42" t="s">
        <v>175</v>
      </c>
      <c r="C26" s="43" t="s">
        <v>170</v>
      </c>
      <c r="D26" s="43" t="s">
        <v>158</v>
      </c>
      <c r="E26" s="44">
        <v>4409.5925925925903</v>
      </c>
      <c r="F26" s="45">
        <v>157.292592592593</v>
      </c>
      <c r="G26" s="49" t="s">
        <v>148</v>
      </c>
      <c r="H26" s="46">
        <v>50563166.710000113</v>
      </c>
      <c r="I26" s="50">
        <v>81</v>
      </c>
      <c r="J26" s="46">
        <v>54488878.411087081</v>
      </c>
      <c r="K26" s="51">
        <v>6</v>
      </c>
      <c r="N26" s="94" t="s">
        <v>68</v>
      </c>
      <c r="O26" s="95"/>
      <c r="P26" s="96"/>
      <c r="Q26" s="96"/>
      <c r="R26" s="96"/>
      <c r="S26" s="97"/>
    </row>
    <row r="27" spans="2:19" x14ac:dyDescent="0.25">
      <c r="B27" s="42" t="s">
        <v>176</v>
      </c>
      <c r="C27" s="43" t="s">
        <v>170</v>
      </c>
      <c r="D27" s="43" t="s">
        <v>158</v>
      </c>
      <c r="E27" s="44">
        <v>1732.3333333333301</v>
      </c>
      <c r="F27" s="45">
        <v>318.17777777777798</v>
      </c>
      <c r="G27" s="49" t="s">
        <v>150</v>
      </c>
      <c r="H27" s="46">
        <v>4464638.7599999942</v>
      </c>
      <c r="I27" s="50">
        <v>9</v>
      </c>
      <c r="J27" s="46">
        <v>4811272.204099373</v>
      </c>
      <c r="K27" s="51">
        <v>1</v>
      </c>
    </row>
  </sheetData>
  <mergeCells count="18">
    <mergeCell ref="N11:S11"/>
    <mergeCell ref="N12:S12"/>
    <mergeCell ref="H4:I4"/>
    <mergeCell ref="J4:K4"/>
    <mergeCell ref="G19:G20"/>
    <mergeCell ref="H19:I19"/>
    <mergeCell ref="J19:K19"/>
    <mergeCell ref="F19:F20"/>
    <mergeCell ref="F4:F5"/>
    <mergeCell ref="G4:G5"/>
    <mergeCell ref="B4:B5"/>
    <mergeCell ref="C4:C5"/>
    <mergeCell ref="D4:D5"/>
    <mergeCell ref="E4:E5"/>
    <mergeCell ref="B19:B20"/>
    <mergeCell ref="C19:C20"/>
    <mergeCell ref="D19:D20"/>
    <mergeCell ref="E19:E20"/>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Industry</vt:lpstr>
      <vt:lpstr>Agency</vt:lpstr>
      <vt:lpstr>Respondent Universe Update</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Jennifer Sellers</dc:creator>
  <cp:lastModifiedBy>wwrigley</cp:lastModifiedBy>
  <dcterms:created xsi:type="dcterms:W3CDTF">2016-03-08T20:40:25Z</dcterms:created>
  <dcterms:modified xsi:type="dcterms:W3CDTF">2016-06-03T14:10:01Z</dcterms:modified>
</cp:coreProperties>
</file>