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0490" windowHeight="7455"/>
  </bookViews>
  <sheets>
    <sheet name="Table 1" sheetId="3" r:id="rId1"/>
    <sheet name="Table 2" sheetId="4" r:id="rId2"/>
    <sheet name="Capital and O&amp;M" sheetId="5"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6" i="3" l="1"/>
  <c r="I85" i="3"/>
  <c r="I84" i="3"/>
  <c r="G12" i="5"/>
  <c r="G10" i="5"/>
  <c r="D10" i="5"/>
  <c r="G8" i="5"/>
  <c r="D8" i="5"/>
  <c r="D9" i="5"/>
  <c r="G6" i="5"/>
  <c r="F6" i="5"/>
  <c r="D7" i="5"/>
  <c r="D6" i="5"/>
  <c r="I16" i="4"/>
  <c r="F16" i="4"/>
  <c r="I15" i="4"/>
  <c r="E13" i="4"/>
  <c r="E9" i="4"/>
  <c r="I83" i="3"/>
  <c r="F83" i="3"/>
  <c r="I82" i="3"/>
  <c r="F82" i="3"/>
  <c r="I78" i="3"/>
  <c r="H78" i="3"/>
  <c r="G78" i="3"/>
  <c r="F78" i="3"/>
  <c r="F77" i="3"/>
  <c r="E78" i="3"/>
  <c r="E77" i="3"/>
  <c r="E75" i="3"/>
  <c r="E74" i="3"/>
  <c r="D78" i="3"/>
  <c r="D79" i="3"/>
  <c r="D77" i="3"/>
  <c r="G61" i="3"/>
  <c r="G63" i="3"/>
  <c r="G58" i="3"/>
  <c r="F59" i="3"/>
  <c r="G59" i="3" s="1"/>
  <c r="F60" i="3"/>
  <c r="G60" i="3" s="1"/>
  <c r="F61" i="3"/>
  <c r="H61" i="3" s="1"/>
  <c r="F63" i="3"/>
  <c r="H63" i="3" s="1"/>
  <c r="F64" i="3"/>
  <c r="G64" i="3" s="1"/>
  <c r="F65" i="3"/>
  <c r="F58" i="3"/>
  <c r="E64" i="3"/>
  <c r="E65" i="3"/>
  <c r="E63" i="3"/>
  <c r="E60" i="3"/>
  <c r="E61" i="3"/>
  <c r="E59" i="3"/>
  <c r="E58" i="3"/>
  <c r="E13" i="3"/>
  <c r="E22" i="3"/>
  <c r="E11" i="3"/>
  <c r="I29" i="3"/>
  <c r="I30" i="3"/>
  <c r="I31" i="3"/>
  <c r="I32" i="3"/>
  <c r="I33" i="3"/>
  <c r="I34" i="3"/>
  <c r="I35" i="3"/>
  <c r="I36" i="3"/>
  <c r="I37" i="3"/>
  <c r="I38" i="3"/>
  <c r="I39" i="3"/>
  <c r="I40" i="3"/>
  <c r="I41" i="3"/>
  <c r="I42" i="3"/>
  <c r="I43" i="3"/>
  <c r="I28" i="3"/>
  <c r="H29" i="3"/>
  <c r="H30" i="3"/>
  <c r="H31" i="3"/>
  <c r="H32" i="3"/>
  <c r="H33" i="3"/>
  <c r="H34" i="3"/>
  <c r="H35" i="3"/>
  <c r="H36" i="3"/>
  <c r="H37" i="3"/>
  <c r="H38" i="3"/>
  <c r="H39" i="3"/>
  <c r="H40" i="3"/>
  <c r="H41" i="3"/>
  <c r="H42" i="3"/>
  <c r="H43" i="3"/>
  <c r="H28" i="3"/>
  <c r="G29" i="3"/>
  <c r="G30" i="3"/>
  <c r="G31" i="3"/>
  <c r="G32" i="3"/>
  <c r="G33" i="3"/>
  <c r="G34" i="3"/>
  <c r="G35" i="3"/>
  <c r="G36" i="3"/>
  <c r="G37" i="3"/>
  <c r="G38" i="3"/>
  <c r="G39" i="3"/>
  <c r="G40" i="3"/>
  <c r="G41" i="3"/>
  <c r="G42" i="3"/>
  <c r="G43" i="3"/>
  <c r="G28" i="3"/>
  <c r="F29" i="3"/>
  <c r="F30" i="3"/>
  <c r="F31" i="3"/>
  <c r="F32" i="3"/>
  <c r="F33" i="3"/>
  <c r="F34" i="3"/>
  <c r="F35" i="3"/>
  <c r="F36" i="3"/>
  <c r="F37" i="3"/>
  <c r="F38" i="3"/>
  <c r="F39" i="3"/>
  <c r="F40" i="3"/>
  <c r="F41" i="3"/>
  <c r="F42" i="3"/>
  <c r="F43" i="3"/>
  <c r="F28" i="3"/>
  <c r="E40" i="3"/>
  <c r="E41" i="3"/>
  <c r="E42" i="3"/>
  <c r="E43" i="3"/>
  <c r="E39" i="3"/>
  <c r="E38" i="3"/>
  <c r="E37" i="3"/>
  <c r="E36" i="3"/>
  <c r="E35" i="3"/>
  <c r="E34" i="3"/>
  <c r="E33" i="3"/>
  <c r="E32" i="3"/>
  <c r="E31" i="3"/>
  <c r="E28" i="3"/>
  <c r="E30" i="3" s="1"/>
  <c r="E29" i="3"/>
  <c r="G77" i="3" l="1"/>
  <c r="I77" i="3" s="1"/>
  <c r="H77" i="3"/>
  <c r="I65" i="3"/>
  <c r="G65" i="3"/>
  <c r="H65" i="3"/>
  <c r="H60" i="3"/>
  <c r="I61" i="3"/>
  <c r="H64" i="3"/>
  <c r="I64" i="3" s="1"/>
  <c r="H59" i="3"/>
  <c r="H58" i="3"/>
  <c r="I58" i="3" s="1"/>
  <c r="I60" i="3"/>
  <c r="I63" i="3"/>
  <c r="I59" i="3"/>
  <c r="E14" i="4"/>
  <c r="F79" i="3"/>
  <c r="H79" i="3" s="1"/>
  <c r="I8" i="3"/>
  <c r="I6" i="3"/>
  <c r="E80" i="3"/>
  <c r="E56" i="3"/>
  <c r="E8" i="3"/>
  <c r="D75" i="3"/>
  <c r="D80" i="3"/>
  <c r="D74" i="3"/>
  <c r="D55" i="3"/>
  <c r="D56" i="3"/>
  <c r="D54" i="3"/>
  <c r="D50" i="3"/>
  <c r="D51" i="3"/>
  <c r="D52" i="3"/>
  <c r="D49" i="3"/>
  <c r="D12" i="3"/>
  <c r="D13" i="3"/>
  <c r="D14" i="3"/>
  <c r="D15" i="3"/>
  <c r="D16" i="3"/>
  <c r="D17" i="3"/>
  <c r="D18" i="3"/>
  <c r="D19" i="3"/>
  <c r="D20" i="3"/>
  <c r="D21" i="3"/>
  <c r="D22" i="3"/>
  <c r="D23" i="3"/>
  <c r="D24" i="3"/>
  <c r="D25" i="3"/>
  <c r="D26" i="3"/>
  <c r="D11" i="3"/>
  <c r="D8" i="3"/>
  <c r="D6" i="3"/>
  <c r="E15" i="3"/>
  <c r="E6" i="3"/>
  <c r="G79" i="3" l="1"/>
  <c r="I79" i="3" s="1"/>
  <c r="D12" i="4"/>
  <c r="F12" i="4" s="1"/>
  <c r="G12" i="4" l="1"/>
  <c r="H12" i="4"/>
  <c r="I12" i="4" l="1"/>
  <c r="D14" i="4" l="1"/>
  <c r="F14" i="4" s="1"/>
  <c r="D13" i="4"/>
  <c r="D11" i="4"/>
  <c r="F11" i="4" s="1"/>
  <c r="D10" i="4"/>
  <c r="F10" i="4" s="1"/>
  <c r="D9" i="4"/>
  <c r="D7" i="4"/>
  <c r="F7" i="4" s="1"/>
  <c r="D6" i="4"/>
  <c r="F6" i="4" s="1"/>
  <c r="F6" i="3"/>
  <c r="F22" i="3"/>
  <c r="E23" i="3"/>
  <c r="F23" i="3" s="1"/>
  <c r="E24" i="3"/>
  <c r="F24" i="3" s="1"/>
  <c r="E25" i="3"/>
  <c r="F25" i="3" s="1"/>
  <c r="E26" i="3"/>
  <c r="F26" i="3" s="1"/>
  <c r="F56" i="3"/>
  <c r="F74" i="3"/>
  <c r="F75" i="3"/>
  <c r="F80" i="3"/>
  <c r="G74" i="3" l="1"/>
  <c r="H56" i="3"/>
  <c r="I56" i="3"/>
  <c r="H80" i="3"/>
  <c r="G26" i="3"/>
  <c r="G22" i="3"/>
  <c r="G6" i="3"/>
  <c r="G80" i="3"/>
  <c r="I80" i="3" s="1"/>
  <c r="F8" i="3"/>
  <c r="G8" i="3" s="1"/>
  <c r="G56" i="3"/>
  <c r="H14" i="4"/>
  <c r="H11" i="4"/>
  <c r="H10" i="4"/>
  <c r="H7" i="4"/>
  <c r="H6" i="4"/>
  <c r="G14" i="4"/>
  <c r="G11" i="4"/>
  <c r="G10" i="4"/>
  <c r="G7" i="4"/>
  <c r="G6" i="4"/>
  <c r="G25" i="3"/>
  <c r="E49" i="3"/>
  <c r="E54" i="3"/>
  <c r="F54" i="3" s="1"/>
  <c r="E14" i="3"/>
  <c r="F14" i="3" s="1"/>
  <c r="E18" i="3"/>
  <c r="F18" i="3" s="1"/>
  <c r="F11" i="3"/>
  <c r="E12" i="3"/>
  <c r="F12" i="3" s="1"/>
  <c r="E16" i="3"/>
  <c r="F16" i="3" s="1"/>
  <c r="E20" i="3"/>
  <c r="F20" i="3" s="1"/>
  <c r="E52" i="3"/>
  <c r="F52" i="3" s="1"/>
  <c r="E51" i="3"/>
  <c r="F51" i="3" s="1"/>
  <c r="E50" i="3"/>
  <c r="F50" i="3" s="1"/>
  <c r="H75" i="3"/>
  <c r="E55" i="3"/>
  <c r="G24" i="3"/>
  <c r="H24" i="3"/>
  <c r="G75" i="3"/>
  <c r="I75" i="3" s="1"/>
  <c r="H74" i="3"/>
  <c r="I74" i="3" s="1"/>
  <c r="H25" i="3"/>
  <c r="H23" i="3"/>
  <c r="G23" i="3"/>
  <c r="I23" i="3" s="1"/>
  <c r="H26" i="3"/>
  <c r="H22" i="3"/>
  <c r="H6" i="3"/>
  <c r="I25" i="3" l="1"/>
  <c r="I26" i="3"/>
  <c r="I22" i="3"/>
  <c r="I24" i="3"/>
  <c r="F55" i="3"/>
  <c r="G55" i="3" s="1"/>
  <c r="F13" i="4"/>
  <c r="I52" i="3"/>
  <c r="F49" i="3"/>
  <c r="F9" i="4"/>
  <c r="I14" i="3"/>
  <c r="H8" i="3"/>
  <c r="I7" i="4"/>
  <c r="I10" i="4"/>
  <c r="I6" i="4"/>
  <c r="I11" i="4"/>
  <c r="I14" i="4"/>
  <c r="H50" i="3"/>
  <c r="G50" i="3"/>
  <c r="I50" i="3" s="1"/>
  <c r="G49" i="3"/>
  <c r="H49" i="3"/>
  <c r="E17" i="3"/>
  <c r="F17" i="3" s="1"/>
  <c r="E21" i="3"/>
  <c r="F21" i="3" s="1"/>
  <c r="F13" i="3"/>
  <c r="F15" i="3"/>
  <c r="E19" i="3"/>
  <c r="F19" i="3" s="1"/>
  <c r="H52" i="3"/>
  <c r="G52" i="3"/>
  <c r="G16" i="3"/>
  <c r="H16" i="3"/>
  <c r="H14" i="3"/>
  <c r="G14" i="3"/>
  <c r="G11" i="3"/>
  <c r="H11" i="3"/>
  <c r="G51" i="3"/>
  <c r="I51" i="3" s="1"/>
  <c r="H51" i="3"/>
  <c r="G20" i="3"/>
  <c r="H20" i="3"/>
  <c r="H18" i="3"/>
  <c r="G18" i="3"/>
  <c r="I18" i="3" s="1"/>
  <c r="H55" i="3"/>
  <c r="G12" i="3"/>
  <c r="H12" i="3"/>
  <c r="H54" i="3"/>
  <c r="G54" i="3"/>
  <c r="I55" i="3" l="1"/>
  <c r="F66" i="3"/>
  <c r="I54" i="3"/>
  <c r="I20" i="3"/>
  <c r="I11" i="3"/>
  <c r="I16" i="3"/>
  <c r="G13" i="4"/>
  <c r="H13" i="4"/>
  <c r="F15" i="4"/>
  <c r="G9" i="4"/>
  <c r="H9" i="4"/>
  <c r="I12" i="3"/>
  <c r="I49" i="3"/>
  <c r="H17" i="3"/>
  <c r="G17" i="3"/>
  <c r="G15" i="3"/>
  <c r="H15" i="3"/>
  <c r="H13" i="3"/>
  <c r="G13" i="3"/>
  <c r="G19" i="3"/>
  <c r="H19" i="3"/>
  <c r="H21" i="3"/>
  <c r="G21" i="3"/>
  <c r="I66" i="3" l="1"/>
  <c r="H15" i="4"/>
  <c r="I13" i="4"/>
  <c r="I19" i="3"/>
  <c r="I15" i="3"/>
  <c r="I17" i="3"/>
  <c r="I21" i="3"/>
  <c r="I13" i="3"/>
  <c r="G15" i="4"/>
  <c r="I9" i="4"/>
</calcChain>
</file>

<file path=xl/sharedStrings.xml><?xml version="1.0" encoding="utf-8"?>
<sst xmlns="http://schemas.openxmlformats.org/spreadsheetml/2006/main" count="160" uniqueCount="122">
  <si>
    <t>1. APPLICATIONS (Not Applicable)</t>
  </si>
  <si>
    <t>2. SURVEY AND STUDIES (Not Applicable)</t>
  </si>
  <si>
    <t>4. REPORT REQUIREMENTS</t>
  </si>
  <si>
    <t>C. Create Information (Included in 4B)</t>
  </si>
  <si>
    <t>D. Gather Existing Information (Included in 4E)</t>
  </si>
  <si>
    <t>E. Write Report</t>
  </si>
  <si>
    <t>5. RECORDKEEPING REQUIREMENTS</t>
  </si>
  <si>
    <t>B. Plan Activities (Included in 4B)</t>
  </si>
  <si>
    <t>C. Implement Activities (Included in 4B)</t>
  </si>
  <si>
    <t>D. Record Data ( Not Applicable)</t>
  </si>
  <si>
    <t>E. Time to Transmit or Disclose Information</t>
  </si>
  <si>
    <t>G. Time for Audits (Not Applicable)</t>
  </si>
  <si>
    <t>B. Required Activities</t>
  </si>
  <si>
    <t>F. Time to Train Personnel</t>
  </si>
  <si>
    <t>(A)
Hours per Occurrence</t>
  </si>
  <si>
    <t>(B)
Occurrences/ Respondent/ Year</t>
  </si>
  <si>
    <t>Burden Item</t>
  </si>
  <si>
    <t>Table 1: Annual Respondent Burden and Cost – 
NESHAP for Portland Cement Plants (40 CFR Part 63, Subpart LLL) (Renewal)</t>
  </si>
  <si>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</si>
  <si>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</si>
  <si>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a</t>
    </r>
    <r>
      <rPr>
        <sz val="10"/>
        <color theme="1"/>
        <rFont val="Times New Roman"/>
        <family val="1"/>
      </rPr>
      <t xml:space="preserve">  We have assumed that there are approximately 87 respondents, 10% of the 87 existing facilities (8.7 facilities) will have new construction/reconstruction, and 5 new portland cement kilns per year will be required to complete performance tests and new/revised reports over the next three years.</t>
    </r>
  </si>
  <si>
    <r>
      <t>c</t>
    </r>
    <r>
      <rPr>
        <sz val="10"/>
        <color theme="1"/>
        <rFont val="Times New Roman"/>
        <family val="1"/>
      </rPr>
      <t xml:space="preserve">  We have assumed that it will take twenty-four hours for each new respondent to perform the initial performance test.</t>
    </r>
  </si>
  <si>
    <r>
      <t>b</t>
    </r>
    <r>
      <rPr>
        <sz val="10"/>
        <color theme="1"/>
        <rFont val="Times New Roman"/>
        <family val="1"/>
      </rPr>
      <t xml:space="preserve">  This cost is based on the following hourly labor rates times a 1.6 benefits multiplication factor to account for government overhead expenses: $62.90 for Managerial (GS-13, Step 5, $39.31 x 1.6), $46.67 for Technical (GS-12, Step 1, $29.17 x 1.6) and $25.25 Clerical (GS-6, Step 3, $15.78 x 1.6).  These rates are from the Office of Personnel Management (OPM) “2014 General Schedule” which excludes locality rates of pay.</t>
    </r>
  </si>
  <si>
    <t>Assumptions:</t>
  </si>
  <si>
    <t>Subtotals Labor Burden and cost</t>
  </si>
  <si>
    <t xml:space="preserve">         Notification of actual startup</t>
  </si>
  <si>
    <t xml:space="preserve">         Notification of construction</t>
  </si>
  <si>
    <t xml:space="preserve">    Report Review</t>
  </si>
  <si>
    <r>
      <t xml:space="preserve">    Repeat performance test </t>
    </r>
    <r>
      <rPr>
        <vertAlign val="superscript"/>
        <sz val="10"/>
        <color theme="1"/>
        <rFont val="Times New Roman"/>
        <family val="1"/>
      </rPr>
      <t>d</t>
    </r>
  </si>
  <si>
    <r>
      <t xml:space="preserve">    Initial performance tests </t>
    </r>
    <r>
      <rPr>
        <vertAlign val="superscript"/>
        <sz val="10"/>
        <color theme="1"/>
        <rFont val="Times New Roman"/>
        <family val="1"/>
      </rPr>
      <t>c</t>
    </r>
  </si>
  <si>
    <t>(Ex0.1)</t>
  </si>
  <si>
    <t>(Ex0.05)</t>
  </si>
  <si>
    <t>(E=CxD)</t>
  </si>
  <si>
    <t>(C=AxB)</t>
  </si>
  <si>
    <r>
      <t xml:space="preserve">Cost, $ </t>
    </r>
    <r>
      <rPr>
        <b/>
        <vertAlign val="superscript"/>
        <sz val="12"/>
        <color theme="1"/>
        <rFont val="Times New Roman"/>
        <family val="1"/>
      </rPr>
      <t>b</t>
    </r>
  </si>
  <si>
    <t>Clerical person-hours per year</t>
  </si>
  <si>
    <t>Management person-hours per year</t>
  </si>
  <si>
    <t>Technical person- hours per year</t>
  </si>
  <si>
    <r>
      <t xml:space="preserve">Plants per year  </t>
    </r>
    <r>
      <rPr>
        <b/>
        <vertAlign val="superscript"/>
        <sz val="12"/>
        <color theme="1"/>
        <rFont val="Times New Roman"/>
        <family val="1"/>
      </rPr>
      <t>a</t>
    </r>
  </si>
  <si>
    <t>EPA person- hours per plant per year</t>
  </si>
  <si>
    <t>No. of occurrences per plant per year</t>
  </si>
  <si>
    <t>EPA person- hours per occurrence</t>
  </si>
  <si>
    <t>(H)</t>
  </si>
  <si>
    <t>(G)</t>
  </si>
  <si>
    <t>(F)</t>
  </si>
  <si>
    <t>(E)</t>
  </si>
  <si>
    <t>(D)</t>
  </si>
  <si>
    <t>(C)</t>
  </si>
  <si>
    <t>(B)</t>
  </si>
  <si>
    <t>(A)</t>
  </si>
  <si>
    <t>Activity</t>
  </si>
  <si>
    <t>Table 2:  Average Annual EPA Burden and Cost - 
NESHAP for Portland Cement Plants (40 CFR part 63, subpart LLL)</t>
  </si>
  <si>
    <t xml:space="preserve">         Review test results/CEMS Results</t>
  </si>
  <si>
    <t xml:space="preserve">         Notification of Physical or Operational 
         Change</t>
  </si>
  <si>
    <r>
      <t>d</t>
    </r>
    <r>
      <rPr>
        <sz val="10"/>
        <color theme="1"/>
        <rFont val="Times New Roman"/>
        <family val="1"/>
      </rPr>
      <t xml:space="preserve">  We have assumed that 10 percent of respondents would repeat performance test due to failure.</t>
    </r>
  </si>
  <si>
    <t xml:space="preserve">         Review semi-annual summary report</t>
  </si>
  <si>
    <r>
      <t xml:space="preserve">         Notification of performance test </t>
    </r>
    <r>
      <rPr>
        <vertAlign val="superscript"/>
        <sz val="10"/>
        <color theme="1"/>
        <rFont val="Times New Roman"/>
        <family val="1"/>
      </rPr>
      <t>c</t>
    </r>
  </si>
  <si>
    <t>A. Familiarize with regulatory requirement</t>
  </si>
  <si>
    <r>
      <t>(D)
Respondents/
Year</t>
    </r>
    <r>
      <rPr>
        <vertAlign val="superscript"/>
        <sz val="10"/>
        <color theme="1"/>
        <rFont val="Times New Roman"/>
        <family val="1"/>
      </rPr>
      <t>a</t>
    </r>
  </si>
  <si>
    <r>
      <t>(H)
Cost/ Year</t>
    </r>
    <r>
      <rPr>
        <vertAlign val="superscript"/>
        <sz val="10"/>
        <color theme="1"/>
        <rFont val="Times New Roman"/>
        <family val="1"/>
      </rPr>
      <t>b</t>
    </r>
  </si>
  <si>
    <r>
      <t>Subtotal for Reporting Requirements</t>
    </r>
    <r>
      <rPr>
        <b/>
        <vertAlign val="superscript"/>
        <sz val="10"/>
        <color theme="1"/>
        <rFont val="Times New Roman"/>
        <family val="1"/>
      </rPr>
      <t>c</t>
    </r>
  </si>
  <si>
    <r>
      <t>Subtotal for Recordkeeping Requirements</t>
    </r>
    <r>
      <rPr>
        <b/>
        <vertAlign val="superscript"/>
        <sz val="10"/>
        <color theme="1"/>
        <rFont val="Times New Roman"/>
        <family val="1"/>
      </rPr>
      <t>c</t>
    </r>
  </si>
  <si>
    <r>
      <t>TOTAL ANNUAL LABOR BURDEN AND COST</t>
    </r>
    <r>
      <rPr>
        <b/>
        <vertAlign val="superscript"/>
        <sz val="10"/>
        <color theme="1"/>
        <rFont val="Times New Roman"/>
        <family val="1"/>
      </rPr>
      <t>c</t>
    </r>
  </si>
  <si>
    <t>(C)
Hours/ Respondent/ Year 
(A x B)</t>
  </si>
  <si>
    <t>(E)
Technical Hours/Year 
(C x D)</t>
  </si>
  <si>
    <t>(F) Managerial Hours/Year 
(E x 0.05)</t>
  </si>
  <si>
    <t>(G) 
Clerical Hours/Year 
(E x 0.10)</t>
  </si>
  <si>
    <t>Initial Performance Test</t>
  </si>
  <si>
    <t>Reference Method 321 Test</t>
  </si>
  <si>
    <t>Initial THC Performance Test</t>
  </si>
  <si>
    <t>Repeat THC Performance Test</t>
  </si>
  <si>
    <t>Initial Hg Performance Test</t>
  </si>
  <si>
    <t>Repeat Hg Performance Test</t>
  </si>
  <si>
    <t>Initial HCl Performance Test</t>
  </si>
  <si>
    <t>Repeat HCl Performance Test</t>
  </si>
  <si>
    <t>Initial PM CEMS Performance Specification 11</t>
  </si>
  <si>
    <t>Repeat PM CEMS Performance Specification 11</t>
  </si>
  <si>
    <t>CEMS Monitoring*</t>
  </si>
  <si>
    <t>CEMS Quarterly Inspections*</t>
  </si>
  <si>
    <t>CEMS Daily Calibration Drift Tests*</t>
  </si>
  <si>
    <t>Daily monitoring (CEMS)*</t>
  </si>
  <si>
    <t>All CEMS must follow appropriate performance specifications*</t>
  </si>
  <si>
    <t>Repeat Performance Test (assumes 10% repeat test)</t>
  </si>
  <si>
    <t>Notification of construction/reconstruction</t>
  </si>
  <si>
    <t>Notification of actual startup</t>
  </si>
  <si>
    <t>Physical or Operational Change</t>
  </si>
  <si>
    <t>Notification of Demonstration of CEMS</t>
  </si>
  <si>
    <t>Report of Performance Test (included in 4B)</t>
  </si>
  <si>
    <t>Notification of Initial Performance Test</t>
  </si>
  <si>
    <t>Report of Performance Test</t>
  </si>
  <si>
    <t>Report of Semi-Annual Reports</t>
  </si>
  <si>
    <t>Data Collection</t>
  </si>
  <si>
    <t>Records of Startups, Shutdowns, malfunctions, etc</t>
  </si>
  <si>
    <t>Number of kilns</t>
  </si>
  <si>
    <t xml:space="preserve">New </t>
  </si>
  <si>
    <t>Existing</t>
  </si>
  <si>
    <t>Number of Plants</t>
  </si>
  <si>
    <t>3.ACQUISITION, INSTALLATION, AND UTILIZATION OF TECHNOLOGY AND SYSTEMS</t>
  </si>
  <si>
    <t>A. Familiarize with regulatory requirement (Included in 4A)</t>
  </si>
  <si>
    <t>Coal mill parameter monitoring</t>
  </si>
  <si>
    <t>Existing Sources</t>
  </si>
  <si>
    <t>New Sources</t>
  </si>
  <si>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</si>
  <si>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t>TOTAL ANNUAL BURDEN AND COST (rounded) e</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</si>
  <si>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</si>
  <si>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</si>
  <si>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</si>
  <si>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</si>
  <si>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</si>
  <si>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</si>
  <si>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</si>
  <si>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Continuous Emission Monitors</t>
  </si>
  <si>
    <t>Total O&amp;M, (E X F)</t>
  </si>
  <si>
    <t>Initial CEMS testing</t>
  </si>
  <si>
    <t>Flow monitoring device for coal mills</t>
  </si>
  <si>
    <t>Coal mill testing</t>
  </si>
  <si>
    <t>TOTAL</t>
  </si>
  <si>
    <t>Toal capital and O&amp;M</t>
  </si>
  <si>
    <r>
      <t>Total Capital and O&amp;M Cost</t>
    </r>
    <r>
      <rPr>
        <vertAlign val="superscript"/>
        <sz val="10"/>
        <color theme="1"/>
        <rFont val="Times New Roman"/>
        <family val="1"/>
      </rPr>
      <t xml:space="preserve"> c</t>
    </r>
  </si>
  <si>
    <r>
      <t xml:space="preserve">GRAND TOTAL </t>
    </r>
    <r>
      <rPr>
        <b/>
        <vertAlign val="superscript"/>
        <sz val="10"/>
        <color theme="1"/>
        <rFont val="Times New Roman"/>
        <family val="1"/>
      </rPr>
      <t>c</t>
    </r>
  </si>
  <si>
    <t>hr/response</t>
  </si>
  <si>
    <t xml:space="preserve">Average number of exisiting kilns over 3-year period. Last ICR (1801.11) assumed 117 existing kilns plus 16 new kilns (=133), so Year 1 of this ICR period = 133 existing plus 5 new kiln, yr2=138 existing plus 5 new, year 3 =143 existing plus 5 new kilns.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</si>
</sst>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3" formatCode="_(* #,##0.00_);_(* \(#,##0.00\);_(* &quot;-&quot;??_);_(@_)"/>
    <numFmt numFmtId="164" formatCode="0.0"/>
    <numFmt numFmtId="165" formatCode="#,##0.0"/>
    <numFmt numFmtId="166" formatCode="&quot;$&quot;#,##0"/>
  </numFmts>
  <fonts count="17" x14ac:knownFonts="1">
    <font>
      <sz val="11"/>
      <color theme="1"/>
      <name val="Calibri"/>
      <family val="2"/>
      <scheme val="minor"/>
    </font>
    <font>
      <b/>
      <sz val="12"/>
      <color theme="1"/>
      <name val="Times New Roman"/>
      <family val="1"/>
    </font>
    <font>
      <sz val="10"/>
      <name val="Arial"/>
      <family val="2"/>
    </font>
    <font>
      <b/>
      <sz val="10"/>
      <color theme="1"/>
      <name val="Times New Roman"/>
      <family val="1"/>
    </font>
    <font>
      <vertAlign val="superscript"/>
      <sz val="12"/>
      <color theme="1"/>
      <name val="Times New Roman"/>
      <family val="1"/>
    </font>
    <font>
      <sz val="10"/>
      <color theme="1"/>
      <name val="Times New Roman"/>
      <family val="1"/>
    </font>
    <font>
      <vertAlign val="superscript"/>
      <sz val="10"/>
      <color theme="1"/>
      <name val="Times New Roman"/>
      <family val="1"/>
    </font>
    <font>
      <sz val="8"/>
      <color theme="1"/>
      <name val="Calibri"/>
      <family val="2"/>
    </font>
    <font>
      <sz val="8"/>
      <color rgb="FF000000"/>
      <name val="Calibri"/>
      <family val="2"/>
    </font>
    <font>
      <b/>
      <vertAlign val="superscript"/>
      <sz val="10"/>
      <color theme="1"/>
      <name val="Times New Roman"/>
      <family val="1"/>
    </font>
    <font>
      <b/>
      <vertAlign val="superscript"/>
      <sz val="12"/>
      <color theme="1"/>
      <name val="Times New Roman"/>
      <family val="1"/>
    </font>
    <font>
      <sz val="10"/>
      <name val="Times New Roman"/>
      <family val="1"/>
    </font>
    <font>
      <i/>
      <u/>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s>
  <fills count="2">
    <fill>
      <patternFill patternType="none"/>
    </fill>
    <fill>
      <patternFill patternType="gray125"/>
    </fill>
  </fills>
  <borders count="12">
    <border>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diagonal/>
    </border>
    <border>
      <left/>
      <right style="medium">
        <color rgb="FFFFFFFF"/>
      </right>
      <top/>
      <bottom/>
      <diagonal/>
    </border>
  </borders>
  <cellStyleXfs count="3">
    <xf numFmtId="0" fontId="0" fillId="0" borderId="0"/>
    <xf numFmtId="0" fontId="2" fillId="0" borderId="0"/>
    <xf numFmtId="43" fontId="2" fillId="0" borderId="0" applyFont="0" applyFill="0" applyBorder="0" applyAlignment="0" applyProtection="0"/>
  </cellStyleXfs>
  <cellXfs count="86">
    <xf numFmtId="0" fontId="0" fillId="0" borderId="0" xfId="0"/>
    <xf numFmtId="0" fontId="5" fillId="0" borderId="0" xfId="0" applyFont="1" applyAlignment="1">
      <alignment vertical="center"/>
    </xf>
    <xf numFmtId="0" fontId="7" fillId="0" borderId="0" xfId="0" applyFont="1" applyAlignment="1">
      <alignment vertical="center"/>
    </xf>
    <xf numFmtId="4" fontId="0" fillId="0" borderId="0" xfId="0" applyNumberFormat="1"/>
    <xf numFmtId="0" fontId="8"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5" fillId="0" borderId="0" xfId="0" applyFont="1" applyFill="1" applyBorder="1" applyAlignment="1">
      <alignment horizontal="center" vertical="center" wrapText="1"/>
    </xf>
    <xf numFmtId="8" fontId="5" fillId="0" borderId="0" xfId="0" applyNumberFormat="1" applyFont="1"/>
    <xf numFmtId="0" fontId="5" fillId="0" borderId="0" xfId="0" applyFont="1"/>
    <xf numFmtId="0" fontId="5" fillId="0" borderId="0" xfId="0" applyFont="1" applyAlignment="1"/>
    <xf numFmtId="0" fontId="5" fillId="0" borderId="0" xfId="0" applyFont="1" applyBorder="1" applyAlignment="1"/>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indent="1"/>
    </xf>
    <xf numFmtId="0" fontId="5" fillId="0" borderId="2" xfId="0" applyFont="1" applyBorder="1" applyAlignment="1">
      <alignment horizontal="left" vertical="center" indent="2"/>
    </xf>
    <xf numFmtId="0" fontId="5" fillId="0" borderId="2" xfId="0" applyFont="1" applyBorder="1" applyAlignment="1">
      <alignment horizontal="right" vertical="center"/>
    </xf>
    <xf numFmtId="0" fontId="5" fillId="0" borderId="2" xfId="0" applyFont="1" applyBorder="1" applyAlignment="1">
      <alignment horizontal="left" vertical="center" wrapText="1" indent="2"/>
    </xf>
    <xf numFmtId="0" fontId="3" fillId="0" borderId="2" xfId="0" applyFont="1" applyBorder="1" applyAlignment="1">
      <alignment horizontal="left" vertical="center" wrapText="1"/>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6" fontId="3" fillId="0" borderId="2" xfId="0" applyNumberFormat="1" applyFont="1" applyBorder="1" applyAlignment="1">
      <alignment horizontal="right" vertical="center" wrapText="1"/>
    </xf>
    <xf numFmtId="3" fontId="3" fillId="0" borderId="2" xfId="0" applyNumberFormat="1" applyFont="1" applyBorder="1" applyAlignment="1">
      <alignment horizontal="center" vertical="center" wrapText="1"/>
    </xf>
    <xf numFmtId="3" fontId="3" fillId="0" borderId="2" xfId="0" applyNumberFormat="1" applyFont="1" applyBorder="1" applyAlignment="1">
      <alignment horizontal="right" vertical="center" wrapText="1"/>
    </xf>
    <xf numFmtId="0" fontId="3" fillId="0" borderId="2" xfId="0" applyFont="1" applyBorder="1" applyAlignment="1">
      <alignment vertical="center" wrapText="1"/>
    </xf>
    <xf numFmtId="8" fontId="5" fillId="0" borderId="2" xfId="0" applyNumberFormat="1" applyFont="1" applyBorder="1" applyAlignment="1">
      <alignment horizontal="right" vertical="center" wrapText="1"/>
    </xf>
    <xf numFmtId="0" fontId="5" fillId="0" borderId="2" xfId="0" applyFont="1" applyBorder="1" applyAlignment="1">
      <alignment horizontal="center" vertical="center"/>
    </xf>
    <xf numFmtId="0" fontId="5" fillId="0" borderId="2" xfId="0" applyFont="1" applyBorder="1"/>
    <xf numFmtId="0" fontId="11" fillId="0" borderId="2" xfId="0" applyFont="1" applyFill="1" applyBorder="1" applyAlignment="1">
      <alignment horizontal="left" vertical="center" indent="2"/>
    </xf>
    <xf numFmtId="3" fontId="5" fillId="0" borderId="2"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0" xfId="0" applyAlignment="1">
      <alignment horizontal="center"/>
    </xf>
    <xf numFmtId="0" fontId="12" fillId="0" borderId="2" xfId="0" applyFont="1" applyBorder="1" applyAlignment="1">
      <alignment horizontal="left" vertical="center" inden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3"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xf>
    <xf numFmtId="0" fontId="3" fillId="0" borderId="3" xfId="0" applyFont="1" applyBorder="1" applyAlignment="1">
      <alignment horizontal="right" vertical="center" wrapText="1"/>
    </xf>
    <xf numFmtId="0" fontId="3" fillId="0" borderId="3" xfId="0" applyFont="1" applyBorder="1" applyAlignment="1">
      <alignment horizontal="right" vertical="center"/>
    </xf>
    <xf numFmtId="0" fontId="0" fillId="0" borderId="2" xfId="0" applyBorder="1" applyAlignment="1">
      <alignment vertical="top" wrapText="1"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5" fillId="0" borderId="2" xfId="0" applyFont="1" applyBorder="1" applyAlignment="1">
      <alignment horizontal="right" vertical="center" wrapText="1" indent="1"/>
    </xf>
    <xf numFmtId="0" fontId="5" fillId="0" borderId="2" xfId="0" applyFont="1" applyBorder="1" applyAlignment="1">
      <alignment horizontal="left" vertical="center" wrapText="1"/>
    </xf>
    <xf numFmtId="0" fontId="3" fillId="0" borderId="2" xfId="0" applyFont="1" applyBorder="1" applyAlignment="1">
      <alignment horizontal="left" vertical="center" wrapText="1" indent="1"/>
    </xf>
    <xf numFmtId="4"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14" fillId="0" borderId="10" xfId="0" applyFont="1" applyBorder="1" applyAlignment="1">
      <alignment vertical="center" wrapText="1"/>
    </xf>
    <xf numFmtId="0" fontId="15" fillId="0" borderId="10" xfId="0" applyFont="1" applyBorder="1" applyAlignment="1">
      <alignment horizontal="center" vertical="center" wrapText="1"/>
    </xf>
    <xf numFmtId="0" fontId="15" fillId="0" borderId="11" xfId="0" applyFont="1" applyBorder="1" applyAlignment="1">
      <alignment vertical="center" wrapText="1"/>
    </xf>
    <xf numFmtId="0" fontId="15" fillId="0" borderId="1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6" fontId="0" fillId="0" borderId="0" xfId="0" applyNumberFormat="1"/>
    <xf numFmtId="0" fontId="15" fillId="0" borderId="2" xfId="0" applyFont="1" applyBorder="1" applyAlignment="1">
      <alignment vertical="center" wrapText="1"/>
    </xf>
    <xf numFmtId="166" fontId="15" fillId="0" borderId="2" xfId="0" applyNumberFormat="1" applyFont="1" applyBorder="1" applyAlignment="1">
      <alignment vertical="center" wrapText="1"/>
    </xf>
    <xf numFmtId="0" fontId="16" fillId="0" borderId="2" xfId="0" applyFont="1" applyBorder="1" applyAlignment="1">
      <alignment vertical="center" wrapText="1"/>
    </xf>
    <xf numFmtId="0" fontId="0" fillId="0" borderId="0" xfId="0" applyAlignment="1">
      <alignment horizontal="right"/>
    </xf>
    <xf numFmtId="6" fontId="5" fillId="0" borderId="2" xfId="0" applyNumberFormat="1" applyFont="1" applyFill="1" applyBorder="1" applyAlignment="1">
      <alignment horizontal="right" vertical="center" wrapText="1"/>
    </xf>
    <xf numFmtId="6" fontId="3" fillId="0" borderId="2" xfId="0" applyNumberFormat="1" applyFont="1" applyFill="1" applyBorder="1" applyAlignment="1">
      <alignment horizontal="right" vertical="center" wrapText="1"/>
    </xf>
    <xf numFmtId="1" fontId="5" fillId="0" borderId="0" xfId="0" applyNumberFormat="1" applyFont="1"/>
    <xf numFmtId="1" fontId="5" fillId="0" borderId="2" xfId="0" applyNumberFormat="1" applyFont="1" applyBorder="1" applyAlignment="1">
      <alignment horizontal="center" vertical="center" wrapText="1"/>
    </xf>
    <xf numFmtId="8" fontId="5" fillId="0" borderId="2" xfId="0" applyNumberFormat="1" applyFont="1" applyBorder="1" applyAlignment="1">
      <alignment horizontal="right" vertical="center" wrapText="1" indent="1"/>
    </xf>
    <xf numFmtId="8" fontId="3" fillId="0" borderId="2" xfId="0" applyNumberFormat="1" applyFont="1" applyBorder="1" applyAlignment="1">
      <alignment horizontal="right" vertical="center" wrapText="1" indent="1"/>
    </xf>
    <xf numFmtId="0" fontId="5" fillId="0" borderId="0" xfId="0" applyFont="1" applyBorder="1" applyAlignment="1">
      <alignment horizontal="left" wrapText="1"/>
    </xf>
    <xf numFmtId="0" fontId="3" fillId="0" borderId="0" xfId="0" applyFont="1" applyAlignment="1">
      <alignment horizontal="center" vertical="center" wrapText="1"/>
    </xf>
    <xf numFmtId="3" fontId="3" fillId="0" borderId="2"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wrapText="1"/>
    </xf>
    <xf numFmtId="0" fontId="1"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left" vertical="center" wrapText="1"/>
    </xf>
    <xf numFmtId="6" fontId="3" fillId="0" borderId="2" xfId="0" applyNumberFormat="1" applyFont="1" applyBorder="1" applyAlignment="1">
      <alignment horizontal="right" vertical="center" wrapText="1" inden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inden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tabSelected="1" zoomScale="80" zoomScaleNormal="80" workbookViewId="0">
      <selection sqref="A1:I1"/>
    </sheetView>
  </sheetViews>
  <sheetFormatPr defaultRowHeight="12.75" x14ac:dyDescent="0.2"/>
  <cols>
    <col min="1" max="1" width="50.85546875" style="9" customWidth="1"/>
    <col min="2" max="2" width="10.140625" style="9" customWidth="1"/>
    <col min="3" max="3" width="12" style="9" customWidth="1"/>
    <col min="4" max="4" width="11.140625" style="9" customWidth="1"/>
    <col min="5" max="5" width="12.140625" style="9" customWidth="1"/>
    <col min="6" max="6" width="10.28515625" style="9" customWidth="1"/>
    <col min="7" max="7" width="11.7109375" style="9" customWidth="1"/>
    <col min="8" max="8" width="11.28515625" style="9" customWidth="1"/>
    <col min="9" max="9" width="14.28515625" style="9" customWidth="1"/>
    <col min="10" max="13" width="9.140625" style="9"/>
    <col min="14" max="14" width="7" style="9" bestFit="1" customWidth="1"/>
    <col min="15" max="15" width="13.140625" style="9" bestFit="1" customWidth="1"/>
    <col min="16" max="16" width="14.28515625" style="9" bestFit="1" customWidth="1"/>
    <col min="17" max="16384" width="9.140625" style="9"/>
  </cols>
  <sheetData>
    <row r="1" spans="1:16" ht="31.5" customHeight="1" x14ac:dyDescent="0.2">
      <c r="A1" s="70" t="s">
        <v>17</v>
      </c>
      <c r="B1" s="70"/>
      <c r="C1" s="70"/>
      <c r="D1" s="70"/>
      <c r="E1" s="70"/>
      <c r="F1" s="70"/>
      <c r="G1" s="70"/>
      <c r="H1" s="70"/>
      <c r="I1" s="70"/>
      <c r="K1" s="8">
        <v>103.97</v>
      </c>
    </row>
    <row r="2" spans="1:16" x14ac:dyDescent="0.2">
      <c r="K2" s="8">
        <v>129.93</v>
      </c>
    </row>
    <row r="3" spans="1:16" ht="63.75" x14ac:dyDescent="0.2">
      <c r="A3" s="12" t="s">
        <v>16</v>
      </c>
      <c r="B3" s="13" t="s">
        <v>14</v>
      </c>
      <c r="C3" s="13" t="s">
        <v>15</v>
      </c>
      <c r="D3" s="13" t="s">
        <v>63</v>
      </c>
      <c r="E3" s="13" t="s">
        <v>58</v>
      </c>
      <c r="F3" s="13" t="s">
        <v>64</v>
      </c>
      <c r="G3" s="13" t="s">
        <v>65</v>
      </c>
      <c r="H3" s="13" t="s">
        <v>66</v>
      </c>
      <c r="I3" s="33" t="s">
        <v>59</v>
      </c>
      <c r="K3" s="8">
        <v>51.79</v>
      </c>
    </row>
    <row r="4" spans="1:16" x14ac:dyDescent="0.2">
      <c r="A4" s="14" t="s">
        <v>0</v>
      </c>
      <c r="B4" s="15"/>
      <c r="C4" s="15"/>
      <c r="D4" s="15"/>
      <c r="E4" s="15"/>
      <c r="F4" s="15"/>
      <c r="G4" s="15"/>
      <c r="H4" s="15"/>
      <c r="I4" s="15"/>
    </row>
    <row r="5" spans="1:16" x14ac:dyDescent="0.2">
      <c r="A5" s="14" t="s">
        <v>1</v>
      </c>
      <c r="B5" s="15"/>
      <c r="C5" s="15"/>
      <c r="D5" s="15"/>
      <c r="E5" s="15"/>
      <c r="F5" s="15"/>
      <c r="G5" s="15"/>
      <c r="H5" s="15"/>
      <c r="I5" s="15"/>
    </row>
    <row r="6" spans="1:16" ht="27" customHeight="1" x14ac:dyDescent="0.2">
      <c r="A6" s="14" t="s">
        <v>97</v>
      </c>
      <c r="B6" s="13">
        <v>16</v>
      </c>
      <c r="C6" s="13">
        <v>1</v>
      </c>
      <c r="D6" s="13">
        <f>B6*C6</f>
        <v>16</v>
      </c>
      <c r="E6" s="13">
        <f>O16</f>
        <v>5</v>
      </c>
      <c r="F6" s="13">
        <f>D6*E6</f>
        <v>80</v>
      </c>
      <c r="G6" s="13">
        <f>F6*0.05</f>
        <v>4</v>
      </c>
      <c r="H6" s="13">
        <f>F6*0.1</f>
        <v>8</v>
      </c>
      <c r="I6" s="27">
        <f>F6*$K$1+G6*$K$2+H6*$K$3</f>
        <v>9251.64</v>
      </c>
      <c r="J6" s="11"/>
      <c r="K6" s="10"/>
      <c r="L6" s="10"/>
    </row>
    <row r="7" spans="1:16" x14ac:dyDescent="0.2">
      <c r="A7" s="14" t="s">
        <v>2</v>
      </c>
      <c r="B7" s="13"/>
      <c r="C7" s="13"/>
      <c r="D7" s="13"/>
      <c r="E7" s="13"/>
      <c r="F7" s="13"/>
      <c r="G7" s="13"/>
      <c r="H7" s="13"/>
      <c r="I7" s="15"/>
    </row>
    <row r="8" spans="1:16" x14ac:dyDescent="0.2">
      <c r="A8" s="16" t="s">
        <v>57</v>
      </c>
      <c r="B8" s="13">
        <v>1</v>
      </c>
      <c r="C8" s="13">
        <v>1</v>
      </c>
      <c r="D8" s="13">
        <f>B8*C8</f>
        <v>1</v>
      </c>
      <c r="E8" s="13">
        <f>P17</f>
        <v>87</v>
      </c>
      <c r="F8" s="13">
        <f>D8*E8</f>
        <v>87</v>
      </c>
      <c r="G8" s="13">
        <f>F8*0.05</f>
        <v>4.3500000000000005</v>
      </c>
      <c r="H8" s="13">
        <f>F8*0.1</f>
        <v>8.7000000000000011</v>
      </c>
      <c r="I8" s="27">
        <f>F8*$K$1+G8*$K$2+H8*$K$3</f>
        <v>10061.1585</v>
      </c>
    </row>
    <row r="9" spans="1:16" ht="15.75" customHeight="1" x14ac:dyDescent="0.2">
      <c r="A9" s="16" t="s">
        <v>12</v>
      </c>
      <c r="B9" s="13"/>
      <c r="C9" s="13"/>
      <c r="D9" s="13"/>
      <c r="E9" s="13"/>
      <c r="F9" s="13"/>
      <c r="G9" s="13"/>
      <c r="H9" s="13"/>
      <c r="I9" s="27"/>
    </row>
    <row r="10" spans="1:16" ht="15.75" customHeight="1" x14ac:dyDescent="0.2">
      <c r="A10" s="35" t="s">
        <v>100</v>
      </c>
      <c r="B10" s="13"/>
      <c r="C10" s="13"/>
      <c r="D10" s="13"/>
      <c r="E10" s="13"/>
      <c r="F10" s="13"/>
      <c r="G10" s="13"/>
      <c r="H10" s="13"/>
      <c r="I10" s="27"/>
    </row>
    <row r="11" spans="1:16" x14ac:dyDescent="0.2">
      <c r="A11" s="17" t="s">
        <v>67</v>
      </c>
      <c r="B11" s="13">
        <v>24</v>
      </c>
      <c r="C11" s="13">
        <v>1</v>
      </c>
      <c r="D11" s="13">
        <f>B11*C11</f>
        <v>24</v>
      </c>
      <c r="E11" s="28">
        <f>0.1*P17</f>
        <v>8.7000000000000011</v>
      </c>
      <c r="F11" s="13">
        <f t="shared" ref="F11:F43" si="0">D11*E11</f>
        <v>208.8</v>
      </c>
      <c r="G11" s="13">
        <f t="shared" ref="G11:G43" si="1">F11*0.05</f>
        <v>10.440000000000001</v>
      </c>
      <c r="H11" s="13">
        <f t="shared" ref="H11:H43" si="2">F11*0.1</f>
        <v>20.880000000000003</v>
      </c>
      <c r="I11" s="27">
        <f>F11*$K$1+G11*$K$2+H11*$K$3</f>
        <v>24146.7804</v>
      </c>
    </row>
    <row r="12" spans="1:16" x14ac:dyDescent="0.2">
      <c r="A12" s="30" t="s">
        <v>68</v>
      </c>
      <c r="B12" s="13">
        <v>8</v>
      </c>
      <c r="C12" s="13">
        <v>1</v>
      </c>
      <c r="D12" s="13">
        <f t="shared" ref="D12:D26" si="3">B12*C12</f>
        <v>8</v>
      </c>
      <c r="E12" s="28">
        <f>E$11</f>
        <v>8.7000000000000011</v>
      </c>
      <c r="F12" s="13">
        <f t="shared" si="0"/>
        <v>69.600000000000009</v>
      </c>
      <c r="G12" s="13">
        <f t="shared" si="1"/>
        <v>3.4800000000000004</v>
      </c>
      <c r="H12" s="13">
        <f t="shared" si="2"/>
        <v>6.9600000000000009</v>
      </c>
      <c r="I12" s="27">
        <f t="shared" ref="I12:I43" si="4">F12*$K$1+G12*$K$2+H12*$K$3</f>
        <v>8048.9268000000011</v>
      </c>
    </row>
    <row r="13" spans="1:16" x14ac:dyDescent="0.2">
      <c r="A13" s="17" t="s">
        <v>82</v>
      </c>
      <c r="B13" s="13">
        <v>24</v>
      </c>
      <c r="C13" s="13">
        <v>1</v>
      </c>
      <c r="D13" s="13">
        <f t="shared" si="3"/>
        <v>24</v>
      </c>
      <c r="E13" s="41">
        <f>ROUND(0.1*E11, 0)</f>
        <v>1</v>
      </c>
      <c r="F13" s="13">
        <f t="shared" si="0"/>
        <v>24</v>
      </c>
      <c r="G13" s="13">
        <f t="shared" si="1"/>
        <v>1.2000000000000002</v>
      </c>
      <c r="H13" s="13">
        <f t="shared" si="2"/>
        <v>2.4000000000000004</v>
      </c>
      <c r="I13" s="27">
        <f t="shared" si="4"/>
        <v>2775.4919999999997</v>
      </c>
    </row>
    <row r="14" spans="1:16" x14ac:dyDescent="0.2">
      <c r="A14" s="17" t="s">
        <v>69</v>
      </c>
      <c r="B14" s="13">
        <v>8</v>
      </c>
      <c r="C14" s="13">
        <v>1</v>
      </c>
      <c r="D14" s="13">
        <f t="shared" si="3"/>
        <v>8</v>
      </c>
      <c r="E14" s="28">
        <f>E$11</f>
        <v>8.7000000000000011</v>
      </c>
      <c r="F14" s="13">
        <f t="shared" si="0"/>
        <v>69.600000000000009</v>
      </c>
      <c r="G14" s="13">
        <f t="shared" si="1"/>
        <v>3.4800000000000004</v>
      </c>
      <c r="H14" s="13">
        <f t="shared" si="2"/>
        <v>6.9600000000000009</v>
      </c>
      <c r="I14" s="27">
        <f t="shared" si="4"/>
        <v>8048.9268000000011</v>
      </c>
    </row>
    <row r="15" spans="1:16" x14ac:dyDescent="0.2">
      <c r="A15" s="17" t="s">
        <v>70</v>
      </c>
      <c r="B15" s="13">
        <v>8</v>
      </c>
      <c r="C15" s="13">
        <v>1</v>
      </c>
      <c r="D15" s="13">
        <f t="shared" si="3"/>
        <v>8</v>
      </c>
      <c r="E15" s="41">
        <f>E$13</f>
        <v>1</v>
      </c>
      <c r="F15" s="13">
        <f t="shared" si="0"/>
        <v>8</v>
      </c>
      <c r="G15" s="13">
        <f t="shared" si="1"/>
        <v>0.4</v>
      </c>
      <c r="H15" s="13">
        <f t="shared" si="2"/>
        <v>0.8</v>
      </c>
      <c r="I15" s="27">
        <f t="shared" si="4"/>
        <v>925.16399999999999</v>
      </c>
      <c r="N15" s="29"/>
      <c r="O15" s="29" t="s">
        <v>93</v>
      </c>
      <c r="P15" s="29" t="s">
        <v>96</v>
      </c>
    </row>
    <row r="16" spans="1:16" x14ac:dyDescent="0.2">
      <c r="A16" s="17" t="s">
        <v>71</v>
      </c>
      <c r="B16" s="13">
        <v>40</v>
      </c>
      <c r="C16" s="13">
        <v>1</v>
      </c>
      <c r="D16" s="13">
        <f t="shared" si="3"/>
        <v>40</v>
      </c>
      <c r="E16" s="28">
        <f>E$11</f>
        <v>8.7000000000000011</v>
      </c>
      <c r="F16" s="13">
        <f t="shared" si="0"/>
        <v>348.00000000000006</v>
      </c>
      <c r="G16" s="13">
        <f t="shared" si="1"/>
        <v>17.400000000000002</v>
      </c>
      <c r="H16" s="13">
        <f t="shared" si="2"/>
        <v>34.800000000000004</v>
      </c>
      <c r="I16" s="27">
        <f t="shared" si="4"/>
        <v>40244.634000000005</v>
      </c>
      <c r="N16" s="29" t="s">
        <v>94</v>
      </c>
      <c r="O16" s="29">
        <v>5</v>
      </c>
      <c r="P16" s="29"/>
    </row>
    <row r="17" spans="1:18" x14ac:dyDescent="0.2">
      <c r="A17" s="17" t="s">
        <v>72</v>
      </c>
      <c r="B17" s="13">
        <v>8</v>
      </c>
      <c r="C17" s="13">
        <v>1</v>
      </c>
      <c r="D17" s="13">
        <f t="shared" si="3"/>
        <v>8</v>
      </c>
      <c r="E17" s="41">
        <f>E$13</f>
        <v>1</v>
      </c>
      <c r="F17" s="13">
        <f t="shared" si="0"/>
        <v>8</v>
      </c>
      <c r="G17" s="13">
        <f t="shared" si="1"/>
        <v>0.4</v>
      </c>
      <c r="H17" s="13">
        <f t="shared" si="2"/>
        <v>0.8</v>
      </c>
      <c r="I17" s="27">
        <f t="shared" si="4"/>
        <v>925.16399999999999</v>
      </c>
      <c r="N17" s="29" t="s">
        <v>95</v>
      </c>
      <c r="O17" s="29">
        <v>138</v>
      </c>
      <c r="P17" s="29">
        <v>87</v>
      </c>
    </row>
    <row r="18" spans="1:18" x14ac:dyDescent="0.2">
      <c r="A18" s="17" t="s">
        <v>73</v>
      </c>
      <c r="B18" s="13">
        <v>16</v>
      </c>
      <c r="C18" s="13">
        <v>1</v>
      </c>
      <c r="D18" s="13">
        <f t="shared" si="3"/>
        <v>16</v>
      </c>
      <c r="E18" s="28">
        <f>E$11</f>
        <v>8.7000000000000011</v>
      </c>
      <c r="F18" s="13">
        <f t="shared" si="0"/>
        <v>139.20000000000002</v>
      </c>
      <c r="G18" s="13">
        <f t="shared" si="1"/>
        <v>6.9600000000000009</v>
      </c>
      <c r="H18" s="13">
        <f t="shared" si="2"/>
        <v>13.920000000000002</v>
      </c>
      <c r="I18" s="27">
        <f t="shared" si="4"/>
        <v>16097.853600000002</v>
      </c>
    </row>
    <row r="19" spans="1:18" x14ac:dyDescent="0.2">
      <c r="A19" s="17" t="s">
        <v>74</v>
      </c>
      <c r="B19" s="13">
        <v>16</v>
      </c>
      <c r="C19" s="13">
        <v>0.2</v>
      </c>
      <c r="D19" s="13">
        <f t="shared" si="3"/>
        <v>3.2</v>
      </c>
      <c r="E19" s="41">
        <f>E$13</f>
        <v>1</v>
      </c>
      <c r="F19" s="13">
        <f t="shared" si="0"/>
        <v>3.2</v>
      </c>
      <c r="G19" s="13">
        <f t="shared" si="1"/>
        <v>0.16000000000000003</v>
      </c>
      <c r="H19" s="13">
        <f t="shared" si="2"/>
        <v>0.32000000000000006</v>
      </c>
      <c r="I19" s="27">
        <f t="shared" si="4"/>
        <v>370.06560000000002</v>
      </c>
    </row>
    <row r="20" spans="1:18" x14ac:dyDescent="0.2">
      <c r="A20" s="17" t="s">
        <v>75</v>
      </c>
      <c r="B20" s="13">
        <v>40</v>
      </c>
      <c r="C20" s="13">
        <v>0.2</v>
      </c>
      <c r="D20" s="13">
        <f t="shared" si="3"/>
        <v>8</v>
      </c>
      <c r="E20" s="28">
        <f>E$11</f>
        <v>8.7000000000000011</v>
      </c>
      <c r="F20" s="13">
        <f t="shared" si="0"/>
        <v>69.600000000000009</v>
      </c>
      <c r="G20" s="13">
        <f t="shared" si="1"/>
        <v>3.4800000000000004</v>
      </c>
      <c r="H20" s="13">
        <f t="shared" si="2"/>
        <v>6.9600000000000009</v>
      </c>
      <c r="I20" s="27">
        <f t="shared" si="4"/>
        <v>8048.9268000000011</v>
      </c>
    </row>
    <row r="21" spans="1:18" x14ac:dyDescent="0.2">
      <c r="A21" s="17" t="s">
        <v>76</v>
      </c>
      <c r="B21" s="13">
        <v>40</v>
      </c>
      <c r="C21" s="13">
        <v>0.2</v>
      </c>
      <c r="D21" s="13">
        <f t="shared" si="3"/>
        <v>8</v>
      </c>
      <c r="E21" s="41">
        <f>E$13</f>
        <v>1</v>
      </c>
      <c r="F21" s="13">
        <f t="shared" si="0"/>
        <v>8</v>
      </c>
      <c r="G21" s="13">
        <f t="shared" si="1"/>
        <v>0.4</v>
      </c>
      <c r="H21" s="13">
        <f t="shared" si="2"/>
        <v>0.8</v>
      </c>
      <c r="I21" s="27">
        <f t="shared" si="4"/>
        <v>925.16399999999999</v>
      </c>
    </row>
    <row r="22" spans="1:18" ht="15.75" customHeight="1" x14ac:dyDescent="0.2">
      <c r="A22" s="17" t="s">
        <v>77</v>
      </c>
      <c r="B22" s="13">
        <v>0.5</v>
      </c>
      <c r="C22" s="13">
        <v>1</v>
      </c>
      <c r="D22" s="13">
        <f t="shared" si="3"/>
        <v>0.5</v>
      </c>
      <c r="E22" s="32">
        <f>O17</f>
        <v>138</v>
      </c>
      <c r="F22" s="13">
        <f t="shared" si="0"/>
        <v>69</v>
      </c>
      <c r="G22" s="13">
        <f t="shared" si="1"/>
        <v>3.45</v>
      </c>
      <c r="H22" s="13">
        <f t="shared" si="2"/>
        <v>6.9</v>
      </c>
      <c r="I22" s="27">
        <f t="shared" si="4"/>
        <v>7979.5394999999999</v>
      </c>
      <c r="J22" s="69" t="s">
        <v>121</v>
      </c>
      <c r="K22" s="69"/>
      <c r="L22" s="69"/>
      <c r="M22" s="69"/>
      <c r="N22" s="69"/>
      <c r="O22" s="69"/>
      <c r="P22" s="69"/>
      <c r="Q22" s="69"/>
      <c r="R22" s="69"/>
    </row>
    <row r="23" spans="1:18" x14ac:dyDescent="0.2">
      <c r="A23" s="17" t="s">
        <v>78</v>
      </c>
      <c r="B23" s="13">
        <v>2</v>
      </c>
      <c r="C23" s="13">
        <v>4</v>
      </c>
      <c r="D23" s="13">
        <f t="shared" si="3"/>
        <v>8</v>
      </c>
      <c r="E23" s="32">
        <f>E$22</f>
        <v>138</v>
      </c>
      <c r="F23" s="31">
        <f t="shared" si="0"/>
        <v>1104</v>
      </c>
      <c r="G23" s="13">
        <f t="shared" si="1"/>
        <v>55.2</v>
      </c>
      <c r="H23" s="13">
        <f t="shared" si="2"/>
        <v>110.4</v>
      </c>
      <c r="I23" s="27">
        <f t="shared" si="4"/>
        <v>127672.632</v>
      </c>
      <c r="J23" s="69"/>
      <c r="K23" s="69"/>
      <c r="L23" s="69"/>
      <c r="M23" s="69"/>
      <c r="N23" s="69"/>
      <c r="O23" s="69"/>
      <c r="P23" s="69"/>
      <c r="Q23" s="69"/>
      <c r="R23" s="69"/>
    </row>
    <row r="24" spans="1:18" x14ac:dyDescent="0.2">
      <c r="A24" s="17" t="s">
        <v>79</v>
      </c>
      <c r="B24" s="13">
        <v>0.3</v>
      </c>
      <c r="C24" s="13">
        <v>330</v>
      </c>
      <c r="D24" s="13">
        <f t="shared" si="3"/>
        <v>99</v>
      </c>
      <c r="E24" s="32">
        <f>E$22</f>
        <v>138</v>
      </c>
      <c r="F24" s="31">
        <f t="shared" si="0"/>
        <v>13662</v>
      </c>
      <c r="G24" s="13">
        <f t="shared" si="1"/>
        <v>683.1</v>
      </c>
      <c r="H24" s="13">
        <f t="shared" si="2"/>
        <v>1366.2</v>
      </c>
      <c r="I24" s="27">
        <f t="shared" si="4"/>
        <v>1579948.8209999998</v>
      </c>
      <c r="J24" s="69"/>
      <c r="K24" s="69"/>
      <c r="L24" s="69"/>
      <c r="M24" s="69"/>
      <c r="N24" s="69"/>
      <c r="O24" s="69"/>
      <c r="P24" s="69"/>
      <c r="Q24" s="69"/>
      <c r="R24" s="69"/>
    </row>
    <row r="25" spans="1:18" x14ac:dyDescent="0.2">
      <c r="A25" s="17" t="s">
        <v>80</v>
      </c>
      <c r="B25" s="13">
        <v>2</v>
      </c>
      <c r="C25" s="13">
        <v>4</v>
      </c>
      <c r="D25" s="13">
        <f t="shared" si="3"/>
        <v>8</v>
      </c>
      <c r="E25" s="32">
        <f>E$22</f>
        <v>138</v>
      </c>
      <c r="F25" s="31">
        <f t="shared" si="0"/>
        <v>1104</v>
      </c>
      <c r="G25" s="13">
        <f t="shared" si="1"/>
        <v>55.2</v>
      </c>
      <c r="H25" s="13">
        <f t="shared" si="2"/>
        <v>110.4</v>
      </c>
      <c r="I25" s="27">
        <f t="shared" si="4"/>
        <v>127672.632</v>
      </c>
    </row>
    <row r="26" spans="1:18" x14ac:dyDescent="0.2">
      <c r="A26" s="17" t="s">
        <v>81</v>
      </c>
      <c r="B26" s="13">
        <v>0.3</v>
      </c>
      <c r="C26" s="13">
        <v>330</v>
      </c>
      <c r="D26" s="13">
        <f t="shared" si="3"/>
        <v>99</v>
      </c>
      <c r="E26" s="32">
        <f>E$22</f>
        <v>138</v>
      </c>
      <c r="F26" s="31">
        <f t="shared" si="0"/>
        <v>13662</v>
      </c>
      <c r="G26" s="13">
        <f t="shared" si="1"/>
        <v>683.1</v>
      </c>
      <c r="H26" s="13">
        <f t="shared" si="2"/>
        <v>1366.2</v>
      </c>
      <c r="I26" s="27">
        <f t="shared" si="4"/>
        <v>1579948.8209999998</v>
      </c>
    </row>
    <row r="27" spans="1:18" x14ac:dyDescent="0.2">
      <c r="A27" s="35" t="s">
        <v>101</v>
      </c>
      <c r="B27" s="13"/>
      <c r="C27" s="13"/>
      <c r="D27" s="13"/>
      <c r="E27" s="32"/>
      <c r="F27" s="31"/>
      <c r="G27" s="13"/>
      <c r="H27" s="13"/>
      <c r="I27" s="27"/>
    </row>
    <row r="28" spans="1:18" x14ac:dyDescent="0.2">
      <c r="A28" s="17" t="s">
        <v>67</v>
      </c>
      <c r="B28" s="13">
        <v>0.3</v>
      </c>
      <c r="C28" s="13">
        <v>330</v>
      </c>
      <c r="D28" s="13">
        <v>99</v>
      </c>
      <c r="E28" s="28">
        <f>O16</f>
        <v>5</v>
      </c>
      <c r="F28" s="31">
        <f t="shared" si="0"/>
        <v>495</v>
      </c>
      <c r="G28" s="13">
        <f t="shared" si="1"/>
        <v>24.75</v>
      </c>
      <c r="H28" s="13">
        <f t="shared" si="2"/>
        <v>49.5</v>
      </c>
      <c r="I28" s="27">
        <f t="shared" si="4"/>
        <v>57244.522500000006</v>
      </c>
    </row>
    <row r="29" spans="1:18" x14ac:dyDescent="0.2">
      <c r="A29" s="30" t="s">
        <v>68</v>
      </c>
      <c r="B29" s="13">
        <v>8</v>
      </c>
      <c r="C29" s="13">
        <v>1</v>
      </c>
      <c r="D29" s="13">
        <v>8</v>
      </c>
      <c r="E29" s="28">
        <f>E28</f>
        <v>5</v>
      </c>
      <c r="F29" s="31">
        <f t="shared" si="0"/>
        <v>40</v>
      </c>
      <c r="G29" s="13">
        <f t="shared" si="1"/>
        <v>2</v>
      </c>
      <c r="H29" s="13">
        <f t="shared" si="2"/>
        <v>4</v>
      </c>
      <c r="I29" s="27">
        <f t="shared" si="4"/>
        <v>4625.82</v>
      </c>
    </row>
    <row r="30" spans="1:18" x14ac:dyDescent="0.2">
      <c r="A30" s="17" t="s">
        <v>82</v>
      </c>
      <c r="B30" s="13">
        <v>8</v>
      </c>
      <c r="C30" s="13">
        <v>1</v>
      </c>
      <c r="D30" s="13">
        <v>8</v>
      </c>
      <c r="E30" s="41">
        <f>ROUNDUP(E28*0.1,0)</f>
        <v>1</v>
      </c>
      <c r="F30" s="31">
        <f t="shared" si="0"/>
        <v>8</v>
      </c>
      <c r="G30" s="13">
        <f t="shared" si="1"/>
        <v>0.4</v>
      </c>
      <c r="H30" s="13">
        <f t="shared" si="2"/>
        <v>0.8</v>
      </c>
      <c r="I30" s="27">
        <f t="shared" si="4"/>
        <v>925.16399999999999</v>
      </c>
    </row>
    <row r="31" spans="1:18" x14ac:dyDescent="0.2">
      <c r="A31" s="17" t="s">
        <v>69</v>
      </c>
      <c r="B31" s="13">
        <v>24</v>
      </c>
      <c r="C31" s="13">
        <v>1</v>
      </c>
      <c r="D31" s="13">
        <v>24</v>
      </c>
      <c r="E31" s="28">
        <f>E28</f>
        <v>5</v>
      </c>
      <c r="F31" s="31">
        <f t="shared" si="0"/>
        <v>120</v>
      </c>
      <c r="G31" s="13">
        <f t="shared" si="1"/>
        <v>6</v>
      </c>
      <c r="H31" s="13">
        <f t="shared" si="2"/>
        <v>12</v>
      </c>
      <c r="I31" s="27">
        <f t="shared" si="4"/>
        <v>13877.46</v>
      </c>
    </row>
    <row r="32" spans="1:18" x14ac:dyDescent="0.2">
      <c r="A32" s="17" t="s">
        <v>70</v>
      </c>
      <c r="B32" s="13">
        <v>8</v>
      </c>
      <c r="C32" s="13">
        <v>1</v>
      </c>
      <c r="D32" s="13">
        <v>8</v>
      </c>
      <c r="E32" s="41">
        <f>E30</f>
        <v>1</v>
      </c>
      <c r="F32" s="31">
        <f t="shared" si="0"/>
        <v>8</v>
      </c>
      <c r="G32" s="13">
        <f t="shared" si="1"/>
        <v>0.4</v>
      </c>
      <c r="H32" s="13">
        <f t="shared" si="2"/>
        <v>0.8</v>
      </c>
      <c r="I32" s="27">
        <f t="shared" si="4"/>
        <v>925.16399999999999</v>
      </c>
    </row>
    <row r="33" spans="1:9" x14ac:dyDescent="0.2">
      <c r="A33" s="17" t="s">
        <v>71</v>
      </c>
      <c r="B33" s="13">
        <v>8</v>
      </c>
      <c r="C33" s="13">
        <v>1</v>
      </c>
      <c r="D33" s="13">
        <v>8</v>
      </c>
      <c r="E33" s="28">
        <f>E28</f>
        <v>5</v>
      </c>
      <c r="F33" s="31">
        <f t="shared" si="0"/>
        <v>40</v>
      </c>
      <c r="G33" s="13">
        <f t="shared" si="1"/>
        <v>2</v>
      </c>
      <c r="H33" s="13">
        <f t="shared" si="2"/>
        <v>4</v>
      </c>
      <c r="I33" s="27">
        <f t="shared" si="4"/>
        <v>4625.82</v>
      </c>
    </row>
    <row r="34" spans="1:9" x14ac:dyDescent="0.2">
      <c r="A34" s="17" t="s">
        <v>72</v>
      </c>
      <c r="B34" s="13">
        <v>40</v>
      </c>
      <c r="C34" s="13">
        <v>1</v>
      </c>
      <c r="D34" s="13">
        <v>40</v>
      </c>
      <c r="E34" s="41">
        <f>E30</f>
        <v>1</v>
      </c>
      <c r="F34" s="31">
        <f t="shared" si="0"/>
        <v>40</v>
      </c>
      <c r="G34" s="13">
        <f t="shared" si="1"/>
        <v>2</v>
      </c>
      <c r="H34" s="13">
        <f t="shared" si="2"/>
        <v>4</v>
      </c>
      <c r="I34" s="27">
        <f t="shared" si="4"/>
        <v>4625.82</v>
      </c>
    </row>
    <row r="35" spans="1:9" x14ac:dyDescent="0.2">
      <c r="A35" s="17" t="s">
        <v>73</v>
      </c>
      <c r="B35" s="13">
        <v>0</v>
      </c>
      <c r="C35" s="13">
        <v>0</v>
      </c>
      <c r="D35" s="13">
        <v>0</v>
      </c>
      <c r="E35" s="28">
        <f>E28</f>
        <v>5</v>
      </c>
      <c r="F35" s="31">
        <f t="shared" si="0"/>
        <v>0</v>
      </c>
      <c r="G35" s="13">
        <f t="shared" si="1"/>
        <v>0</v>
      </c>
      <c r="H35" s="13">
        <f t="shared" si="2"/>
        <v>0</v>
      </c>
      <c r="I35" s="27">
        <f t="shared" si="4"/>
        <v>0</v>
      </c>
    </row>
    <row r="36" spans="1:9" x14ac:dyDescent="0.2">
      <c r="A36" s="17" t="s">
        <v>74</v>
      </c>
      <c r="B36" s="13">
        <v>16</v>
      </c>
      <c r="C36" s="13">
        <v>1</v>
      </c>
      <c r="D36" s="13">
        <v>16</v>
      </c>
      <c r="E36" s="41">
        <f>E30</f>
        <v>1</v>
      </c>
      <c r="F36" s="31">
        <f t="shared" si="0"/>
        <v>16</v>
      </c>
      <c r="G36" s="13">
        <f t="shared" si="1"/>
        <v>0.8</v>
      </c>
      <c r="H36" s="13">
        <f t="shared" si="2"/>
        <v>1.6</v>
      </c>
      <c r="I36" s="27">
        <f t="shared" si="4"/>
        <v>1850.328</v>
      </c>
    </row>
    <row r="37" spans="1:9" x14ac:dyDescent="0.2">
      <c r="A37" s="17" t="s">
        <v>75</v>
      </c>
      <c r="B37" s="13">
        <v>16</v>
      </c>
      <c r="C37" s="13">
        <v>0.2</v>
      </c>
      <c r="D37" s="13">
        <v>3.2</v>
      </c>
      <c r="E37" s="28">
        <f>E28</f>
        <v>5</v>
      </c>
      <c r="F37" s="31">
        <f t="shared" si="0"/>
        <v>16</v>
      </c>
      <c r="G37" s="13">
        <f t="shared" si="1"/>
        <v>0.8</v>
      </c>
      <c r="H37" s="13">
        <f t="shared" si="2"/>
        <v>1.6</v>
      </c>
      <c r="I37" s="27">
        <f t="shared" si="4"/>
        <v>1850.328</v>
      </c>
    </row>
    <row r="38" spans="1:9" x14ac:dyDescent="0.2">
      <c r="A38" s="17" t="s">
        <v>76</v>
      </c>
      <c r="B38" s="13">
        <v>40</v>
      </c>
      <c r="C38" s="13">
        <v>1</v>
      </c>
      <c r="D38" s="13">
        <v>40</v>
      </c>
      <c r="E38" s="41">
        <f>E30</f>
        <v>1</v>
      </c>
      <c r="F38" s="31">
        <f t="shared" si="0"/>
        <v>40</v>
      </c>
      <c r="G38" s="13">
        <f t="shared" si="1"/>
        <v>2</v>
      </c>
      <c r="H38" s="13">
        <f t="shared" si="2"/>
        <v>4</v>
      </c>
      <c r="I38" s="27">
        <f t="shared" si="4"/>
        <v>4625.82</v>
      </c>
    </row>
    <row r="39" spans="1:9" x14ac:dyDescent="0.2">
      <c r="A39" s="17" t="s">
        <v>77</v>
      </c>
      <c r="B39" s="13">
        <v>40</v>
      </c>
      <c r="C39" s="13">
        <v>0.2</v>
      </c>
      <c r="D39" s="13">
        <v>8</v>
      </c>
      <c r="E39" s="28">
        <f>$E$28</f>
        <v>5</v>
      </c>
      <c r="F39" s="31">
        <f t="shared" si="0"/>
        <v>40</v>
      </c>
      <c r="G39" s="13">
        <f t="shared" si="1"/>
        <v>2</v>
      </c>
      <c r="H39" s="13">
        <f t="shared" si="2"/>
        <v>4</v>
      </c>
      <c r="I39" s="27">
        <f t="shared" si="4"/>
        <v>4625.82</v>
      </c>
    </row>
    <row r="40" spans="1:9" x14ac:dyDescent="0.2">
      <c r="A40" s="17" t="s">
        <v>78</v>
      </c>
      <c r="B40" s="13">
        <v>0.5</v>
      </c>
      <c r="C40" s="13">
        <v>1</v>
      </c>
      <c r="D40" s="13">
        <v>0.5</v>
      </c>
      <c r="E40" s="28">
        <f t="shared" ref="E40:E43" si="5">$E$28</f>
        <v>5</v>
      </c>
      <c r="F40" s="40">
        <f t="shared" si="0"/>
        <v>2.5</v>
      </c>
      <c r="G40" s="39">
        <f t="shared" si="1"/>
        <v>0.125</v>
      </c>
      <c r="H40" s="13">
        <f t="shared" si="2"/>
        <v>0.25</v>
      </c>
      <c r="I40" s="27">
        <f t="shared" si="4"/>
        <v>289.11374999999998</v>
      </c>
    </row>
    <row r="41" spans="1:9" x14ac:dyDescent="0.2">
      <c r="A41" s="17" t="s">
        <v>79</v>
      </c>
      <c r="B41" s="13">
        <v>2</v>
      </c>
      <c r="C41" s="13">
        <v>4</v>
      </c>
      <c r="D41" s="13">
        <v>8</v>
      </c>
      <c r="E41" s="28">
        <f t="shared" si="5"/>
        <v>5</v>
      </c>
      <c r="F41" s="31">
        <f t="shared" si="0"/>
        <v>40</v>
      </c>
      <c r="G41" s="13">
        <f t="shared" si="1"/>
        <v>2</v>
      </c>
      <c r="H41" s="13">
        <f t="shared" si="2"/>
        <v>4</v>
      </c>
      <c r="I41" s="27">
        <f t="shared" si="4"/>
        <v>4625.82</v>
      </c>
    </row>
    <row r="42" spans="1:9" x14ac:dyDescent="0.2">
      <c r="A42" s="17" t="s">
        <v>80</v>
      </c>
      <c r="B42" s="13">
        <v>2</v>
      </c>
      <c r="C42" s="13">
        <v>4</v>
      </c>
      <c r="D42" s="13">
        <v>8</v>
      </c>
      <c r="E42" s="28">
        <f t="shared" si="5"/>
        <v>5</v>
      </c>
      <c r="F42" s="31">
        <f t="shared" si="0"/>
        <v>40</v>
      </c>
      <c r="G42" s="13">
        <f t="shared" si="1"/>
        <v>2</v>
      </c>
      <c r="H42" s="13">
        <f t="shared" si="2"/>
        <v>4</v>
      </c>
      <c r="I42" s="27">
        <f t="shared" si="4"/>
        <v>4625.82</v>
      </c>
    </row>
    <row r="43" spans="1:9" x14ac:dyDescent="0.2">
      <c r="A43" s="17" t="s">
        <v>81</v>
      </c>
      <c r="B43" s="13">
        <v>0.3</v>
      </c>
      <c r="C43" s="13">
        <v>330</v>
      </c>
      <c r="D43" s="13">
        <v>99</v>
      </c>
      <c r="E43" s="28">
        <f t="shared" si="5"/>
        <v>5</v>
      </c>
      <c r="F43" s="31">
        <f t="shared" si="0"/>
        <v>495</v>
      </c>
      <c r="G43" s="13">
        <f t="shared" si="1"/>
        <v>24.75</v>
      </c>
      <c r="H43" s="13">
        <f t="shared" si="2"/>
        <v>49.5</v>
      </c>
      <c r="I43" s="27">
        <f t="shared" si="4"/>
        <v>57244.522500000006</v>
      </c>
    </row>
    <row r="44" spans="1:9" x14ac:dyDescent="0.2">
      <c r="A44" s="17"/>
      <c r="B44" s="36"/>
      <c r="C44" s="36"/>
      <c r="D44" s="36"/>
      <c r="E44" s="37"/>
      <c r="F44" s="38"/>
      <c r="G44" s="13"/>
      <c r="H44" s="13"/>
      <c r="I44" s="27"/>
    </row>
    <row r="45" spans="1:9" ht="18" customHeight="1" x14ac:dyDescent="0.2">
      <c r="A45" s="16" t="s">
        <v>3</v>
      </c>
      <c r="B45" s="15"/>
      <c r="C45" s="15"/>
      <c r="D45" s="15"/>
      <c r="E45" s="18"/>
      <c r="F45" s="15"/>
      <c r="G45" s="15"/>
      <c r="H45" s="15"/>
      <c r="I45" s="15"/>
    </row>
    <row r="46" spans="1:9" ht="18" customHeight="1" x14ac:dyDescent="0.2">
      <c r="A46" s="16" t="s">
        <v>4</v>
      </c>
      <c r="B46" s="15"/>
      <c r="C46" s="15"/>
      <c r="D46" s="15"/>
      <c r="E46" s="18"/>
      <c r="F46" s="15"/>
      <c r="G46" s="15"/>
      <c r="H46" s="15"/>
      <c r="I46" s="15"/>
    </row>
    <row r="47" spans="1:9" ht="15.75" customHeight="1" x14ac:dyDescent="0.2">
      <c r="A47" s="16" t="s">
        <v>5</v>
      </c>
      <c r="B47" s="15"/>
      <c r="C47" s="15"/>
      <c r="D47" s="15"/>
      <c r="E47" s="18"/>
      <c r="F47" s="15"/>
      <c r="G47" s="15"/>
      <c r="H47" s="15"/>
      <c r="I47" s="15"/>
    </row>
    <row r="48" spans="1:9" ht="15.75" customHeight="1" x14ac:dyDescent="0.2">
      <c r="A48" s="35" t="s">
        <v>100</v>
      </c>
      <c r="B48" s="15"/>
      <c r="C48" s="15"/>
      <c r="D48" s="15"/>
      <c r="E48" s="18"/>
      <c r="F48" s="15"/>
      <c r="G48" s="15"/>
      <c r="H48" s="15"/>
      <c r="I48" s="15"/>
    </row>
    <row r="49" spans="1:9" x14ac:dyDescent="0.2">
      <c r="A49" s="19" t="s">
        <v>83</v>
      </c>
      <c r="B49" s="13">
        <v>2</v>
      </c>
      <c r="C49" s="13">
        <v>1</v>
      </c>
      <c r="D49" s="13">
        <f t="shared" ref="D49:D56" si="6">B49*C49</f>
        <v>2</v>
      </c>
      <c r="E49" s="28">
        <f>E$11</f>
        <v>8.7000000000000011</v>
      </c>
      <c r="F49" s="13">
        <f t="shared" ref="F49:F52" si="7">D49*E49</f>
        <v>17.400000000000002</v>
      </c>
      <c r="G49" s="13">
        <f t="shared" ref="G49:G52" si="8">F49*0.05</f>
        <v>0.87000000000000011</v>
      </c>
      <c r="H49" s="13">
        <f t="shared" ref="H49:H52" si="9">F49*0.1</f>
        <v>1.7400000000000002</v>
      </c>
      <c r="I49" s="27">
        <f t="shared" ref="I49:I65" si="10">F49*$K$1+G49*$K$2+H49*$K$3</f>
        <v>2012.2317000000003</v>
      </c>
    </row>
    <row r="50" spans="1:9" x14ac:dyDescent="0.2">
      <c r="A50" s="19" t="s">
        <v>84</v>
      </c>
      <c r="B50" s="13">
        <v>2</v>
      </c>
      <c r="C50" s="13">
        <v>1</v>
      </c>
      <c r="D50" s="13">
        <f t="shared" si="6"/>
        <v>2</v>
      </c>
      <c r="E50" s="28">
        <f>E$11</f>
        <v>8.7000000000000011</v>
      </c>
      <c r="F50" s="13">
        <f t="shared" si="7"/>
        <v>17.400000000000002</v>
      </c>
      <c r="G50" s="13">
        <f t="shared" si="8"/>
        <v>0.87000000000000011</v>
      </c>
      <c r="H50" s="13">
        <f t="shared" si="9"/>
        <v>1.7400000000000002</v>
      </c>
      <c r="I50" s="27">
        <f t="shared" si="10"/>
        <v>2012.2317000000003</v>
      </c>
    </row>
    <row r="51" spans="1:9" x14ac:dyDescent="0.2">
      <c r="A51" s="19" t="s">
        <v>85</v>
      </c>
      <c r="B51" s="13">
        <v>2</v>
      </c>
      <c r="C51" s="13">
        <v>1</v>
      </c>
      <c r="D51" s="13">
        <f t="shared" si="6"/>
        <v>2</v>
      </c>
      <c r="E51" s="28">
        <f>E$11</f>
        <v>8.7000000000000011</v>
      </c>
      <c r="F51" s="13">
        <f t="shared" si="7"/>
        <v>17.400000000000002</v>
      </c>
      <c r="G51" s="13">
        <f t="shared" si="8"/>
        <v>0.87000000000000011</v>
      </c>
      <c r="H51" s="13">
        <f t="shared" si="9"/>
        <v>1.7400000000000002</v>
      </c>
      <c r="I51" s="27">
        <f t="shared" si="10"/>
        <v>2012.2317000000003</v>
      </c>
    </row>
    <row r="52" spans="1:9" x14ac:dyDescent="0.2">
      <c r="A52" s="19" t="s">
        <v>86</v>
      </c>
      <c r="B52" s="13">
        <v>2</v>
      </c>
      <c r="C52" s="13">
        <v>1</v>
      </c>
      <c r="D52" s="13">
        <f t="shared" si="6"/>
        <v>2</v>
      </c>
      <c r="E52" s="28">
        <f>E$11</f>
        <v>8.7000000000000011</v>
      </c>
      <c r="F52" s="13">
        <f t="shared" si="7"/>
        <v>17.400000000000002</v>
      </c>
      <c r="G52" s="13">
        <f t="shared" si="8"/>
        <v>0.87000000000000011</v>
      </c>
      <c r="H52" s="13">
        <f t="shared" si="9"/>
        <v>1.7400000000000002</v>
      </c>
      <c r="I52" s="27">
        <f t="shared" si="10"/>
        <v>2012.2317000000003</v>
      </c>
    </row>
    <row r="53" spans="1:9" x14ac:dyDescent="0.2">
      <c r="A53" s="19" t="s">
        <v>87</v>
      </c>
      <c r="B53" s="13"/>
      <c r="C53" s="13"/>
      <c r="D53" s="13"/>
      <c r="E53" s="28"/>
      <c r="F53" s="13"/>
      <c r="G53" s="13"/>
      <c r="H53" s="13"/>
      <c r="I53" s="15"/>
    </row>
    <row r="54" spans="1:9" x14ac:dyDescent="0.2">
      <c r="A54" s="19" t="s">
        <v>88</v>
      </c>
      <c r="B54" s="13">
        <v>2</v>
      </c>
      <c r="C54" s="13">
        <v>1</v>
      </c>
      <c r="D54" s="13">
        <f t="shared" si="6"/>
        <v>2</v>
      </c>
      <c r="E54" s="28">
        <f>E$11</f>
        <v>8.7000000000000011</v>
      </c>
      <c r="F54" s="13">
        <f t="shared" ref="F54:F65" si="11">D54*E54</f>
        <v>17.400000000000002</v>
      </c>
      <c r="G54" s="13">
        <f t="shared" ref="G54:G65" si="12">F54*0.05</f>
        <v>0.87000000000000011</v>
      </c>
      <c r="H54" s="13">
        <f t="shared" ref="H54:H65" si="13">F54*0.1</f>
        <v>1.7400000000000002</v>
      </c>
      <c r="I54" s="27">
        <f t="shared" si="10"/>
        <v>2012.2317000000003</v>
      </c>
    </row>
    <row r="55" spans="1:9" x14ac:dyDescent="0.2">
      <c r="A55" s="19" t="s">
        <v>89</v>
      </c>
      <c r="B55" s="13">
        <v>2</v>
      </c>
      <c r="C55" s="13">
        <v>1</v>
      </c>
      <c r="D55" s="13">
        <f t="shared" si="6"/>
        <v>2</v>
      </c>
      <c r="E55" s="28">
        <f>E$11</f>
        <v>8.7000000000000011</v>
      </c>
      <c r="F55" s="13">
        <f t="shared" si="11"/>
        <v>17.400000000000002</v>
      </c>
      <c r="G55" s="13">
        <f t="shared" si="12"/>
        <v>0.87000000000000011</v>
      </c>
      <c r="H55" s="13">
        <f t="shared" si="13"/>
        <v>1.7400000000000002</v>
      </c>
      <c r="I55" s="27">
        <f t="shared" si="10"/>
        <v>2012.2317000000003</v>
      </c>
    </row>
    <row r="56" spans="1:9" x14ac:dyDescent="0.2">
      <c r="A56" s="19" t="s">
        <v>90</v>
      </c>
      <c r="B56" s="13">
        <v>2</v>
      </c>
      <c r="C56" s="13">
        <v>2</v>
      </c>
      <c r="D56" s="13">
        <f t="shared" si="6"/>
        <v>4</v>
      </c>
      <c r="E56" s="28">
        <f>P17</f>
        <v>87</v>
      </c>
      <c r="F56" s="13">
        <f t="shared" si="11"/>
        <v>348</v>
      </c>
      <c r="G56" s="13">
        <f t="shared" si="12"/>
        <v>17.400000000000002</v>
      </c>
      <c r="H56" s="13">
        <f t="shared" si="13"/>
        <v>34.800000000000004</v>
      </c>
      <c r="I56" s="27">
        <f t="shared" si="10"/>
        <v>40244.633999999998</v>
      </c>
    </row>
    <row r="57" spans="1:9" x14ac:dyDescent="0.2">
      <c r="A57" s="35" t="s">
        <v>101</v>
      </c>
      <c r="B57" s="13"/>
      <c r="C57" s="13"/>
      <c r="D57" s="13"/>
      <c r="E57" s="28"/>
      <c r="F57" s="13"/>
      <c r="G57" s="13"/>
      <c r="H57" s="13"/>
      <c r="I57" s="27"/>
    </row>
    <row r="58" spans="1:9" x14ac:dyDescent="0.2">
      <c r="A58" s="19" t="s">
        <v>83</v>
      </c>
      <c r="B58" s="13">
        <v>2</v>
      </c>
      <c r="C58" s="13">
        <v>1</v>
      </c>
      <c r="D58" s="13">
        <v>2</v>
      </c>
      <c r="E58" s="28">
        <f>O16</f>
        <v>5</v>
      </c>
      <c r="F58" s="13">
        <f t="shared" si="11"/>
        <v>10</v>
      </c>
      <c r="G58" s="13">
        <f t="shared" si="12"/>
        <v>0.5</v>
      </c>
      <c r="H58" s="13">
        <f t="shared" si="13"/>
        <v>1</v>
      </c>
      <c r="I58" s="27">
        <f t="shared" si="10"/>
        <v>1156.4549999999999</v>
      </c>
    </row>
    <row r="59" spans="1:9" x14ac:dyDescent="0.2">
      <c r="A59" s="19" t="s">
        <v>84</v>
      </c>
      <c r="B59" s="13">
        <v>2</v>
      </c>
      <c r="C59" s="13">
        <v>1</v>
      </c>
      <c r="D59" s="13">
        <v>2</v>
      </c>
      <c r="E59" s="28">
        <f>$E$58</f>
        <v>5</v>
      </c>
      <c r="F59" s="13">
        <f t="shared" si="11"/>
        <v>10</v>
      </c>
      <c r="G59" s="13">
        <f t="shared" si="12"/>
        <v>0.5</v>
      </c>
      <c r="H59" s="13">
        <f t="shared" si="13"/>
        <v>1</v>
      </c>
      <c r="I59" s="27">
        <f t="shared" si="10"/>
        <v>1156.4549999999999</v>
      </c>
    </row>
    <row r="60" spans="1:9" x14ac:dyDescent="0.2">
      <c r="A60" s="19" t="s">
        <v>85</v>
      </c>
      <c r="B60" s="13">
        <v>2</v>
      </c>
      <c r="C60" s="13">
        <v>1</v>
      </c>
      <c r="D60" s="13">
        <v>2</v>
      </c>
      <c r="E60" s="28">
        <f t="shared" ref="E60:E65" si="14">$E$58</f>
        <v>5</v>
      </c>
      <c r="F60" s="13">
        <f t="shared" si="11"/>
        <v>10</v>
      </c>
      <c r="G60" s="13">
        <f t="shared" si="12"/>
        <v>0.5</v>
      </c>
      <c r="H60" s="13">
        <f t="shared" si="13"/>
        <v>1</v>
      </c>
      <c r="I60" s="27">
        <f t="shared" si="10"/>
        <v>1156.4549999999999</v>
      </c>
    </row>
    <row r="61" spans="1:9" x14ac:dyDescent="0.2">
      <c r="A61" s="19" t="s">
        <v>86</v>
      </c>
      <c r="B61" s="13">
        <v>2</v>
      </c>
      <c r="C61" s="13">
        <v>1</v>
      </c>
      <c r="D61" s="13">
        <v>2</v>
      </c>
      <c r="E61" s="28">
        <f t="shared" si="14"/>
        <v>5</v>
      </c>
      <c r="F61" s="13">
        <f t="shared" si="11"/>
        <v>10</v>
      </c>
      <c r="G61" s="13">
        <f t="shared" si="12"/>
        <v>0.5</v>
      </c>
      <c r="H61" s="13">
        <f t="shared" si="13"/>
        <v>1</v>
      </c>
      <c r="I61" s="27">
        <f t="shared" si="10"/>
        <v>1156.4549999999999</v>
      </c>
    </row>
    <row r="62" spans="1:9" x14ac:dyDescent="0.2">
      <c r="A62" s="19" t="s">
        <v>87</v>
      </c>
      <c r="B62" s="13"/>
      <c r="C62" s="13"/>
      <c r="D62" s="13"/>
      <c r="E62" s="28"/>
      <c r="F62" s="13"/>
      <c r="G62" s="13"/>
      <c r="H62" s="13"/>
      <c r="I62" s="27"/>
    </row>
    <row r="63" spans="1:9" x14ac:dyDescent="0.2">
      <c r="A63" s="19" t="s">
        <v>88</v>
      </c>
      <c r="B63" s="13">
        <v>2</v>
      </c>
      <c r="C63" s="13">
        <v>1</v>
      </c>
      <c r="D63" s="13">
        <v>2</v>
      </c>
      <c r="E63" s="28">
        <f t="shared" si="14"/>
        <v>5</v>
      </c>
      <c r="F63" s="13">
        <f t="shared" si="11"/>
        <v>10</v>
      </c>
      <c r="G63" s="13">
        <f t="shared" si="12"/>
        <v>0.5</v>
      </c>
      <c r="H63" s="13">
        <f t="shared" si="13"/>
        <v>1</v>
      </c>
      <c r="I63" s="27">
        <f t="shared" si="10"/>
        <v>1156.4549999999999</v>
      </c>
    </row>
    <row r="64" spans="1:9" x14ac:dyDescent="0.2">
      <c r="A64" s="19" t="s">
        <v>89</v>
      </c>
      <c r="B64" s="13">
        <v>2</v>
      </c>
      <c r="C64" s="13">
        <v>1</v>
      </c>
      <c r="D64" s="13">
        <v>2</v>
      </c>
      <c r="E64" s="28">
        <f t="shared" si="14"/>
        <v>5</v>
      </c>
      <c r="F64" s="13">
        <f t="shared" si="11"/>
        <v>10</v>
      </c>
      <c r="G64" s="13">
        <f t="shared" si="12"/>
        <v>0.5</v>
      </c>
      <c r="H64" s="13">
        <f t="shared" si="13"/>
        <v>1</v>
      </c>
      <c r="I64" s="27">
        <f t="shared" si="10"/>
        <v>1156.4549999999999</v>
      </c>
    </row>
    <row r="65" spans="1:9" x14ac:dyDescent="0.2">
      <c r="A65" s="19" t="s">
        <v>90</v>
      </c>
      <c r="B65" s="13">
        <v>24</v>
      </c>
      <c r="C65" s="13">
        <v>2</v>
      </c>
      <c r="D65" s="13">
        <v>48</v>
      </c>
      <c r="E65" s="28">
        <f t="shared" si="14"/>
        <v>5</v>
      </c>
      <c r="F65" s="13">
        <f t="shared" si="11"/>
        <v>240</v>
      </c>
      <c r="G65" s="13">
        <f t="shared" si="12"/>
        <v>12</v>
      </c>
      <c r="H65" s="13">
        <f t="shared" si="13"/>
        <v>24</v>
      </c>
      <c r="I65" s="27">
        <f t="shared" si="10"/>
        <v>27754.92</v>
      </c>
    </row>
    <row r="66" spans="1:9" ht="15.75" customHeight="1" x14ac:dyDescent="0.2">
      <c r="A66" s="20" t="s">
        <v>60</v>
      </c>
      <c r="B66" s="42"/>
      <c r="C66" s="42"/>
      <c r="D66" s="42"/>
      <c r="E66" s="43"/>
      <c r="F66" s="71">
        <f>SUM(F6:H65)</f>
        <v>37854.435000000027</v>
      </c>
      <c r="G66" s="71"/>
      <c r="H66" s="71"/>
      <c r="I66" s="23">
        <f>SUM(I6:I65)</f>
        <v>3806691.3589499979</v>
      </c>
    </row>
    <row r="67" spans="1:9" x14ac:dyDescent="0.2">
      <c r="A67" s="14" t="s">
        <v>6</v>
      </c>
      <c r="B67" s="15"/>
      <c r="C67" s="15"/>
      <c r="D67" s="15"/>
      <c r="E67" s="18"/>
      <c r="F67" s="15"/>
      <c r="G67" s="15"/>
      <c r="H67" s="15"/>
      <c r="I67" s="15"/>
    </row>
    <row r="68" spans="1:9" ht="18" customHeight="1" x14ac:dyDescent="0.2">
      <c r="A68" s="16" t="s">
        <v>98</v>
      </c>
      <c r="B68" s="15"/>
      <c r="C68" s="15"/>
      <c r="D68" s="15"/>
      <c r="E68" s="15"/>
      <c r="F68" s="15"/>
      <c r="G68" s="15"/>
      <c r="H68" s="15"/>
      <c r="I68" s="15"/>
    </row>
    <row r="69" spans="1:9" ht="18" customHeight="1" x14ac:dyDescent="0.2">
      <c r="A69" s="16" t="s">
        <v>7</v>
      </c>
      <c r="B69" s="15"/>
      <c r="C69" s="15"/>
      <c r="D69" s="15"/>
      <c r="E69" s="15"/>
      <c r="F69" s="15"/>
      <c r="G69" s="15"/>
      <c r="H69" s="15"/>
      <c r="I69" s="15"/>
    </row>
    <row r="70" spans="1:9" ht="18" customHeight="1" x14ac:dyDescent="0.2">
      <c r="A70" s="16" t="s">
        <v>8</v>
      </c>
      <c r="B70" s="15"/>
      <c r="C70" s="15"/>
      <c r="D70" s="15"/>
      <c r="E70" s="15"/>
      <c r="F70" s="15"/>
      <c r="G70" s="15"/>
      <c r="H70" s="15"/>
      <c r="I70" s="15"/>
    </row>
    <row r="71" spans="1:9" ht="18" customHeight="1" x14ac:dyDescent="0.2">
      <c r="A71" s="16" t="s">
        <v>9</v>
      </c>
      <c r="B71" s="15"/>
      <c r="C71" s="15"/>
      <c r="D71" s="15"/>
      <c r="E71" s="15"/>
      <c r="F71" s="15"/>
      <c r="G71" s="15"/>
      <c r="H71" s="15"/>
      <c r="I71" s="15"/>
    </row>
    <row r="72" spans="1:9" ht="18" customHeight="1" x14ac:dyDescent="0.2">
      <c r="A72" s="16" t="s">
        <v>10</v>
      </c>
      <c r="B72" s="15"/>
      <c r="C72" s="15"/>
      <c r="D72" s="15"/>
      <c r="E72" s="15"/>
      <c r="F72" s="15"/>
      <c r="G72" s="15"/>
      <c r="H72" s="15"/>
      <c r="I72" s="15"/>
    </row>
    <row r="73" spans="1:9" ht="18" customHeight="1" x14ac:dyDescent="0.2">
      <c r="A73" s="35" t="s">
        <v>100</v>
      </c>
      <c r="B73" s="15"/>
      <c r="C73" s="15"/>
      <c r="D73" s="15"/>
      <c r="E73" s="15"/>
      <c r="F73" s="15"/>
      <c r="G73" s="15"/>
      <c r="H73" s="15"/>
      <c r="I73" s="15"/>
    </row>
    <row r="74" spans="1:9" x14ac:dyDescent="0.2">
      <c r="A74" s="17" t="s">
        <v>91</v>
      </c>
      <c r="B74" s="13">
        <v>0.1</v>
      </c>
      <c r="C74" s="13">
        <v>330</v>
      </c>
      <c r="D74" s="13">
        <f t="shared" ref="D74:D80" si="15">B74*C74</f>
        <v>33</v>
      </c>
      <c r="E74" s="28">
        <f>$O$17</f>
        <v>138</v>
      </c>
      <c r="F74" s="31">
        <f t="shared" ref="F74:F79" si="16">D74*E74</f>
        <v>4554</v>
      </c>
      <c r="G74" s="13">
        <f t="shared" ref="G74:G80" si="17">F74*0.05</f>
        <v>227.70000000000002</v>
      </c>
      <c r="H74" s="13">
        <f t="shared" ref="H74:H79" si="18">F74*0.1</f>
        <v>455.40000000000003</v>
      </c>
      <c r="I74" s="27">
        <f t="shared" ref="I74:I79" si="19">F74*$K$1+G74*$K$2+H74*$K$3</f>
        <v>526649.60699999996</v>
      </c>
    </row>
    <row r="75" spans="1:9" x14ac:dyDescent="0.2">
      <c r="A75" s="17" t="s">
        <v>92</v>
      </c>
      <c r="B75" s="13">
        <v>0.1</v>
      </c>
      <c r="C75" s="13">
        <v>330</v>
      </c>
      <c r="D75" s="13">
        <f t="shared" si="15"/>
        <v>33</v>
      </c>
      <c r="E75" s="28">
        <f>E74</f>
        <v>138</v>
      </c>
      <c r="F75" s="31">
        <f t="shared" si="16"/>
        <v>4554</v>
      </c>
      <c r="G75" s="13">
        <f t="shared" si="17"/>
        <v>227.70000000000002</v>
      </c>
      <c r="H75" s="13">
        <f t="shared" si="18"/>
        <v>455.40000000000003</v>
      </c>
      <c r="I75" s="27">
        <f t="shared" si="19"/>
        <v>526649.60699999996</v>
      </c>
    </row>
    <row r="76" spans="1:9" x14ac:dyDescent="0.2">
      <c r="A76" s="35" t="s">
        <v>101</v>
      </c>
      <c r="B76" s="13"/>
      <c r="C76" s="13"/>
      <c r="D76" s="13"/>
      <c r="E76" s="28"/>
      <c r="F76" s="31"/>
      <c r="G76" s="13"/>
      <c r="H76" s="13"/>
      <c r="I76" s="27"/>
    </row>
    <row r="77" spans="1:9" x14ac:dyDescent="0.2">
      <c r="A77" s="17" t="s">
        <v>91</v>
      </c>
      <c r="B77" s="13">
        <v>1.5</v>
      </c>
      <c r="C77" s="13">
        <v>330</v>
      </c>
      <c r="D77" s="13">
        <f>B77*C77</f>
        <v>495</v>
      </c>
      <c r="E77" s="28">
        <f>$O$16</f>
        <v>5</v>
      </c>
      <c r="F77" s="31">
        <f t="shared" ref="F77:F78" si="20">D77*E77</f>
        <v>2475</v>
      </c>
      <c r="G77" s="13">
        <f t="shared" ref="G77:G78" si="21">F77*0.05</f>
        <v>123.75</v>
      </c>
      <c r="H77" s="13">
        <f t="shared" ref="H77:H78" si="22">F77*0.1</f>
        <v>247.5</v>
      </c>
      <c r="I77" s="27">
        <f t="shared" ref="I77:I78" si="23">F77*$K$1+G77*$K$2+H77*$K$3</f>
        <v>286222.61250000005</v>
      </c>
    </row>
    <row r="78" spans="1:9" x14ac:dyDescent="0.2">
      <c r="A78" s="17" t="s">
        <v>92</v>
      </c>
      <c r="B78" s="13">
        <v>0.1</v>
      </c>
      <c r="C78" s="13">
        <v>330</v>
      </c>
      <c r="D78" s="13">
        <f t="shared" ref="D78:D79" si="24">B78*C78</f>
        <v>33</v>
      </c>
      <c r="E78" s="28">
        <f>$O$16</f>
        <v>5</v>
      </c>
      <c r="F78" s="31">
        <f t="shared" si="20"/>
        <v>165</v>
      </c>
      <c r="G78" s="13">
        <f t="shared" si="21"/>
        <v>8.25</v>
      </c>
      <c r="H78" s="13">
        <f t="shared" si="22"/>
        <v>16.5</v>
      </c>
      <c r="I78" s="27">
        <f t="shared" si="23"/>
        <v>19081.5075</v>
      </c>
    </row>
    <row r="79" spans="1:9" x14ac:dyDescent="0.2">
      <c r="A79" s="17" t="s">
        <v>99</v>
      </c>
      <c r="B79" s="13">
        <v>2</v>
      </c>
      <c r="C79" s="13">
        <v>4</v>
      </c>
      <c r="D79" s="13">
        <f t="shared" si="24"/>
        <v>8</v>
      </c>
      <c r="E79" s="28">
        <v>26</v>
      </c>
      <c r="F79" s="31">
        <f t="shared" si="16"/>
        <v>208</v>
      </c>
      <c r="G79" s="13">
        <f t="shared" si="17"/>
        <v>10.4</v>
      </c>
      <c r="H79" s="13">
        <f t="shared" si="18"/>
        <v>20.8</v>
      </c>
      <c r="I79" s="27">
        <f t="shared" si="19"/>
        <v>24054.263999999999</v>
      </c>
    </row>
    <row r="80" spans="1:9" ht="15.75" customHeight="1" x14ac:dyDescent="0.2">
      <c r="A80" s="16" t="s">
        <v>13</v>
      </c>
      <c r="B80" s="13">
        <v>80</v>
      </c>
      <c r="C80" s="13">
        <v>1</v>
      </c>
      <c r="D80" s="13">
        <f t="shared" si="15"/>
        <v>80</v>
      </c>
      <c r="E80" s="28">
        <f>P17</f>
        <v>87</v>
      </c>
      <c r="F80" s="31">
        <f t="shared" ref="F80" si="25">D80*E80</f>
        <v>6960</v>
      </c>
      <c r="G80" s="13">
        <f t="shared" si="17"/>
        <v>348</v>
      </c>
      <c r="H80" s="13">
        <f t="shared" ref="H80" si="26">F80*0.1</f>
        <v>696</v>
      </c>
      <c r="I80" s="27">
        <f>F80*$K$1+G80*$K$2+H80*$K$3</f>
        <v>804892.67999999993</v>
      </c>
    </row>
    <row r="81" spans="1:14" ht="18" customHeight="1" x14ac:dyDescent="0.2">
      <c r="A81" s="16" t="s">
        <v>11</v>
      </c>
      <c r="B81" s="15"/>
      <c r="C81" s="15"/>
      <c r="D81" s="15"/>
      <c r="E81" s="15"/>
      <c r="F81" s="15"/>
      <c r="G81" s="15"/>
      <c r="H81" s="15"/>
      <c r="I81" s="15"/>
    </row>
    <row r="82" spans="1:14" ht="15.75" customHeight="1" x14ac:dyDescent="0.2">
      <c r="A82" s="20" t="s">
        <v>61</v>
      </c>
      <c r="B82" s="21"/>
      <c r="C82" s="21"/>
      <c r="D82" s="21"/>
      <c r="E82" s="22"/>
      <c r="F82" s="71">
        <f>SUM(F74:H80)</f>
        <v>21753.399999999998</v>
      </c>
      <c r="G82" s="71"/>
      <c r="H82" s="71"/>
      <c r="I82" s="23">
        <f>SUM(I74:I81)</f>
        <v>2187550.2779999999</v>
      </c>
    </row>
    <row r="83" spans="1:14" ht="15.75" x14ac:dyDescent="0.2">
      <c r="A83" s="20" t="s">
        <v>62</v>
      </c>
      <c r="B83" s="21"/>
      <c r="C83" s="24"/>
      <c r="D83" s="21"/>
      <c r="E83" s="25"/>
      <c r="F83" s="71">
        <f>ROUND(F82+F66, -2)</f>
        <v>59600</v>
      </c>
      <c r="G83" s="71"/>
      <c r="H83" s="71"/>
      <c r="I83" s="23">
        <f>ROUND(I82+I66, -4)</f>
        <v>5990000</v>
      </c>
    </row>
    <row r="84" spans="1:14" ht="15.75" x14ac:dyDescent="0.2">
      <c r="A84" s="14" t="s">
        <v>118</v>
      </c>
      <c r="B84" s="15"/>
      <c r="C84" s="15"/>
      <c r="D84" s="15"/>
      <c r="E84" s="15"/>
      <c r="F84" s="15"/>
      <c r="G84" s="15"/>
      <c r="H84" s="15"/>
      <c r="I84" s="63">
        <f>'Capital and O&amp;M'!G12</f>
        <v>19800000</v>
      </c>
    </row>
    <row r="85" spans="1:14" ht="18" customHeight="1" x14ac:dyDescent="0.2">
      <c r="A85" s="26" t="s">
        <v>119</v>
      </c>
      <c r="B85" s="15"/>
      <c r="C85" s="15"/>
      <c r="D85" s="15"/>
      <c r="E85" s="15"/>
      <c r="F85" s="15"/>
      <c r="G85" s="15"/>
      <c r="H85" s="15"/>
      <c r="I85" s="64">
        <f>ROUND(I83+I84, -5)</f>
        <v>25800000</v>
      </c>
    </row>
    <row r="86" spans="1:14" x14ac:dyDescent="0.2">
      <c r="M86" s="65">
        <f>F83/256</f>
        <v>232.8125</v>
      </c>
      <c r="N86" s="9" t="s">
        <v>120</v>
      </c>
    </row>
    <row r="87" spans="1:14" ht="43.5" customHeight="1" x14ac:dyDescent="0.2">
      <c r="A87" s="72" t="s">
        <v>20</v>
      </c>
      <c r="B87" s="72"/>
      <c r="C87" s="72"/>
      <c r="D87" s="72"/>
      <c r="E87" s="72"/>
      <c r="F87" s="72"/>
      <c r="G87" s="72"/>
      <c r="H87" s="72"/>
      <c r="I87" s="72"/>
    </row>
    <row r="88" spans="1:14" ht="56.25" customHeight="1" x14ac:dyDescent="0.2">
      <c r="A88" s="73" t="s">
        <v>18</v>
      </c>
      <c r="B88" s="73"/>
      <c r="C88" s="73"/>
      <c r="D88" s="73"/>
      <c r="E88" s="73"/>
      <c r="F88" s="73"/>
      <c r="G88" s="73"/>
      <c r="H88" s="73"/>
      <c r="I88" s="73"/>
    </row>
    <row r="89" spans="1:14" ht="15.75" x14ac:dyDescent="0.2">
      <c r="A89" s="1" t="s">
        <v>19</v>
      </c>
    </row>
  </sheetData>
  <mergeCells count="7">
    <mergeCell ref="J22:R24"/>
    <mergeCell ref="A1:I1"/>
    <mergeCell ref="F83:H83"/>
    <mergeCell ref="A87:I87"/>
    <mergeCell ref="A88:I88"/>
    <mergeCell ref="F82:H82"/>
    <mergeCell ref="F66:H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K5" sqref="K5"/>
    </sheetView>
  </sheetViews>
  <sheetFormatPr defaultRowHeight="15" x14ac:dyDescent="0.25"/>
  <cols>
    <col min="1" max="1" width="39.140625" customWidth="1"/>
    <col min="2" max="2" width="9.85546875" customWidth="1"/>
    <col min="9" max="9" width="11.42578125" customWidth="1"/>
    <col min="11" max="11" width="9.140625" style="34"/>
  </cols>
  <sheetData>
    <row r="1" spans="1:11" ht="36.75" customHeight="1" x14ac:dyDescent="0.25">
      <c r="A1" s="75" t="s">
        <v>51</v>
      </c>
      <c r="B1" s="75"/>
      <c r="C1" s="75"/>
      <c r="D1" s="75"/>
      <c r="E1" s="75"/>
      <c r="F1" s="75"/>
      <c r="G1" s="75"/>
      <c r="H1" s="75"/>
      <c r="I1" s="75"/>
      <c r="K1" s="7">
        <v>46.67</v>
      </c>
    </row>
    <row r="2" spans="1:11" ht="15.75" x14ac:dyDescent="0.25">
      <c r="A2" s="74"/>
      <c r="B2" s="74"/>
      <c r="C2" s="74"/>
      <c r="D2" s="74"/>
      <c r="E2" s="74"/>
      <c r="F2" s="74"/>
      <c r="G2" s="74"/>
      <c r="H2" s="74"/>
      <c r="I2" s="74"/>
      <c r="K2" s="34">
        <v>62.9</v>
      </c>
    </row>
    <row r="3" spans="1:11" x14ac:dyDescent="0.25">
      <c r="A3" s="78" t="s">
        <v>50</v>
      </c>
      <c r="B3" s="12" t="s">
        <v>49</v>
      </c>
      <c r="C3" s="12" t="s">
        <v>48</v>
      </c>
      <c r="D3" s="12" t="s">
        <v>47</v>
      </c>
      <c r="E3" s="12" t="s">
        <v>46</v>
      </c>
      <c r="F3" s="12" t="s">
        <v>45</v>
      </c>
      <c r="G3" s="12" t="s">
        <v>44</v>
      </c>
      <c r="H3" s="12" t="s">
        <v>43</v>
      </c>
      <c r="I3" s="12" t="s">
        <v>42</v>
      </c>
      <c r="K3" s="7">
        <v>25.25</v>
      </c>
    </row>
    <row r="4" spans="1:11" ht="63.75" x14ac:dyDescent="0.25">
      <c r="A4" s="78"/>
      <c r="B4" s="12" t="s">
        <v>41</v>
      </c>
      <c r="C4" s="12" t="s">
        <v>40</v>
      </c>
      <c r="D4" s="12" t="s">
        <v>39</v>
      </c>
      <c r="E4" s="12" t="s">
        <v>38</v>
      </c>
      <c r="F4" s="12" t="s">
        <v>37</v>
      </c>
      <c r="G4" s="12" t="s">
        <v>36</v>
      </c>
      <c r="H4" s="12" t="s">
        <v>35</v>
      </c>
      <c r="I4" s="12" t="s">
        <v>34</v>
      </c>
    </row>
    <row r="5" spans="1:11" x14ac:dyDescent="0.25">
      <c r="A5" s="78"/>
      <c r="B5" s="44"/>
      <c r="C5" s="44"/>
      <c r="D5" s="12" t="s">
        <v>33</v>
      </c>
      <c r="E5" s="44"/>
      <c r="F5" s="12" t="s">
        <v>32</v>
      </c>
      <c r="G5" s="12" t="s">
        <v>31</v>
      </c>
      <c r="H5" s="12" t="s">
        <v>30</v>
      </c>
      <c r="I5" s="44"/>
    </row>
    <row r="6" spans="1:11" ht="15.75" x14ac:dyDescent="0.25">
      <c r="A6" s="45" t="s">
        <v>29</v>
      </c>
      <c r="B6" s="13">
        <v>24</v>
      </c>
      <c r="C6" s="13">
        <v>1</v>
      </c>
      <c r="D6" s="13">
        <f>B6*C6</f>
        <v>24</v>
      </c>
      <c r="E6" s="13">
        <v>13.7</v>
      </c>
      <c r="F6" s="46">
        <f>D6*E6</f>
        <v>328.79999999999995</v>
      </c>
      <c r="G6" s="46">
        <f>F6*0.05</f>
        <v>16.439999999999998</v>
      </c>
      <c r="H6" s="46">
        <f>F6*0.1</f>
        <v>32.879999999999995</v>
      </c>
      <c r="I6" s="67">
        <f>(F6*$K$1)+(G6*$K$2)+(H6*$K$3)</f>
        <v>17209.391999999996</v>
      </c>
    </row>
    <row r="7" spans="1:11" ht="15.75" x14ac:dyDescent="0.25">
      <c r="A7" s="45" t="s">
        <v>28</v>
      </c>
      <c r="B7" s="13">
        <v>24</v>
      </c>
      <c r="C7" s="13">
        <v>0.2</v>
      </c>
      <c r="D7" s="13">
        <f>B7*C7</f>
        <v>4.8000000000000007</v>
      </c>
      <c r="E7" s="13">
        <v>1</v>
      </c>
      <c r="F7" s="46">
        <f>D7*E7</f>
        <v>4.8000000000000007</v>
      </c>
      <c r="G7" s="46">
        <f>F7*0.05</f>
        <v>0.24000000000000005</v>
      </c>
      <c r="H7" s="46">
        <f>F7*0.1</f>
        <v>0.48000000000000009</v>
      </c>
      <c r="I7" s="67">
        <f>(F7*$K$1)+(G7*$K$2)+(H7*$K$3)</f>
        <v>251.23200000000006</v>
      </c>
    </row>
    <row r="8" spans="1:11" x14ac:dyDescent="0.25">
      <c r="A8" s="45" t="s">
        <v>27</v>
      </c>
      <c r="B8" s="13"/>
      <c r="C8" s="13"/>
      <c r="D8" s="13"/>
      <c r="E8" s="13"/>
      <c r="F8" s="46"/>
      <c r="G8" s="46"/>
      <c r="H8" s="46"/>
      <c r="I8" s="47"/>
    </row>
    <row r="9" spans="1:11" x14ac:dyDescent="0.25">
      <c r="A9" s="48" t="s">
        <v>26</v>
      </c>
      <c r="B9" s="13">
        <v>0.5</v>
      </c>
      <c r="C9" s="13">
        <v>1</v>
      </c>
      <c r="D9" s="13">
        <f t="shared" ref="D9:D14" si="0">B9*C9</f>
        <v>0.5</v>
      </c>
      <c r="E9" s="13">
        <f>E6</f>
        <v>13.7</v>
      </c>
      <c r="F9" s="46">
        <f t="shared" ref="F9:F14" si="1">D9*E9</f>
        <v>6.85</v>
      </c>
      <c r="G9" s="46">
        <f t="shared" ref="G9:G14" si="2">F9*0.05</f>
        <v>0.34250000000000003</v>
      </c>
      <c r="H9" s="46">
        <f t="shared" ref="H9:H14" si="3">F9*0.1</f>
        <v>0.68500000000000005</v>
      </c>
      <c r="I9" s="67">
        <f t="shared" ref="I9:I14" si="4">(F9*$K$1)+(G9*$K$2)+(H9*$K$3)</f>
        <v>358.529</v>
      </c>
    </row>
    <row r="10" spans="1:11" x14ac:dyDescent="0.25">
      <c r="A10" s="48" t="s">
        <v>25</v>
      </c>
      <c r="B10" s="13">
        <v>0.5</v>
      </c>
      <c r="C10" s="13">
        <v>1</v>
      </c>
      <c r="D10" s="13">
        <f t="shared" si="0"/>
        <v>0.5</v>
      </c>
      <c r="E10" s="13">
        <v>13.7</v>
      </c>
      <c r="F10" s="46">
        <f t="shared" si="1"/>
        <v>6.85</v>
      </c>
      <c r="G10" s="46">
        <f t="shared" si="2"/>
        <v>0.34250000000000003</v>
      </c>
      <c r="H10" s="46">
        <f t="shared" si="3"/>
        <v>0.68500000000000005</v>
      </c>
      <c r="I10" s="67">
        <f t="shared" si="4"/>
        <v>358.529</v>
      </c>
    </row>
    <row r="11" spans="1:11" ht="15.75" x14ac:dyDescent="0.25">
      <c r="A11" s="48" t="s">
        <v>56</v>
      </c>
      <c r="B11" s="13">
        <v>0.5</v>
      </c>
      <c r="C11" s="13">
        <v>1.1000000000000001</v>
      </c>
      <c r="D11" s="13">
        <f t="shared" si="0"/>
        <v>0.55000000000000004</v>
      </c>
      <c r="E11" s="13">
        <v>13.7</v>
      </c>
      <c r="F11" s="46">
        <f t="shared" si="1"/>
        <v>7.5350000000000001</v>
      </c>
      <c r="G11" s="46">
        <f t="shared" si="2"/>
        <v>0.37675000000000003</v>
      </c>
      <c r="H11" s="46">
        <f t="shared" si="3"/>
        <v>0.75350000000000006</v>
      </c>
      <c r="I11" s="67">
        <f t="shared" si="4"/>
        <v>394.38190000000003</v>
      </c>
    </row>
    <row r="12" spans="1:11" ht="25.5" x14ac:dyDescent="0.25">
      <c r="A12" s="48" t="s">
        <v>53</v>
      </c>
      <c r="B12" s="13">
        <v>0.5</v>
      </c>
      <c r="C12" s="13">
        <v>1</v>
      </c>
      <c r="D12" s="13">
        <f t="shared" si="0"/>
        <v>0.5</v>
      </c>
      <c r="E12" s="13">
        <v>13.7</v>
      </c>
      <c r="F12" s="46">
        <f t="shared" si="1"/>
        <v>6.85</v>
      </c>
      <c r="G12" s="46">
        <f t="shared" si="2"/>
        <v>0.34250000000000003</v>
      </c>
      <c r="H12" s="46">
        <f t="shared" si="3"/>
        <v>0.68500000000000005</v>
      </c>
      <c r="I12" s="67">
        <f t="shared" ref="I12" si="5">(F12*$K$1)+(G12*$K$2)+(H12*$K$3)</f>
        <v>358.529</v>
      </c>
    </row>
    <row r="13" spans="1:11" x14ac:dyDescent="0.25">
      <c r="A13" s="48" t="s">
        <v>52</v>
      </c>
      <c r="B13" s="13">
        <v>8</v>
      </c>
      <c r="C13" s="13">
        <v>1</v>
      </c>
      <c r="D13" s="13">
        <f t="shared" si="0"/>
        <v>8</v>
      </c>
      <c r="E13" s="13">
        <f>E9</f>
        <v>13.7</v>
      </c>
      <c r="F13" s="46">
        <f t="shared" si="1"/>
        <v>109.6</v>
      </c>
      <c r="G13" s="39">
        <f t="shared" si="2"/>
        <v>5.48</v>
      </c>
      <c r="H13" s="39">
        <f t="shared" si="3"/>
        <v>10.96</v>
      </c>
      <c r="I13" s="67">
        <f t="shared" si="4"/>
        <v>5736.4639999999999</v>
      </c>
    </row>
    <row r="14" spans="1:11" x14ac:dyDescent="0.25">
      <c r="A14" s="48" t="s">
        <v>55</v>
      </c>
      <c r="B14" s="13">
        <v>8</v>
      </c>
      <c r="C14" s="13">
        <v>2</v>
      </c>
      <c r="D14" s="13">
        <f t="shared" si="0"/>
        <v>16</v>
      </c>
      <c r="E14" s="13">
        <f>'Table 1'!E56</f>
        <v>87</v>
      </c>
      <c r="F14" s="66">
        <f t="shared" si="1"/>
        <v>1392</v>
      </c>
      <c r="G14" s="46">
        <f t="shared" si="2"/>
        <v>69.600000000000009</v>
      </c>
      <c r="H14" s="46">
        <f t="shared" si="3"/>
        <v>139.20000000000002</v>
      </c>
      <c r="I14" s="67">
        <f t="shared" si="4"/>
        <v>72857.279999999999</v>
      </c>
    </row>
    <row r="15" spans="1:11" x14ac:dyDescent="0.25">
      <c r="A15" s="49" t="s">
        <v>24</v>
      </c>
      <c r="B15" s="12"/>
      <c r="C15" s="12"/>
      <c r="D15" s="12"/>
      <c r="E15" s="12"/>
      <c r="F15" s="50">
        <f>SUM(F6:F14)</f>
        <v>1863.2850000000001</v>
      </c>
      <c r="G15" s="51">
        <f>SUM(G6:G14)</f>
        <v>93.16425000000001</v>
      </c>
      <c r="H15" s="51">
        <f>SUM(H6:H14)</f>
        <v>186.32850000000002</v>
      </c>
      <c r="I15" s="68">
        <f>SUM(I6:I14)</f>
        <v>97524.336899999995</v>
      </c>
    </row>
    <row r="16" spans="1:11" x14ac:dyDescent="0.25">
      <c r="A16" s="79" t="s">
        <v>103</v>
      </c>
      <c r="B16" s="78"/>
      <c r="C16" s="78"/>
      <c r="D16" s="78"/>
      <c r="E16" s="78"/>
      <c r="F16" s="71">
        <f>ROUND(F15+G15+H15, -1)</f>
        <v>2140</v>
      </c>
      <c r="G16" s="71"/>
      <c r="H16" s="71"/>
      <c r="I16" s="77">
        <f>ROUND(I15, -2)</f>
        <v>97500</v>
      </c>
    </row>
    <row r="17" spans="1:9" x14ac:dyDescent="0.25">
      <c r="A17" s="79"/>
      <c r="B17" s="78"/>
      <c r="C17" s="78"/>
      <c r="D17" s="78"/>
      <c r="E17" s="78"/>
      <c r="F17" s="71"/>
      <c r="G17" s="71"/>
      <c r="H17" s="71"/>
      <c r="I17" s="77"/>
    </row>
    <row r="18" spans="1:9" x14ac:dyDescent="0.25">
      <c r="A18" s="6"/>
      <c r="G18" s="3"/>
    </row>
    <row r="19" spans="1:9" x14ac:dyDescent="0.25">
      <c r="A19" s="6" t="s">
        <v>23</v>
      </c>
    </row>
    <row r="20" spans="1:9" ht="45" customHeight="1" x14ac:dyDescent="0.25">
      <c r="A20" s="76" t="s">
        <v>20</v>
      </c>
      <c r="B20" s="76"/>
      <c r="C20" s="76"/>
      <c r="D20" s="76"/>
      <c r="E20" s="76"/>
      <c r="F20" s="76"/>
      <c r="G20" s="76"/>
      <c r="H20" s="76"/>
      <c r="I20" s="76"/>
    </row>
    <row r="21" spans="1:9" ht="49.5" customHeight="1" x14ac:dyDescent="0.25">
      <c r="A21" s="76" t="s">
        <v>22</v>
      </c>
      <c r="B21" s="76"/>
      <c r="C21" s="76"/>
      <c r="D21" s="76"/>
      <c r="E21" s="76"/>
      <c r="F21" s="76"/>
      <c r="G21" s="76"/>
      <c r="H21" s="76"/>
      <c r="I21" s="76"/>
    </row>
    <row r="22" spans="1:9" ht="15.75" x14ac:dyDescent="0.25">
      <c r="A22" s="5" t="s">
        <v>21</v>
      </c>
    </row>
    <row r="23" spans="1:9" ht="15.75" x14ac:dyDescent="0.25">
      <c r="A23" s="5" t="s">
        <v>54</v>
      </c>
    </row>
    <row r="24" spans="1:9" ht="15.75" x14ac:dyDescent="0.25">
      <c r="A24" s="1" t="s">
        <v>102</v>
      </c>
    </row>
    <row r="27" spans="1:9" x14ac:dyDescent="0.25">
      <c r="A27" s="2"/>
    </row>
    <row r="28" spans="1:9" x14ac:dyDescent="0.25">
      <c r="A28" s="2"/>
    </row>
    <row r="29" spans="1:9" x14ac:dyDescent="0.25">
      <c r="A29" s="2"/>
    </row>
    <row r="30" spans="1:9" x14ac:dyDescent="0.25">
      <c r="A30" s="4"/>
    </row>
  </sheetData>
  <mergeCells count="12">
    <mergeCell ref="A2:I2"/>
    <mergeCell ref="A1:I1"/>
    <mergeCell ref="A21:I21"/>
    <mergeCell ref="A20:I20"/>
    <mergeCell ref="F16:H17"/>
    <mergeCell ref="I16:I17"/>
    <mergeCell ref="A3:A5"/>
    <mergeCell ref="A16:A17"/>
    <mergeCell ref="B16:B17"/>
    <mergeCell ref="C16:C17"/>
    <mergeCell ref="D16:D17"/>
    <mergeCell ref="E16:E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A6" sqref="A6:G10"/>
    </sheetView>
  </sheetViews>
  <sheetFormatPr defaultRowHeight="15" x14ac:dyDescent="0.25"/>
  <cols>
    <col min="1" max="1" width="17.7109375" customWidth="1"/>
    <col min="2" max="2" width="14" customWidth="1"/>
    <col min="3" max="3" width="13.140625" customWidth="1"/>
    <col min="4" max="4" width="12.85546875" customWidth="1"/>
    <col min="5" max="5" width="11.5703125" customWidth="1"/>
    <col min="6" max="6" width="11.28515625" customWidth="1"/>
    <col min="7" max="7" width="13.7109375" customWidth="1"/>
  </cols>
  <sheetData>
    <row r="1" spans="1:7" ht="15.75" x14ac:dyDescent="0.25">
      <c r="A1" s="80"/>
      <c r="B1" s="81"/>
      <c r="C1" s="81"/>
      <c r="D1" s="81"/>
      <c r="E1" s="81"/>
      <c r="F1" s="81"/>
      <c r="G1" s="82"/>
    </row>
    <row r="2" spans="1:7" ht="16.5" thickBot="1" x14ac:dyDescent="0.3">
      <c r="A2" s="83" t="s">
        <v>104</v>
      </c>
      <c r="B2" s="84"/>
      <c r="C2" s="84"/>
      <c r="D2" s="84"/>
      <c r="E2" s="84"/>
      <c r="F2" s="84"/>
      <c r="G2" s="85"/>
    </row>
    <row r="3" spans="1:7" ht="15.75" x14ac:dyDescent="0.25">
      <c r="A3" s="52"/>
      <c r="B3" s="54"/>
      <c r="C3" s="54"/>
      <c r="D3" s="54"/>
      <c r="E3" s="54"/>
      <c r="F3" s="54"/>
      <c r="G3" s="56"/>
    </row>
    <row r="4" spans="1:7" x14ac:dyDescent="0.25">
      <c r="A4" s="53" t="s">
        <v>49</v>
      </c>
      <c r="B4" s="55" t="s">
        <v>48</v>
      </c>
      <c r="C4" s="55" t="s">
        <v>47</v>
      </c>
      <c r="D4" s="55" t="s">
        <v>46</v>
      </c>
      <c r="E4" s="55" t="s">
        <v>45</v>
      </c>
      <c r="F4" s="55" t="s">
        <v>44</v>
      </c>
      <c r="G4" s="57" t="s">
        <v>43</v>
      </c>
    </row>
    <row r="5" spans="1:7" ht="38.25" x14ac:dyDescent="0.25">
      <c r="A5" s="59" t="s">
        <v>105</v>
      </c>
      <c r="B5" s="59" t="s">
        <v>106</v>
      </c>
      <c r="C5" s="59" t="s">
        <v>107</v>
      </c>
      <c r="D5" s="59" t="s">
        <v>108</v>
      </c>
      <c r="E5" s="59" t="s">
        <v>109</v>
      </c>
      <c r="F5" s="59" t="s">
        <v>110</v>
      </c>
      <c r="G5" s="59" t="s">
        <v>112</v>
      </c>
    </row>
    <row r="6" spans="1:7" ht="25.5" x14ac:dyDescent="0.25">
      <c r="A6" s="14" t="s">
        <v>111</v>
      </c>
      <c r="B6" s="60">
        <v>604456</v>
      </c>
      <c r="C6" s="59">
        <v>5</v>
      </c>
      <c r="D6" s="60">
        <f>B6*C6</f>
        <v>3022280</v>
      </c>
      <c r="E6" s="60">
        <v>116459</v>
      </c>
      <c r="F6" s="59">
        <f>'Table 1'!O17</f>
        <v>138</v>
      </c>
      <c r="G6" s="60">
        <f>E6*F6</f>
        <v>16071342</v>
      </c>
    </row>
    <row r="7" spans="1:7" x14ac:dyDescent="0.25">
      <c r="A7" s="59" t="s">
        <v>113</v>
      </c>
      <c r="B7" s="60">
        <v>131222</v>
      </c>
      <c r="C7" s="59">
        <v>5</v>
      </c>
      <c r="D7" s="60">
        <f>B7*C7</f>
        <v>656110</v>
      </c>
      <c r="E7" s="60"/>
      <c r="F7" s="59"/>
      <c r="G7" s="60"/>
    </row>
    <row r="8" spans="1:7" ht="25.5" x14ac:dyDescent="0.25">
      <c r="A8" s="14" t="s">
        <v>114</v>
      </c>
      <c r="B8" s="60">
        <v>35780</v>
      </c>
      <c r="C8" s="59">
        <v>0</v>
      </c>
      <c r="D8" s="60">
        <f t="shared" ref="D8:D9" si="0">B8*C8</f>
        <v>0</v>
      </c>
      <c r="E8" s="60">
        <v>2589</v>
      </c>
      <c r="F8" s="59">
        <v>26</v>
      </c>
      <c r="G8" s="60">
        <f>E8*F8</f>
        <v>67314</v>
      </c>
    </row>
    <row r="9" spans="1:7" x14ac:dyDescent="0.25">
      <c r="A9" s="14" t="s">
        <v>115</v>
      </c>
      <c r="B9" s="60">
        <v>50800</v>
      </c>
      <c r="C9" s="59">
        <v>0</v>
      </c>
      <c r="D9" s="60">
        <f t="shared" si="0"/>
        <v>0</v>
      </c>
      <c r="E9" s="60"/>
      <c r="F9" s="59"/>
      <c r="G9" s="60"/>
    </row>
    <row r="10" spans="1:7" x14ac:dyDescent="0.25">
      <c r="A10" s="61" t="s">
        <v>116</v>
      </c>
      <c r="B10" s="60"/>
      <c r="C10" s="59"/>
      <c r="D10" s="60">
        <f>ROUND(SUM(D6:D9), -4)</f>
        <v>3680000</v>
      </c>
      <c r="E10" s="60"/>
      <c r="F10" s="59"/>
      <c r="G10" s="60">
        <f>ROUND(SUM(G6:G9), -5)</f>
        <v>16100000</v>
      </c>
    </row>
    <row r="11" spans="1:7" x14ac:dyDescent="0.25">
      <c r="B11" s="58"/>
      <c r="D11" s="58"/>
      <c r="E11" s="58"/>
      <c r="G11" s="58"/>
    </row>
    <row r="12" spans="1:7" x14ac:dyDescent="0.25">
      <c r="B12" s="58"/>
      <c r="D12" s="58"/>
      <c r="E12" s="58"/>
      <c r="F12" s="62" t="s">
        <v>117</v>
      </c>
      <c r="G12" s="58">
        <f>ROUND(SUM(D6:D9,G6:G9), -5)</f>
        <v>19800000</v>
      </c>
    </row>
    <row r="13" spans="1:7" x14ac:dyDescent="0.25">
      <c r="B13" s="58"/>
      <c r="E13" s="58"/>
    </row>
  </sheetData>
  <mergeCells count="2">
    <mergeCell ref="A1:G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JShweky</dc:creator>
  <cp:lastModifiedBy>wwrigley</cp:lastModifiedBy>
  <dcterms:created xsi:type="dcterms:W3CDTF">2015-09-17T21:11:36Z</dcterms:created>
  <dcterms:modified xsi:type="dcterms:W3CDTF">2016-03-14T12:38:36Z</dcterms:modified>
</cp:coreProperties>
</file>