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20" yWindow="375" windowWidth="27555" windowHeight="12045"/>
  </bookViews>
  <sheets>
    <sheet name="Cover Page" sheetId="1" r:id="rId1"/>
    <sheet name="Table of Contents" sheetId="2" r:id="rId2"/>
    <sheet name="General Instructions" sheetId="3" r:id="rId3"/>
    <sheet name="Definitions" sheetId="55" r:id="rId4"/>
    <sheet name="Reporting Level" sheetId="54" r:id="rId5"/>
    <sheet name="1a" sheetId="53" r:id="rId6"/>
    <sheet name="1b" sheetId="52" r:id="rId7"/>
    <sheet name="2" sheetId="51" r:id="rId8"/>
    <sheet name="3a" sheetId="50" r:id="rId9"/>
    <sheet name="3b" sheetId="49" r:id="rId10"/>
    <sheet name="3c" sheetId="48" r:id="rId11"/>
    <sheet name="3d" sheetId="47" r:id="rId12"/>
    <sheet name="3e" sheetId="46" r:id="rId13"/>
    <sheet name="3f" sheetId="45" r:id="rId14"/>
    <sheet name="3g" sheetId="44" r:id="rId15"/>
    <sheet name="4a" sheetId="43" r:id="rId16"/>
    <sheet name="4b" sheetId="42" r:id="rId17"/>
    <sheet name="5" sheetId="41" r:id="rId18"/>
    <sheet name="6" sheetId="40" r:id="rId19"/>
    <sheet name="7" sheetId="39" r:id="rId20"/>
    <sheet name="8" sheetId="38" r:id="rId21"/>
    <sheet name="9a" sheetId="37" r:id="rId22"/>
    <sheet name="9b" sheetId="36" r:id="rId23"/>
    <sheet name="10" sheetId="35" r:id="rId24"/>
    <sheet name="11" sheetId="34" r:id="rId25"/>
    <sheet name="12" sheetId="33" r:id="rId26"/>
    <sheet name="13" sheetId="32" r:id="rId27"/>
    <sheet name="14" sheetId="31" r:id="rId28"/>
    <sheet name="PSL for Lists" sheetId="30" state="hidden" r:id="rId29"/>
    <sheet name="Lists" sheetId="29" state="hidden" r:id="rId30"/>
    <sheet name="D-RepLevel" sheetId="28" state="hidden" r:id="rId31"/>
    <sheet name="D-1" sheetId="27" state="hidden" r:id="rId32"/>
    <sheet name="D-2 (Pivot)" sheetId="26" state="hidden" r:id="rId33"/>
    <sheet name="D-3" sheetId="25" state="hidden" r:id="rId34"/>
    <sheet name="D-3b (Pivot)" sheetId="24" state="hidden" r:id="rId35"/>
    <sheet name="D-3c (Pivot)" sheetId="23" state="hidden" r:id="rId36"/>
    <sheet name="D-3d (Pivot)" sheetId="22" state="hidden" r:id="rId37"/>
    <sheet name="D-3e (Pivot)" sheetId="21" state="hidden" r:id="rId38"/>
    <sheet name="D-3f (Pivot)" sheetId="20" state="hidden" r:id="rId39"/>
    <sheet name="D-3bf Consolidated (Pivot)" sheetId="19" state="hidden" r:id="rId40"/>
    <sheet name="D-4a" sheetId="18" state="hidden" r:id="rId41"/>
    <sheet name="D-4b-1 (Pivot)" sheetId="17" state="hidden" r:id="rId42"/>
    <sheet name="D-4b-2 (Pivot)" sheetId="16" state="hidden" r:id="rId43"/>
    <sheet name="D-4b-3 (Pivot)" sheetId="15" state="hidden" r:id="rId44"/>
    <sheet name="D-4b-4 (Pivot)" sheetId="14" state="hidden" r:id="rId45"/>
    <sheet name="D-4b-5 (Pivot)" sheetId="13" state="hidden" r:id="rId46"/>
    <sheet name="D-4b-6 (Pivot)" sheetId="12" state="hidden" r:id="rId47"/>
    <sheet name="D-4b-Consolidated (Pivot)" sheetId="11" state="hidden" r:id="rId48"/>
    <sheet name="D-5 (Pivot)" sheetId="10" state="hidden" r:id="rId49"/>
    <sheet name="D-6ACD" sheetId="9" state="hidden" r:id="rId50"/>
    <sheet name="D-6B (Pivot)" sheetId="8" state="hidden" r:id="rId51"/>
    <sheet name="D-7 (Pivot)" sheetId="7" state="hidden" r:id="rId52"/>
    <sheet name="D-8 (Pivot)" sheetId="6" state="hidden" r:id="rId53"/>
    <sheet name="D-9a" sheetId="5" state="hidden" r:id="rId54"/>
    <sheet name="D-9bA - 9aB (Pivot)" sheetId="4" state="hidden" r:id="rId55"/>
    <sheet name="D-9b-10A-11A-8" sheetId="56" state="hidden" r:id="rId56"/>
    <sheet name="D-10 (Pivot)" sheetId="57" state="hidden" r:id="rId57"/>
    <sheet name="D-11 (Pivot)" sheetId="58" state="hidden" r:id="rId58"/>
    <sheet name="D-Ratios (Pivot)" sheetId="59" state="hidden" r:id="rId59"/>
    <sheet name="D-Risk" sheetId="60" state="hidden" r:id="rId60"/>
    <sheet name="D-12 (Pivot)" sheetId="61" state="hidden" r:id="rId61"/>
    <sheet name="D-13a (Pivot)" sheetId="62" state="hidden" r:id="rId62"/>
    <sheet name="D-13b-14-Comments" sheetId="63" state="hidden" r:id="rId63"/>
  </sheets>
  <definedNames>
    <definedName name="_xlnm._FilterDatabase" localSheetId="16" hidden="1">'4b'!$C$9:$E$220</definedName>
    <definedName name="Agroup">'5'!$AD$10:$AD$15</definedName>
    <definedName name="AllAgencies">Lists!$R$2:$R$42</definedName>
    <definedName name="Bgroup">'5'!$AE$10:$AE$26</definedName>
    <definedName name="Cgroup">'5'!$AF$10:$AF$18</definedName>
    <definedName name="Country">Lists!$H$2:$H$242</definedName>
    <definedName name="CustomerType">Lists!$AA$2:$AA$6</definedName>
    <definedName name="CyberInvestigate">Lists!$AH$2:$AH$5</definedName>
    <definedName name="Dgroup">'5'!$AG$10:$AG$20</definedName>
    <definedName name="DiffWorkforce">Lists!$AF$2:$AF$5</definedName>
    <definedName name="Egroup">'5'!$AH$10:$AH$13</definedName>
    <definedName name="EndUse">Lists!$N$2:$N$5</definedName>
    <definedName name="ExportControl">Lists!$O$2:$O$7</definedName>
    <definedName name="Fgroup">'5'!$AI$10:$AI$16</definedName>
    <definedName name="Foreign">Lists!$H$3:$H$242</definedName>
    <definedName name="Ggroup">'5'!$AJ$10:$AJ$14</definedName>
    <definedName name="Groups">Lists!$V$2:$V$26</definedName>
    <definedName name="Hgroup">'5'!$AK$10:$AK$15</definedName>
    <definedName name="HowMany">Lists!$AB$2:$AB$8</definedName>
    <definedName name="Igroup">'5'!$AL$10:$AL$15</definedName>
    <definedName name="Jgroup">'5'!$AM$10:$AM$13</definedName>
    <definedName name="JVReason">Lists!$L$2:$L$14</definedName>
    <definedName name="Kgroup">'5'!$AN$10:$AN$15</definedName>
    <definedName name="Level">Lists!$Y$2:$Y$4</definedName>
    <definedName name="Lgroup">'5'!$AO$10:$AO$15</definedName>
    <definedName name="LocPar">Lists!$AD$2:$AD$5</definedName>
    <definedName name="MAD">Lists!$J$2:$J$4</definedName>
    <definedName name="Mgroup">'5'!$AP$10:$AP$14</definedName>
    <definedName name="NA">Lists!$S$2:$S$3</definedName>
    <definedName name="NetOps">Lists!$AE$2:$AE$9</definedName>
    <definedName name="Ngroup">'5'!$AQ$10:$AQ$16</definedName>
    <definedName name="number">Lists!$AG$2:$AG$10003</definedName>
    <definedName name="Objectives">Lists!$K$2:$K$11</definedName>
    <definedName name="Ogroup">'5'!$AR$10:$AR$22</definedName>
    <definedName name="OpType">Lists!$AC$2:$AC$5</definedName>
    <definedName name="OtherAgency">Lists!$Q$2:$Q$28</definedName>
    <definedName name="Participation">Lists!$M$2:$M$4</definedName>
    <definedName name="Pgroup">'5'!$AS$10:$AS$18</definedName>
    <definedName name="PossNon">Lists!$AP$2:$AP$4</definedName>
    <definedName name="PrimAdd">Lists!$I$2:$I$3</definedName>
    <definedName name="PrimeSub">Lists!$T$2:$T$4</definedName>
    <definedName name="_xlnm.Print_Area" localSheetId="23">'10'!$B$2:$J$25</definedName>
    <definedName name="_xlnm.Print_Area" localSheetId="24">'11'!$B$2:$H$29</definedName>
    <definedName name="_xlnm.Print_Area" localSheetId="25">'12'!$B$2:$G$30</definedName>
    <definedName name="_xlnm.Print_Area" localSheetId="26">'13'!$B$2:$I$44</definedName>
    <definedName name="_xlnm.Print_Area" localSheetId="27">'14'!$B$2:$D$19</definedName>
    <definedName name="_xlnm.Print_Area" localSheetId="5">'1a'!$B$2:$K$41</definedName>
    <definedName name="_xlnm.Print_Area" localSheetId="6">'1b'!$B$2:$J$42</definedName>
    <definedName name="_xlnm.Print_Area" localSheetId="7">'2'!$B$2:$M$39</definedName>
    <definedName name="_xlnm.Print_Area" localSheetId="8">'3a'!$B$2:$I$32</definedName>
    <definedName name="_xlnm.Print_Area" localSheetId="9">'3b'!$B$2:$H$46</definedName>
    <definedName name="_xlnm.Print_Area" localSheetId="10">'3c'!$B$2:$H$65</definedName>
    <definedName name="_xlnm.Print_Area" localSheetId="11">'3d'!$B$2:$H$55</definedName>
    <definedName name="_xlnm.Print_Area" localSheetId="12">'3e'!$B$2:$H$71</definedName>
    <definedName name="_xlnm.Print_Area" localSheetId="13">'3f'!$B$2:$H$63</definedName>
    <definedName name="_xlnm.Print_Area" localSheetId="14">'3g'!$B$2:$H$9</definedName>
    <definedName name="_xlnm.Print_Area" localSheetId="15">'4a'!$B$2:$F$41</definedName>
    <definedName name="_xlnm.Print_Area" localSheetId="16">'4b'!$B$2:$J$245</definedName>
    <definedName name="_xlnm.Print_Area" localSheetId="17">'5'!$B$2:$O$37</definedName>
    <definedName name="_xlnm.Print_Area" localSheetId="18">'6'!$B$2:$H$41</definedName>
    <definedName name="_xlnm.Print_Area" localSheetId="19">'7'!$B$2:$M$18</definedName>
    <definedName name="_xlnm.Print_Area" localSheetId="20">'8'!$B$2:$F$35</definedName>
    <definedName name="_xlnm.Print_Area" localSheetId="21">'9a'!$B$2:$O$39</definedName>
    <definedName name="_xlnm.Print_Area" localSheetId="22">'9b'!$B$2:$K$44</definedName>
    <definedName name="_xlnm.Print_Area" localSheetId="0">'Cover Page'!$B$2:$B$14</definedName>
    <definedName name="_xlnm.Print_Area" localSheetId="3">Definitions!$B$2:$K$26</definedName>
    <definedName name="_xlnm.Print_Area" localSheetId="2">'General Instructions'!$B$2:$M$16</definedName>
    <definedName name="_xlnm.Print_Area" localSheetId="4">'Reporting Level'!$B$2:$I$26</definedName>
    <definedName name="_xlnm.Print_Area" localSheetId="1">'Table of Contents'!$B$2:$I$22</definedName>
    <definedName name="_xlnm.Print_Titles" localSheetId="16">'4b'!$9:$10</definedName>
    <definedName name="ProductCats">Lists!$U$2:$U$26</definedName>
    <definedName name="ProgramSortStart">Lists!$AK$2</definedName>
    <definedName name="ProgramUnSort">Lists!$AJ$2:$AJ$231</definedName>
    <definedName name="PSLSort">OFFSET(Lists!$AM$2:$AM$211,0,0,SUM(210-COUNTIF(Lists!$AM$2:$AM$211,"#NUM!")),1)</definedName>
    <definedName name="PSLSortStart">Lists!$AM$2</definedName>
    <definedName name="PSLUnSort">Lists!$AL$2:$AL$211</definedName>
    <definedName name="PubPriv">Lists!$F$2:$F$3</definedName>
    <definedName name="Q_RP_A_MultiResponse">'Reporting Level'!$H$5</definedName>
    <definedName name="Q_RP_B_DSSCAGE_01">'Reporting Level'!$D$8</definedName>
    <definedName name="Q_RP_B_DSSCAGE_02">'Reporting Level'!$D$9</definedName>
    <definedName name="Q_RP_B_DSSCAGE_03">'Reporting Level'!$D$10</definedName>
    <definedName name="Q_RP_B_DSSCAGE_04">'Reporting Level'!$D$11</definedName>
    <definedName name="Q_RP_B_DSSCAGE_05">'Reporting Level'!$D$12</definedName>
    <definedName name="Q_RP_B_DSSCAGE_06">'Reporting Level'!$D$13</definedName>
    <definedName name="Q_RP_B_DSSCAGE_07">'Reporting Level'!$D$14</definedName>
    <definedName name="Q_RP_B_DSSCAGE_08">'Reporting Level'!$D$15</definedName>
    <definedName name="Q_RP_B_DSSCAGE_09">'Reporting Level'!$D$16</definedName>
    <definedName name="Q_RP_B_DSSCAGE_10">'Reporting Level'!$D$17</definedName>
    <definedName name="Q_RP_B_DSSCAGE_11">'Reporting Level'!$D$18</definedName>
    <definedName name="Q_RP_B_DSSCAGE_12">'Reporting Level'!$D$19</definedName>
    <definedName name="Q_RP_B_DSSCAGE_13">'Reporting Level'!$D$20</definedName>
    <definedName name="Q_RP_B_DSSCAGE_14">'Reporting Level'!$D$21</definedName>
    <definedName name="Q_RP_B_DSSCAGE_15">'Reporting Level'!$D$22</definedName>
    <definedName name="Q_RP_B_OtherCAGE_01">'Reporting Level'!$F$8</definedName>
    <definedName name="Q_RP_B_OtherCAGE_02">'Reporting Level'!$F$9</definedName>
    <definedName name="Q_RP_B_OtherCAGE_03">'Reporting Level'!$F$10</definedName>
    <definedName name="Q_RP_B_OtherCAGE_04">'Reporting Level'!$F$11</definedName>
    <definedName name="Q_RP_B_OtherCAGE_05">'Reporting Level'!$F$12</definedName>
    <definedName name="Q_RP_B_OtherCAGE_06">'Reporting Level'!$F$13</definedName>
    <definedName name="Q_RP_B_OtherCAGE_07">'Reporting Level'!$F$14</definedName>
    <definedName name="Q_RP_B_OtherCAGE_08">'Reporting Level'!$F$15</definedName>
    <definedName name="Q_RP_B_OtherCAGE_09">'Reporting Level'!$F$16</definedName>
    <definedName name="Q_RP_B_OtherCAGE_10">'Reporting Level'!$F$17</definedName>
    <definedName name="Q_RP_B_OtherCAGE_11">'Reporting Level'!$F$18</definedName>
    <definedName name="Q_RP_B_OtherCAGE_12">'Reporting Level'!$F$19</definedName>
    <definedName name="Q_RP_B_OtherCAGE_13">'Reporting Level'!$F$20</definedName>
    <definedName name="Q_RP_B_OtherCAGE_14">'Reporting Level'!$F$21</definedName>
    <definedName name="Q_RP_B_OtherCAGE_15">'Reporting Level'!$F$22</definedName>
    <definedName name="Q_RP_B_OtherCAGE_16">'Reporting Level'!$H$8</definedName>
    <definedName name="Q_RP_B_OtherCAGE_17">'Reporting Level'!$H$9</definedName>
    <definedName name="Q_RP_B_OtherCAGE_18">'Reporting Level'!$H$10</definedName>
    <definedName name="Q_RP_B_OtherCAGE_19">'Reporting Level'!$H$11</definedName>
    <definedName name="Q_RP_B_OtherCAGE_20">'Reporting Level'!$H$12</definedName>
    <definedName name="Q_RP_B_OtherCAGE_21">'Reporting Level'!$H$13</definedName>
    <definedName name="Q_RP_B_OtherCAGE_22">'Reporting Level'!$H$14</definedName>
    <definedName name="Q_RP_B_OtherCAGE_23">'Reporting Level'!$H$15</definedName>
    <definedName name="Q_RP_B_OtherCAGE_24">'Reporting Level'!$H$16</definedName>
    <definedName name="Q_RP_B_OtherCAGE_25">'Reporting Level'!$H$17</definedName>
    <definedName name="Q_RP_B_OtherCAGE_26">'Reporting Level'!$H$18</definedName>
    <definedName name="Q_RP_B_OtherCAGE_27">'Reporting Level'!$H$19</definedName>
    <definedName name="Q_RP_B_OtherCAGE_28">'Reporting Level'!$H$20</definedName>
    <definedName name="Q_RP_B_OtherCAGE_29">'Reporting Level'!$H$21</definedName>
    <definedName name="Q_RP_B_OtherCAGE_30">'Reporting Level'!$H$22</definedName>
    <definedName name="Q_RP_Comments">'Reporting Level'!$D$24</definedName>
    <definedName name="Q10_A_Classified_Foreign">'10'!$H$9</definedName>
    <definedName name="Q10_A_Classified_Prime">'10'!$H$6</definedName>
    <definedName name="Q10_A_Classified_Sub_Given">'10'!$H$8</definedName>
    <definedName name="Q10_A_Classified_Sub_Here">'10'!$H$7</definedName>
    <definedName name="Q10_B_NumberDD254">'10'!$G$10</definedName>
    <definedName name="Q10_Comments">'10'!$E$23</definedName>
    <definedName name="Q10_Contract01_CAGE">'10'!$E$13</definedName>
    <definedName name="Q10_Contract01_Number">'10'!$D$13</definedName>
    <definedName name="Q10_Contract01_Prod1">'10'!$H$13</definedName>
    <definedName name="Q10_Contract01_Prod2">'10'!$I$13</definedName>
    <definedName name="Q10_Contract01_Prod3">'10'!$J$13</definedName>
    <definedName name="Q10_Contract01_USGCustomer">'10'!$F$13</definedName>
    <definedName name="Q10_Contract01_USGProgram">'10'!$G$13</definedName>
    <definedName name="Q10_Contract02_CAGE">'10'!$E$14</definedName>
    <definedName name="Q10_Contract02_Number">'10'!$D$14</definedName>
    <definedName name="Q10_Contract02_Prod1">'10'!$H$14</definedName>
    <definedName name="Q10_Contract02_Prod2">'10'!$I$14</definedName>
    <definedName name="Q10_Contract02_Prod3">'10'!$J$14</definedName>
    <definedName name="Q10_Contract02_USGCustomer">'10'!$F$14</definedName>
    <definedName name="Q10_Contract02_USGProgram">'10'!$G$14</definedName>
    <definedName name="Q10_Contract03_CAGE">'10'!$E$15</definedName>
    <definedName name="Q10_Contract03_Number">'10'!$D$15</definedName>
    <definedName name="Q10_Contract03_Prod1">'10'!$H$15</definedName>
    <definedName name="Q10_Contract03_Prod2">'10'!$I$15</definedName>
    <definedName name="Q10_Contract03_Prod3">'10'!$J$15</definedName>
    <definedName name="Q10_Contract03_USGCustomer">'10'!$F$15</definedName>
    <definedName name="Q10_Contract03_USGProgram">'10'!$G$15</definedName>
    <definedName name="Q10_Contract04_CAGE">'10'!$E$16</definedName>
    <definedName name="Q10_Contract04_Number">'10'!$D$16</definedName>
    <definedName name="Q10_Contract04_Prod1">'10'!$H$16</definedName>
    <definedName name="Q10_Contract04_Prod2">'10'!$I$16</definedName>
    <definedName name="Q10_Contract04_Prod3">'10'!$J$16</definedName>
    <definedName name="Q10_Contract04_USGCustomer">'10'!$F$16</definedName>
    <definedName name="Q10_Contract04_USGProgram">'10'!$G$16</definedName>
    <definedName name="Q10_Contract05_CAGE">'10'!$E$17</definedName>
    <definedName name="Q10_Contract05_Number">'10'!$D$17</definedName>
    <definedName name="Q10_Contract05_Prod1">'10'!$H$17</definedName>
    <definedName name="Q10_Contract05_Prod2">'10'!$I$17</definedName>
    <definedName name="Q10_Contract05_Prod3">'10'!$J$17</definedName>
    <definedName name="Q10_Contract05_USGCustomer">'10'!$F$17</definedName>
    <definedName name="Q10_Contract05_USGProgram">'10'!$G$17</definedName>
    <definedName name="Q10_Contract06_CAGE">'10'!$E$18</definedName>
    <definedName name="Q10_Contract06_Number">'10'!$D$18</definedName>
    <definedName name="Q10_Contract06_Prod1">'10'!$H$18</definedName>
    <definedName name="Q10_Contract06_Prod2">'10'!$I$18</definedName>
    <definedName name="Q10_Contract06_Prod3">'10'!$J$18</definedName>
    <definedName name="Q10_Contract06_USGCustomer">'10'!$F$18</definedName>
    <definedName name="Q10_Contract06_USGProgram">'10'!$G$18</definedName>
    <definedName name="Q10_Contract07_CAGE">'10'!$E$19</definedName>
    <definedName name="Q10_Contract07_Number">'10'!$D$19</definedName>
    <definedName name="Q10_Contract07_Prod1">'10'!$H$19</definedName>
    <definedName name="Q10_Contract07_Prod2">'10'!$I$19</definedName>
    <definedName name="Q10_Contract07_Prod3">'10'!$J$19</definedName>
    <definedName name="Q10_Contract07_USGCustomer">'10'!$F$19</definedName>
    <definedName name="Q10_Contract07_USGProgram">'10'!$G$19</definedName>
    <definedName name="Q10_Contract08_CAGE">'10'!$E$20</definedName>
    <definedName name="Q10_Contract08_Number">'10'!$D$20</definedName>
    <definedName name="Q10_Contract08_Prod1">'10'!$H$20</definedName>
    <definedName name="Q10_Contract08_Prod2">'10'!$I$20</definedName>
    <definedName name="Q10_Contract08_Prod3">'10'!$J$20</definedName>
    <definedName name="Q10_Contract08_USGCustomer">'10'!$F$20</definedName>
    <definedName name="Q10_Contract08_USGProgram">'10'!$G$20</definedName>
    <definedName name="Q10_Contract09_CAGE">'10'!$E$21</definedName>
    <definedName name="Q10_Contract09_Number">'10'!$D$21</definedName>
    <definedName name="Q10_Contract09_Prod1">'10'!$H$21</definedName>
    <definedName name="Q10_Contract09_Prod2">'10'!$I$21</definedName>
    <definedName name="Q10_Contract09_Prod3">'10'!$J$21</definedName>
    <definedName name="Q10_Contract09_USGCustomer">'10'!$F$21</definedName>
    <definedName name="Q10_Contract09_USGProgram">'10'!$G$21</definedName>
    <definedName name="Q10_Contract10_CAGE">'10'!$E$22</definedName>
    <definedName name="Q10_Contract10_Number">'10'!$D$22</definedName>
    <definedName name="Q10_Contract10_Prod1">'10'!$H$22</definedName>
    <definedName name="Q10_Contract10_Prod2">'10'!$I$22</definedName>
    <definedName name="Q10_Contract10_Prod3">'10'!$J$22</definedName>
    <definedName name="Q10_Contract10_USGCustomer">'10'!$F$22</definedName>
    <definedName name="Q10_Contract10_USGProgram">'10'!$G$22</definedName>
    <definedName name="Q11_Comments">'11'!$E$27</definedName>
    <definedName name="Q11_Expend_Applied_Year1">'11'!$F$12</definedName>
    <definedName name="Q11_Expend_Applied_Year2">'11'!$G$12</definedName>
    <definedName name="Q11_Expend_Applied_Year3">'11'!$H$12</definedName>
    <definedName name="Q11_Expend_Basic_Year1">'11'!$F$11</definedName>
    <definedName name="Q11_Expend_Basic_Year2">'11'!$G$11</definedName>
    <definedName name="Q11_Expend_Basic_Year3">'11'!$H$11</definedName>
    <definedName name="Q11_Expend_PPD_Year1">'11'!$F$13</definedName>
    <definedName name="Q11_Expend_PPD_Year2">'11'!$G$13</definedName>
    <definedName name="Q11_Expend_PPD_Year3">'11'!$H$13</definedName>
    <definedName name="Q11_Expend_Total_Year1">'11'!$F$10</definedName>
    <definedName name="Q11_Expend_Total_Year2">'11'!$G$10</definedName>
    <definedName name="Q11_Expend_Total_Year3">'11'!$H$10</definedName>
    <definedName name="Q11_Funding_Fed_Year1">'11'!$F$19</definedName>
    <definedName name="Q11_Funding_Fed_Year2">'11'!$G$19</definedName>
    <definedName name="Q11_Funding_Fed_Year3">'11'!$H$19</definedName>
    <definedName name="Q11_Funding_IRAD_Year1">'11'!$F$18</definedName>
    <definedName name="Q11_Funding_IRAD_Year2">'11'!$G$18</definedName>
    <definedName name="Q11_Funding_IRAD_Year3">'11'!$H$18</definedName>
    <definedName name="Q11_Funding_Local_Year1">'11'!$F$20</definedName>
    <definedName name="Q11_Funding_Local_Year2">'11'!$G$20</definedName>
    <definedName name="Q11_Funding_Local_Year3">'11'!$H$20</definedName>
    <definedName name="Q11_Funding_NonUS_Year1">'11'!$F$23</definedName>
    <definedName name="Q11_Funding_NonUS_Year2">'11'!$G$23</definedName>
    <definedName name="Q11_Funding_NonUS_Year3">'11'!$H$23</definedName>
    <definedName name="Q11_Funding_Other_Specify">'11'!$E$24</definedName>
    <definedName name="Q11_Funding_Other_Year1">'11'!$F$24</definedName>
    <definedName name="Q11_Funding_Other_Year2">'11'!$G$24</definedName>
    <definedName name="Q11_Funding_Other_Year3">'11'!$H$24</definedName>
    <definedName name="Q11_Funding_Total_Year1">'11'!$F$17</definedName>
    <definedName name="Q11_Funding_Total_Year2">'11'!$G$17</definedName>
    <definedName name="Q11_Funding_Total_Year3">'11'!$H$17</definedName>
    <definedName name="Q11_Funding_Univ_Year1">'11'!$F$21</definedName>
    <definedName name="Q11_Funding_Univ_Year2">'11'!$G$21</definedName>
    <definedName name="Q11_Funding_Univ_Year3">'11'!$H$21</definedName>
    <definedName name="Q11_Funding_USIndustry_Year1">'11'!$F$22</definedName>
    <definedName name="Q11_Funding_USIndustry_Year2">'11'!$G$22</definedName>
    <definedName name="Q11_Funding_USIndustry_Year3">'11'!$H$22</definedName>
    <definedName name="Q11_RD_YN">'11'!$F$4</definedName>
    <definedName name="Q11_Schedule">'11'!$F$7</definedName>
    <definedName name="Q11_Source">'11'!$F$6</definedName>
    <definedName name="Q12_Cash_Year1">'12'!$E$18</definedName>
    <definedName name="Q12_Cash_Year2">'12'!$F$18</definedName>
    <definedName name="Q12_Cash_Year3">'12'!$G$18</definedName>
    <definedName name="Q12_COGS_Year1">'12'!$E$10</definedName>
    <definedName name="Q12_COGS_Year2">'12'!$F$10</definedName>
    <definedName name="Q12_COGS_Year3">'12'!$G$10</definedName>
    <definedName name="Q12_Comments">'12'!$D$28</definedName>
    <definedName name="Q12_CurrentAssets_Year1">'12'!$E$20</definedName>
    <definedName name="Q12_CurrentAssets_Year2">'12'!$F$20</definedName>
    <definedName name="Q12_CurrentAssets_Year3">'12'!$G$20</definedName>
    <definedName name="Q12_CurrentLiab_Year1">'12'!$E$22</definedName>
    <definedName name="Q12_CurrentLiab_Year2">'12'!$F$22</definedName>
    <definedName name="Q12_CurrentLiab_Year3">'12'!$G$22</definedName>
    <definedName name="Q12_EBIT_Year1">'12'!$E$12</definedName>
    <definedName name="Q12_EBIT_Year2">'12'!$F$12</definedName>
    <definedName name="Q12_EBIT_Year3">'12'!$G$12</definedName>
    <definedName name="Q12_Inv_Year1">'12'!$E$19</definedName>
    <definedName name="Q12_Inv_Year2">'12'!$F$19</definedName>
    <definedName name="Q12_Inv_Year3">'12'!$G$19</definedName>
    <definedName name="Q12_NetInc_Year1">'12'!$E$13</definedName>
    <definedName name="Q12_NetInc_Year2">'12'!$F$13</definedName>
    <definedName name="Q12_NetInc_Year3">'12'!$G$13</definedName>
    <definedName name="Q12_NetSales_Year1">'12'!$E$9</definedName>
    <definedName name="Q12_NetSales_Year2">'12'!$F$9</definedName>
    <definedName name="Q12_NetSales_Year3">'12'!$G$9</definedName>
    <definedName name="Q12_OpEx_Year1">Q12_NetSales_Year1-Q12_OpInc_Year1</definedName>
    <definedName name="Q12_OpEx_Year2">Q12_NetSales_Year2-Q12_OpInc_Year2</definedName>
    <definedName name="Q12_OpEx_Year3">Q12_NetSales_Year3-Q12_OpInc_Year3</definedName>
    <definedName name="Q12_OpInc_Year1">'12'!$E$11</definedName>
    <definedName name="Q12_OpInc_Year2">'12'!$F$11</definedName>
    <definedName name="Q12_OpInc_Year3">'12'!$G$11</definedName>
    <definedName name="Q12_OwnersEq_Year1">'12'!$E$25</definedName>
    <definedName name="Q12_OwnersEq_Year2">'12'!$F$25</definedName>
    <definedName name="Q12_OwnersEq_Year3">'12'!$G$25</definedName>
    <definedName name="Q12_RetainedEarn_Year1">'12'!$E$24</definedName>
    <definedName name="Q12_RetainedEarn_Year2">'12'!$F$24</definedName>
    <definedName name="Q12_RetainedEarn_Year3">'12'!$G$24</definedName>
    <definedName name="Q12_Schedule_Balance">'12'!$E$15</definedName>
    <definedName name="Q12_Schedule_Income">'12'!$E$6</definedName>
    <definedName name="Q12_Source_Balance">'12'!$E$14</definedName>
    <definedName name="Q12_Source_Income">'12'!$E$5</definedName>
    <definedName name="Q12_TotalAssets_Year1">'12'!$E$21</definedName>
    <definedName name="Q12_TotalAssets_Year2">'12'!$F$21</definedName>
    <definedName name="Q12_TotalAssets_Year3">'12'!$G$21</definedName>
    <definedName name="Q12_TotalLiab_Year1">'12'!$E$23</definedName>
    <definedName name="Q12_TotalLiab_Year2">'12'!$F$23</definedName>
    <definedName name="Q12_TotalLiab_Year3">'12'!$G$23</definedName>
    <definedName name="Q13_A_AgingEquip_Explain">'13'!$H$7</definedName>
    <definedName name="Q13_A_AgingEquip_Rank">'13'!$G$7</definedName>
    <definedName name="Q13_A_AgingEquip_YN">'13'!$F$7</definedName>
    <definedName name="Q13_A_AgingWorkforce_Explain">'13'!$H$8</definedName>
    <definedName name="Q13_A_AgingWorkforce_Rank">'13'!$G$8</definedName>
    <definedName name="Q13_A_AgingWorkforce_YN">'13'!$F$8</definedName>
    <definedName name="Q13_A_Counterfeits_Explain">'13'!$H$9</definedName>
    <definedName name="Q13_A_Counterfeits_Rank">'13'!$G$9</definedName>
    <definedName name="Q13_A_Counterfeits_YN">'13'!$F$9</definedName>
    <definedName name="Q13_A_Cyber_Explain">'13'!$H$10</definedName>
    <definedName name="Q13_A_Cyber_Rank">'13'!$G$10</definedName>
    <definedName name="Q13_A_Cyber_YN">'13'!$F$10</definedName>
    <definedName name="Q13_A_DomesticComp_Explain">'13'!$H$11</definedName>
    <definedName name="Q13_A_DomesticComp_Rank">'13'!$G$11</definedName>
    <definedName name="Q13_A_DomesticComp_YN">'13'!$F$11</definedName>
    <definedName name="Q13_A_EnviroRegs_Explain">'13'!$H$12</definedName>
    <definedName name="Q13_A_EnviroRegs_Rank">'13'!$G$12</definedName>
    <definedName name="Q13_A_EnviroRegs_YN">'13'!$F$12</definedName>
    <definedName name="Q13_A_ExportControl_Explain">'13'!$H$13</definedName>
    <definedName name="Q13_A_ExportControl_Rank">'13'!$G$13</definedName>
    <definedName name="Q13_A_ExportControl_YN">'13'!$F$13</definedName>
    <definedName name="Q13_A_ForeignComp_Explain">'13'!$H$14</definedName>
    <definedName name="Q13_A_ForeignComp_Rank">'13'!$G$14</definedName>
    <definedName name="Q13_A_ForeignComp_YN">'13'!$F$14</definedName>
    <definedName name="Q13_A_GovtAcquis_Explain">'13'!$H$15</definedName>
    <definedName name="Q13_A_GovtAcquis_Rank">'13'!$G$15</definedName>
    <definedName name="Q13_A_GovtAcquis_YN">'13'!$F$15</definedName>
    <definedName name="Q13_A_GovtRegulatory_Explain">'13'!$H$17</definedName>
    <definedName name="Q13_A_GovtRegulatory_Rank">'13'!$G$17</definedName>
    <definedName name="Q13_A_GovtRegulatory_YN">'13'!$F$17</definedName>
    <definedName name="Q13_A_GovtVolatility_Explain">'13'!$H$16</definedName>
    <definedName name="Q13_A_GovtVolatility_Rank">'13'!$G$16</definedName>
    <definedName name="Q13_A_GovtVolatility_YN">'13'!$F$16</definedName>
    <definedName name="Q13_A_Healthcare_Explain">'13'!$H$18</definedName>
    <definedName name="Q13_A_Healthcare_Rank">'13'!$G$18</definedName>
    <definedName name="Q13_A_Healthcare_YN">'13'!$F$18</definedName>
    <definedName name="Q13_A_InputAvail_Explain">'13'!$H$19</definedName>
    <definedName name="Q13_A_InputAvail_Rank">'13'!$G$19</definedName>
    <definedName name="Q13_A_InputAvail_YN">'13'!$F$19</definedName>
    <definedName name="Q13_A_IP_Explain">'13'!$H$20</definedName>
    <definedName name="Q13_A_IP_Rank">'13'!$G$20</definedName>
    <definedName name="Q13_A_IP_YN">'13'!$F$20</definedName>
    <definedName name="Q13_A_Labor_Explain">'13'!$H$21</definedName>
    <definedName name="Q13_A_Labor_Rank">'13'!$G$21</definedName>
    <definedName name="Q13_A_Labor_YN">'13'!$F$21</definedName>
    <definedName name="Q13_A_Obsol_Explain">'13'!$H$22</definedName>
    <definedName name="Q13_A_Obsol_Rank">'13'!$G$22</definedName>
    <definedName name="Q13_A_Obsol_YN">'13'!$F$22</definedName>
    <definedName name="Q13_A_Other_Explain">'13'!$H$32</definedName>
    <definedName name="Q13_A_Other_Rank">'13'!$G$32</definedName>
    <definedName name="Q13_A_Other_Specify">'13'!$D$32</definedName>
    <definedName name="Q13_A_Other_YN">'13'!$F$32</definedName>
    <definedName name="Q13_A_Pensions_Explain">'13'!$H$23</definedName>
    <definedName name="Q13_A_Pensions_Rank">'13'!$G$23</definedName>
    <definedName name="Q13_A_Pensions_YN">'13'!$F$23</definedName>
    <definedName name="Q13_A_Proximity_Suppliers_Explain">'13'!$H$25</definedName>
    <definedName name="Q13_A_Proximity_Suppliers_Rank">'13'!$G$25</definedName>
    <definedName name="Q13_A_Proximity_Suppliers_YN">'13'!$F$25</definedName>
    <definedName name="Q13_A_ProximityCustomers_Explain">'13'!$H$24</definedName>
    <definedName name="Q13_A_ProximityCustomers_Rank">'13'!$G$24</definedName>
    <definedName name="Q13_A_ProximityCustomers_YN">'13'!$F$24</definedName>
    <definedName name="Q13_A_QualityInput_Explain">'13'!$H$27</definedName>
    <definedName name="Q13_A_QualityInput_Rank">'13'!$G$27</definedName>
    <definedName name="Q13_A_QualityInput_YN">'13'!$F$27</definedName>
    <definedName name="Q13_A_QualsCerts_Explain">'13'!$H$26</definedName>
    <definedName name="Q13_A_QualsCerts_Rank">'13'!$G$26</definedName>
    <definedName name="Q13_A_QualsCerts_YN">'13'!$F$26</definedName>
    <definedName name="Q13_A_RDCosts_Explain">'13'!$H$28</definedName>
    <definedName name="Q13_A_RDCosts_Rank">'13'!$G$28</definedName>
    <definedName name="Q13_A_RDCosts_YN">'13'!$F$28</definedName>
    <definedName name="Q13_A_ReductionUSGDemand_Explain">'13'!$H$29</definedName>
    <definedName name="Q13_A_ReductionUSGDemand_Rank">'13'!$G$29</definedName>
    <definedName name="Q13_A_ReductionUSGDemand_YN">'13'!$F$29</definedName>
    <definedName name="Q13_A_Taxes_Explain">'13'!$H$30</definedName>
    <definedName name="Q13_A_Taxes_Rank">'13'!$G$30</definedName>
    <definedName name="Q13_A_Taxes_YN">'13'!$F$30</definedName>
    <definedName name="Q13_A_WorkerRetention_Explain">'13'!$H$31</definedName>
    <definedName name="Q13_A_WorkerRetention_Rank">'13'!$G$31</definedName>
    <definedName name="Q13_A_WorkerRetention_YN">'13'!$F$31</definedName>
    <definedName name="Q13_B_Cyber">'13'!$E$35</definedName>
    <definedName name="Q13_B_DesignforAssembly">'13'!$E$36</definedName>
    <definedName name="Q13_B_DesignMfg">'13'!$E$37</definedName>
    <definedName name="Q13_B_Energy">'13'!$E$38</definedName>
    <definedName name="Q13_B_ExportAssist">'13'!$E$39</definedName>
    <definedName name="Q13_B_ExportLicense">'13'!$E$40</definedName>
    <definedName name="Q13_B_GovtProcurement">'13'!$E$41</definedName>
    <definedName name="Q13_B_LeanMfg">'13'!$E$34</definedName>
    <definedName name="Q13_B_MarketExpansion">'13'!$I$34</definedName>
    <definedName name="Q13_B_MatSourcing">'13'!$I$41</definedName>
    <definedName name="Q13_B_ProdDesign">'13'!$I$35</definedName>
    <definedName name="Q13_B_Prototyping">'13'!$I$36</definedName>
    <definedName name="Q13_B_QualityControl">'13'!$I$37</definedName>
    <definedName name="Q13_B_SBIR">'13'!$I$38</definedName>
    <definedName name="Q13_B_SupplyChain">'13'!$I$39</definedName>
    <definedName name="Q13_B_TechAccel">'13'!$I$40</definedName>
    <definedName name="Q13_Comments">'13'!$E$42</definedName>
    <definedName name="Q14_Comments">'14'!$B$16</definedName>
    <definedName name="Q14_DateCert">'14'!$C$14</definedName>
    <definedName name="Q14_Hours">'14'!$C$17</definedName>
    <definedName name="Q14_LocName">'14'!$C$7</definedName>
    <definedName name="Q14_Official_Email">'14'!$C$12</definedName>
    <definedName name="Q14_Official_Name">'14'!$C$10</definedName>
    <definedName name="Q14_Official_Phone">'14'!$C$13</definedName>
    <definedName name="Q14_Official_Title">'14'!$C$11</definedName>
    <definedName name="Q14_OrgName">'14'!$C$8</definedName>
    <definedName name="Q14_OrgWeb">'14'!$C$9</definedName>
    <definedName name="Q1a_A_LocAddress">'1a'!$F$7</definedName>
    <definedName name="Q1a_A_LocationName">'1a'!$F$5</definedName>
    <definedName name="Q1a_A_LocCity">'1a'!$F$8</definedName>
    <definedName name="Q1a_A_LocOrgName">'1a'!$F$6</definedName>
    <definedName name="Q1a_A_LocPhone">'1a'!$F$12</definedName>
    <definedName name="Q1a_A_LocState">'1a'!$F$9</definedName>
    <definedName name="Q1a_A_LocWeb">'1a'!$F$11</definedName>
    <definedName name="Q1a_A_LocZip">'1a'!$F$10</definedName>
    <definedName name="Q1a_A_OnlyLoc_YN">'1a'!$G$13</definedName>
    <definedName name="Q1a_B_Parent1_Address">'1a'!$F$17</definedName>
    <definedName name="Q1a_B_Parent1_CAGE">'1a'!$F$22</definedName>
    <definedName name="Q1a_B_Parent1_City">'1a'!$F$18</definedName>
    <definedName name="Q1a_B_Parent1_Country">'1a'!$F$20</definedName>
    <definedName name="Q1a_B_Parent1_Name">'1a'!$F$16</definedName>
    <definedName name="Q1a_B_Parent1_State">'1a'!$F$19</definedName>
    <definedName name="Q1a_B_Parent1_Zip">'1a'!$F$21</definedName>
    <definedName name="Q1a_B_Parent2_Address">'1a'!$I$17</definedName>
    <definedName name="Q1a_B_Parent2_CAGE">'1a'!$I$22</definedName>
    <definedName name="Q1a_B_Parent2_City">'1a'!$I$18</definedName>
    <definedName name="Q1a_B_Parent2_Country">'1a'!$I$20</definedName>
    <definedName name="Q1a_B_Parent2_Name">'1a'!$I$16</definedName>
    <definedName name="Q1a_B_Parent2_State">'1a'!$I$19</definedName>
    <definedName name="Q1a_B_Parent2_Zip">'1a'!$I$21</definedName>
    <definedName name="Q1a_C_PubPriv">'1a'!$G$23</definedName>
    <definedName name="Q1a_C_Ticker">'1a'!$K$23</definedName>
    <definedName name="Q1a_Comments">'1a'!$E$39</definedName>
    <definedName name="Q1a_D_SharedOrg01_Name">'1a'!$C$26</definedName>
    <definedName name="Q1a_D_SharedOrg01_Purpose">'1a'!$G$26</definedName>
    <definedName name="Q1a_D_SharedOrg02_Name">'1a'!$C$27</definedName>
    <definedName name="Q1a_D_SharedOrg02_Purpose">'1a'!$G$27</definedName>
    <definedName name="Q1a_D_SharedOrg03_Name">'1a'!$C$28</definedName>
    <definedName name="Q1a_D_SharedOrg03_Purpose">'1a'!$G$28</definedName>
    <definedName name="Q1a_D_SharedOrg04_Name">'1a'!$C$29</definedName>
    <definedName name="Q1a_D_SharedOrg04_Purpose">'1a'!$G$29</definedName>
    <definedName name="Q1a_D_SharedOrg05_Name">'1a'!$C$30</definedName>
    <definedName name="Q1a_D_SharedOrg05_Purpose">'1a'!$G$30</definedName>
    <definedName name="Q1a_D_SharedOrg06_Name">'1a'!$C$31</definedName>
    <definedName name="Q1a_D_SharedOrg06_Purpose">'1a'!$G$31</definedName>
    <definedName name="Q1a_D_SharedOrg07_Name">'1a'!$C$32</definedName>
    <definedName name="Q1a_D_SharedOrg07_Purpose">'1a'!$G$32</definedName>
    <definedName name="Q1a_D_SharedOrg08_Name">'1a'!$C$33</definedName>
    <definedName name="Q1a_D_SharedOrg08_Purpose">'1a'!$G$33</definedName>
    <definedName name="Q1a_D_SharedOrg09_Name">'1a'!$C$34</definedName>
    <definedName name="Q1a_D_SharedOrg09_Purpose">'1a'!$G$34</definedName>
    <definedName name="Q1a_D_SharedOrg10_Name">'1a'!$C$35</definedName>
    <definedName name="Q1a_D_SharedOrg10_Purpose">'1a'!$G$35</definedName>
    <definedName name="Q1a_D_SharedSpace">'1a'!$K$24</definedName>
    <definedName name="Q1a_E_POC_Email">'1a'!$I$38</definedName>
    <definedName name="Q1a_E_POC_Name">'1a'!$C$38</definedName>
    <definedName name="Q1a_E_POC_Phone">'1a'!$G$38</definedName>
    <definedName name="Q1a_E_POC_State">'1a'!$K$38</definedName>
    <definedName name="Q1a_E_POC_Title">'1a'!$F$38</definedName>
    <definedName name="Q1b_A_Academic">'1b'!$H$5</definedName>
    <definedName name="Q1b_A_Distribution">'1b'!$H$6</definedName>
    <definedName name="Q1b_A_HoldingCo">'1b'!$H$7</definedName>
    <definedName name="Q1b_A_Inspec">'1b'!$H$8</definedName>
    <definedName name="Q1b_A_Integration">'1b'!$H$10</definedName>
    <definedName name="Q1b_A_IT">'1b'!$H$9</definedName>
    <definedName name="Q1b_A_Maintenance">'1b'!$H$11</definedName>
    <definedName name="Q1b_A_MatFinish">'1b'!$H$14</definedName>
    <definedName name="Q1b_A_MatPrep">'1b'!$H$15</definedName>
    <definedName name="Q1b_A_Mfg">'1b'!$H$12</definedName>
    <definedName name="Q1b_A_MfgDev">'1b'!$H$13</definedName>
    <definedName name="Q1b_A_Other">'1b'!$H$21</definedName>
    <definedName name="Q1b_A_Other_Specify">'1b'!$F$21</definedName>
    <definedName name="Q1b_A_ProductDes">'1b'!$H$16</definedName>
    <definedName name="Q1b_A_ProfServices">'1b'!$H$17</definedName>
    <definedName name="Q1b_A_RawMaterial">'1b'!$H$18</definedName>
    <definedName name="Q1b_A_RD">'1b'!$H$19</definedName>
    <definedName name="Q1b_A_Testing">'1b'!$H$20</definedName>
    <definedName name="Q1b_B_DUNS01">'1b'!$E$23</definedName>
    <definedName name="Q1b_B_DUNS02">'1b'!$E$24</definedName>
    <definedName name="Q1b_B_DUNS03">'1b'!$E$25</definedName>
    <definedName name="Q1b_B_DUNS04">'1b'!$E$26</definedName>
    <definedName name="Q1b_B_DUNS05">'1b'!$E$27</definedName>
    <definedName name="Q1b_B_DUNS06">'1b'!$E$28</definedName>
    <definedName name="Q1b_B_DUNS07">'1b'!$E$29</definedName>
    <definedName name="Q1b_B_DUNS08">'1b'!$E$30</definedName>
    <definedName name="Q1b_B_DUNS09">'1b'!$E$31</definedName>
    <definedName name="Q1b_B_DUNS10">'1b'!$E$32</definedName>
    <definedName name="Q1b_B_NAICS01">'1b'!$I$23</definedName>
    <definedName name="Q1b_B_NAICS02">'1b'!$I$24</definedName>
    <definedName name="Q1b_B_NAICS03">'1b'!$I$25</definedName>
    <definedName name="Q1b_B_NAICS04">'1b'!$I$26</definedName>
    <definedName name="Q1b_B_NAICS05">'1b'!$I$27</definedName>
    <definedName name="Q1b_B_NAICS06">'1b'!$I$28</definedName>
    <definedName name="Q1b_B_NAICS07">'1b'!$I$29</definedName>
    <definedName name="Q1b_B_NAICS08">'1b'!$I$30</definedName>
    <definedName name="Q1b_B_NAICS09">'1b'!$I$31</definedName>
    <definedName name="Q1b_B_NAICS10">'1b'!$I$32</definedName>
    <definedName name="Q1b_C_8a">'1b'!$I$35</definedName>
    <definedName name="Q1b_C_HUBZone">'1b'!$I$36</definedName>
    <definedName name="Q1b_C_Minority">'1b'!$I$37</definedName>
    <definedName name="Q1b_C_SB">'1b'!$I$35</definedName>
    <definedName name="Q1b_C_Vet">'1b'!$I$39</definedName>
    <definedName name="Q1b_C_Woman">'1b'!$I$38</definedName>
    <definedName name="Q1b_Comments">'1b'!$E$40</definedName>
    <definedName name="Q2_A_TotalAcq">'2'!$K$5</definedName>
    <definedName name="Q2_B_TotalJV">'2'!$K$19</definedName>
    <definedName name="Q2_Comments">'2'!$E$37</definedName>
    <definedName name="Q3a_A_RawMat">'3a'!$I$6</definedName>
    <definedName name="Q3a_B_Electronics">'3a'!$I$7</definedName>
    <definedName name="Q3a_C_MfgEquip">'3a'!$I$8</definedName>
    <definedName name="Q3a_D_Lasers">'3a'!$I$9</definedName>
    <definedName name="Q3a_E_DirectedEnergy">'3a'!$I$10</definedName>
    <definedName name="Q3a_F_Optics">'3a'!$I$11</definedName>
    <definedName name="Q3a_G_AcousticSensors">'3a'!$I$12</definedName>
    <definedName name="Q3a_H_Positioning">'3a'!$I$13</definedName>
    <definedName name="Q3a_I_Radars">'3a'!$I$14</definedName>
    <definedName name="Q3a_J_SigControl">'3a'!$I$15</definedName>
    <definedName name="Q3a_K_Aero">'3a'!$I$16</definedName>
    <definedName name="Q3a_L_Space">'3a'!$I$17</definedName>
    <definedName name="Q3a_M_Marine">'3a'!$I$18</definedName>
    <definedName name="Q3a_N_Ground">'3a'!$I$19</definedName>
    <definedName name="Q3a_O_Armaments">'3a'!$I$20</definedName>
    <definedName name="Q3a_P_EnergySystems">'3a'!$I$21</definedName>
    <definedName name="Q3a_Q_Nuclear">'3a'!$I$22</definedName>
    <definedName name="Q3a_R_Bio">'3a'!$I$23</definedName>
    <definedName name="Q3a_S_Chem">'3a'!$I$24</definedName>
    <definedName name="Q3a_T_Emerging">'3a'!$I$25</definedName>
    <definedName name="Q3a_U_Agri">'3a'!$I$26</definedName>
    <definedName name="Q3a_V_Medical">'3a'!$I$27</definedName>
    <definedName name="Q3a_W_C4">'3a'!$I$28</definedName>
    <definedName name="Q3a_X_Software">'3a'!$I$29</definedName>
    <definedName name="Q3a_Y_Services">'3a'!$I$30</definedName>
    <definedName name="Q3b_A1_Participation">'3b'!$C$8</definedName>
    <definedName name="Q3b_A2_Participation">'3b'!$C$9</definedName>
    <definedName name="Q3b_A3_Participation">'3b'!$C$10</definedName>
    <definedName name="Q3b_A4_Participation">'3b'!$C$11</definedName>
    <definedName name="Q3b_A5_Participation">'3b'!$C$12</definedName>
    <definedName name="Q3b_A6_Participation">'3b'!$C$13</definedName>
    <definedName name="Q3b_B1_Participation">'3b'!$C$16</definedName>
    <definedName name="Q3b_B10_Participation">'3b'!$C$25</definedName>
    <definedName name="Q3b_B11_Participation">'3b'!$C$26</definedName>
    <definedName name="Q3b_B12_Participation">'3b'!$C$27</definedName>
    <definedName name="Q3b_B13_Participation">'3b'!$C$28</definedName>
    <definedName name="Q3b_B14_Participation">'3b'!$C$29</definedName>
    <definedName name="Q3b_B15_Participation">'3b'!$C$30</definedName>
    <definedName name="Q3b_B16_Participation">'3b'!$C$31</definedName>
    <definedName name="Q3b_B17_Participation">'3b'!$C$32</definedName>
    <definedName name="Q3b_B2_Participation">'3b'!$C$17</definedName>
    <definedName name="Q3b_B3_Participation">'3b'!$C$18</definedName>
    <definedName name="Q3b_B4_Participation">'3b'!$C$19</definedName>
    <definedName name="Q3b_B5_Participation">'3b'!$C$20</definedName>
    <definedName name="Q3b_B6_Participation">'3b'!$C$21</definedName>
    <definedName name="Q3b_B7_Participation">'3b'!$C$22</definedName>
    <definedName name="Q3b_B8_Participation">'3b'!$C$23</definedName>
    <definedName name="Q3b_B9_Participation">'3b'!$C$24</definedName>
    <definedName name="Q3b_C1_Participation">'3b'!$C$35</definedName>
    <definedName name="Q3b_C2_Participation">'3b'!$C$36</definedName>
    <definedName name="Q3b_C3_Participation">'3b'!$C$37</definedName>
    <definedName name="Q3b_C4_Participation">'3b'!$C$38</definedName>
    <definedName name="Q3b_C5_Participation">'3b'!$C$39</definedName>
    <definedName name="Q3b_C6_Participation">'3b'!$C$40</definedName>
    <definedName name="Q3b_C7_Participation">'3b'!$C$41</definedName>
    <definedName name="Q3b_C8_Participation">'3b'!$C$42</definedName>
    <definedName name="Q3b_C9_Participation">'3b'!$C$43</definedName>
    <definedName name="Q3b_Comments">'3b'!$C$44</definedName>
    <definedName name="Q3b_D1_Participation">'3c'!$C$8</definedName>
    <definedName name="Q3b_D10_Participation">'3c'!$C$17</definedName>
    <definedName name="Q3b_D11_Participation">'3c'!$C$18</definedName>
    <definedName name="Q3b_D2_Participation">'3c'!$C$9</definedName>
    <definedName name="Q3b_D3_Participation">'3c'!$C$10</definedName>
    <definedName name="Q3b_D4_Participation">'3c'!$C$11</definedName>
    <definedName name="Q3b_D5_Participation">'3c'!$C$12</definedName>
    <definedName name="Q3b_D6_Participation">'3c'!$C$13</definedName>
    <definedName name="Q3b_D7_Participation">'3c'!$C$14</definedName>
    <definedName name="Q3b_D8_Participation">'3c'!$C$15</definedName>
    <definedName name="Q3b_D9_Participation">'3c'!$C$16</definedName>
    <definedName name="Q3b_E1_Participation">'3c'!$C$21</definedName>
    <definedName name="Q3b_E2_Participation">'3c'!$C$22</definedName>
    <definedName name="Q3b_E3_Participation">'3c'!$C$23</definedName>
    <definedName name="Q3b_E4_Participation">'3c'!$C$24</definedName>
    <definedName name="Q3b_F1_Participation">'3c'!$C$27</definedName>
    <definedName name="Q3b_F2_Participation">'3c'!$C$28</definedName>
    <definedName name="Q3b_F3_Participation">'3c'!$C$29</definedName>
    <definedName name="Q3b_F4_Participation">'3c'!$C$30</definedName>
    <definedName name="Q3b_F5_Participation">'3c'!$C$31</definedName>
    <definedName name="Q3b_F6_Participation">'3c'!$C$32</definedName>
    <definedName name="Q3b_F7_Participation">'3c'!$C$33</definedName>
    <definedName name="Q3b_G1_Participation">'3c'!$C$36</definedName>
    <definedName name="Q3b_G2_Participation">'3c'!$C$37</definedName>
    <definedName name="Q3b_G3_Participation">'3c'!$C$38</definedName>
    <definedName name="Q3b_G4_Participation">'3c'!$C$39</definedName>
    <definedName name="Q3b_G5_Participation">'3c'!$C$40</definedName>
    <definedName name="Q3b_H1_Participation">'3c'!$C$43</definedName>
    <definedName name="Q3b_H2_Participation">'3c'!$C$44</definedName>
    <definedName name="Q3b_H3_Participation">'3c'!$C$45</definedName>
    <definedName name="Q3b_H4_Participation">'3c'!$C$46</definedName>
    <definedName name="Q3b_H5_Participation">'3c'!$C$47</definedName>
    <definedName name="Q3b_H6_Participation">'3c'!$C$48</definedName>
    <definedName name="Q3b_I1_Participation">'3c'!$C$51</definedName>
    <definedName name="Q3b_I2_Participation">'3c'!$C$52</definedName>
    <definedName name="Q3b_I3_Participation">'3c'!$C$53</definedName>
    <definedName name="Q3b_I4_Participation">'3c'!$C$54</definedName>
    <definedName name="Q3b_I5_Participation">'3c'!$C$55</definedName>
    <definedName name="Q3b_I6_Participation">'3c'!$C$56</definedName>
    <definedName name="Q3b_J1_Participation">'3c'!$C$59</definedName>
    <definedName name="Q3b_J2_Participation">'3c'!$C$60</definedName>
    <definedName name="Q3b_J3_Participation">'3c'!$C$61</definedName>
    <definedName name="Q3b_J4_Participation">'3c'!$C$62</definedName>
    <definedName name="Q3b_K1_Participation">'3d'!$C$8</definedName>
    <definedName name="Q3b_K2_Participation">'3d'!$C$9</definedName>
    <definedName name="Q3b_K3_Participation">'3d'!$C$10</definedName>
    <definedName name="Q3b_K4_Participation">'3d'!$C$11</definedName>
    <definedName name="Q3b_K5_Participation">'3d'!$C$12</definedName>
    <definedName name="Q3b_K6_Participation">'3d'!$C$13</definedName>
    <definedName name="Q3b_L1_Participation">'3d'!$C$16</definedName>
    <definedName name="Q3b_L2_Participation">'3d'!$C$17</definedName>
    <definedName name="Q3b_L3_Participation">'3d'!$C$18</definedName>
    <definedName name="Q3b_L4_Participation">'3d'!$C$19</definedName>
    <definedName name="Q3b_L5_Participation">'3d'!$C$20</definedName>
    <definedName name="Q3b_L6_Participation">'3d'!$C$21</definedName>
    <definedName name="Q3b_M1_Participation">'3d'!$C$24</definedName>
    <definedName name="Q3b_M2_Participation">'3d'!$C$25</definedName>
    <definedName name="Q3b_M3_Participation">'3d'!$C$26</definedName>
    <definedName name="Q3b_M4_Participation">'3d'!$C$27</definedName>
    <definedName name="Q3b_M5_Participation">'3d'!$C$28</definedName>
    <definedName name="Q3b_N1_Participation">'3d'!$C$31</definedName>
    <definedName name="Q3b_N2_Participation">'3d'!$C$32</definedName>
    <definedName name="Q3b_N3_Participation">'3d'!$C$33</definedName>
    <definedName name="Q3b_N4_Participation">'3d'!$C$34</definedName>
    <definedName name="Q3b_N5_Participation">'3d'!$C$35</definedName>
    <definedName name="Q3b_N6_Participation">'3d'!$C$36</definedName>
    <definedName name="Q3b_N7_Participation">'3d'!$C$37</definedName>
    <definedName name="Q3b_O1_Participation">'3d'!$C$40</definedName>
    <definedName name="Q3b_O10_Participation">'3d'!$C$49</definedName>
    <definedName name="Q3b_O11_Participation">'3d'!$C$50</definedName>
    <definedName name="Q3b_O12_Participation">'3d'!$C$51</definedName>
    <definedName name="Q3b_O13_Participation">'3d'!$C$52</definedName>
    <definedName name="Q3b_O2_Participation">'3d'!$C$41</definedName>
    <definedName name="Q3b_O3_Participation">'3d'!$C$42</definedName>
    <definedName name="Q3b_O4_Participation">'3d'!$C$43</definedName>
    <definedName name="Q3b_O5_Participation">'3d'!$C$44</definedName>
    <definedName name="Q3b_O6_Participation">'3d'!$C$45</definedName>
    <definedName name="Q3b_O7_Participation">'3d'!$C$46</definedName>
    <definedName name="Q3b_O8_Participation">'3d'!$C$47</definedName>
    <definedName name="Q3b_O9_Participation">'3d'!$C$48</definedName>
    <definedName name="Q3b_P1_Participation">'3e'!$C$8</definedName>
    <definedName name="Q3b_P2_Participation">'3e'!$C$9</definedName>
    <definedName name="Q3b_P3_Participation">'3e'!$C$10</definedName>
    <definedName name="Q3b_P4_Participation">'3e'!$C$11</definedName>
    <definedName name="Q3b_P5_Participation">'3e'!$C$12</definedName>
    <definedName name="Q3b_P6_Participation">'3e'!$C$13</definedName>
    <definedName name="Q3b_P7_Participation">'3e'!$C$14</definedName>
    <definedName name="Q3b_P8_Participation">'3e'!$C$15</definedName>
    <definedName name="Q3b_P9_Participation">'3e'!$C$16</definedName>
    <definedName name="Q3b_Q1_Participation">'3e'!$C$19</definedName>
    <definedName name="Q3b_Q2_Participation">'3e'!$C$20</definedName>
    <definedName name="Q3b_Q3_Participation">'3e'!$C$21</definedName>
    <definedName name="Q3b_Q4_Participation">'3e'!$C$22</definedName>
    <definedName name="Q3b_Q5_Participation">'3e'!$C$23</definedName>
    <definedName name="Q3b_Q6_Participation">'3e'!$C$24</definedName>
    <definedName name="Q3b_Q7_Participation">'3e'!$C$25</definedName>
    <definedName name="Q3b_Q8_Participation">'3e'!$C$26</definedName>
    <definedName name="Q3b_R1_Participation">'3e'!$C$29</definedName>
    <definedName name="Q3b_R2_Participation">'3e'!$C$30</definedName>
    <definedName name="Q3b_R3_Participation">'3e'!$C$31</definedName>
    <definedName name="Q3b_R4_Participation">'3e'!$C$32</definedName>
    <definedName name="Q3b_R5_Participation">'3e'!$C$33</definedName>
    <definedName name="Q3b_R6_Participation">'3e'!$C$34</definedName>
    <definedName name="Q3b_R7_Participation">'3e'!$C$35</definedName>
    <definedName name="Q3b_S1_Participation">'3e'!$C$38</definedName>
    <definedName name="Q3b_S2_Participation">'3e'!$C$39</definedName>
    <definedName name="Q3b_S3_Participation">'3e'!$C$40</definedName>
    <definedName name="Q3b_S4_Participation">'3e'!$C$41</definedName>
    <definedName name="Q3b_S5_Participation">'3e'!$C$42</definedName>
    <definedName name="Q3b_T1_Participation">'3e'!$C$45</definedName>
    <definedName name="Q3b_T2_Participation">'3e'!$C$46</definedName>
    <definedName name="Q3b_T3_Participation">'3e'!$C$47</definedName>
    <definedName name="Q3b_T4_Participation">'3e'!$C$48</definedName>
    <definedName name="Q3b_T5_Participation">'3e'!$C$49</definedName>
    <definedName name="Q3b_T6_Participation">'3e'!$C$50</definedName>
    <definedName name="Q3b_T7_Participation">'3e'!$C$51</definedName>
    <definedName name="Q3b_U1_Participation">'3e'!$C$54</definedName>
    <definedName name="Q3b_U2_Participation">'3e'!$C$55</definedName>
    <definedName name="Q3b_U3_Participation">'3e'!$C$56</definedName>
    <definedName name="Q3b_U4_Participation">'3e'!$C$57</definedName>
    <definedName name="Q3b_U5_Participation">'3e'!$C$58</definedName>
    <definedName name="Q3b_U6_Participation">'3e'!$C$59</definedName>
    <definedName name="Q3b_V1_Participation">'3e'!$C$62</definedName>
    <definedName name="Q3b_V2_Participation">'3e'!$C$63</definedName>
    <definedName name="Q3b_V3_Participation">'3e'!$C$64</definedName>
    <definedName name="Q3b_V4_Participation">'3e'!$C$65</definedName>
    <definedName name="Q3b_V5_Participation">'3e'!$C$66</definedName>
    <definedName name="Q3b_V6_Participation">'3e'!$C$67</definedName>
    <definedName name="Q3b_V7_Participation">'3e'!$C$68</definedName>
    <definedName name="Q3b_W1_Participation">'3f'!$C$8</definedName>
    <definedName name="Q3b_W10_Participation">'3f'!$C$17</definedName>
    <definedName name="Q3b_W2_Participation">'3f'!$C$9</definedName>
    <definedName name="Q3b_W3_Participation">'3f'!$C$10</definedName>
    <definedName name="Q3b_W4_Participation">'3f'!$C$11</definedName>
    <definedName name="Q3b_W5_Participation">'3f'!$C$12</definedName>
    <definedName name="Q3b_W6_Participation">'3f'!$C$13</definedName>
    <definedName name="Q3b_W7_Participation">'3f'!$C$14</definedName>
    <definedName name="Q3b_W8_Participation">'3f'!$C$15</definedName>
    <definedName name="Q3b_W9_Participation">'3f'!$C$16</definedName>
    <definedName name="Q3b_X1_Participation">'3f'!$C$20</definedName>
    <definedName name="Q3b_X10_Participation">'3f'!$C$29</definedName>
    <definedName name="Q3b_X11_Participation">'3f'!$C$30</definedName>
    <definedName name="Q3b_X12_Participation">'3f'!$C$31</definedName>
    <definedName name="Q3b_X13_Participation">'3f'!$C$32</definedName>
    <definedName name="Q3b_X2_Participation">'3f'!$C$21</definedName>
    <definedName name="Q3b_X3_Participation">'3f'!$C$22</definedName>
    <definedName name="Q3b_X4_Participation">'3f'!$C$23</definedName>
    <definedName name="Q3b_X5_Participation">'3f'!$C$24</definedName>
    <definedName name="Q3b_X6_Participation">'3f'!$C$25</definedName>
    <definedName name="Q3b_X7_Participation">'3f'!$C$26</definedName>
    <definedName name="Q3b_X8_Participation">'3f'!$C$27</definedName>
    <definedName name="Q3b_X9_Participation">'3f'!$C$28</definedName>
    <definedName name="Q3b_Y1_Participation">'3f'!$C$35</definedName>
    <definedName name="Q3b_Y10_Participation">'3f'!$C$44</definedName>
    <definedName name="Q3b_Y11_Participation">'3f'!$C$45</definedName>
    <definedName name="Q3b_Y12_Participation">'3f'!$C$46</definedName>
    <definedName name="Q3b_Y13_Participation">'3f'!$C$47</definedName>
    <definedName name="Q3b_Y14_Participation">'3f'!$C$48</definedName>
    <definedName name="Q3b_Y15_Participation">'3f'!$C$49</definedName>
    <definedName name="Q3b_Y16_Participation">'3f'!$C$50</definedName>
    <definedName name="Q3b_Y17_Participation">'3f'!$C$51</definedName>
    <definedName name="Q3b_Y18_Participation">'3f'!$C$52</definedName>
    <definedName name="Q3b_Y19_Participation">'3f'!$C$53</definedName>
    <definedName name="Q3b_Y2_Participation">'3f'!$C$36</definedName>
    <definedName name="Q3b_Y20_Participation">'3f'!$C$54</definedName>
    <definedName name="Q3b_Y21_Participation">'3f'!$C$55</definedName>
    <definedName name="Q3b_Y22_Participation">'3f'!$C$56</definedName>
    <definedName name="Q3b_Y23_Participation">'3f'!$C$57</definedName>
    <definedName name="Q3b_Y24_Participation">'3f'!$C$58</definedName>
    <definedName name="Q3b_Y25_Participation">'3f'!$C$59</definedName>
    <definedName name="Q3b_Y26_Participation">'3f'!$C$60</definedName>
    <definedName name="Q3b_Y3_Participation">'3f'!$C$37</definedName>
    <definedName name="Q3b_Y4_Participation">'3f'!$C$38</definedName>
    <definedName name="Q3b_Y5_Participation">'3f'!$C$39</definedName>
    <definedName name="Q3b_Y6_Participation">'3f'!$C$40</definedName>
    <definedName name="Q3b_Y7_Participation">'3f'!$C$41</definedName>
    <definedName name="Q3b_Y8_Participation">'3f'!$C$42</definedName>
    <definedName name="Q3b_Y9_Participation">'3f'!$C$43</definedName>
    <definedName name="Q3c_Comments">'3c'!$C$63</definedName>
    <definedName name="Q3d_Comments">'3d'!$C$53</definedName>
    <definedName name="Q3e_Comments">'3e'!$C$69</definedName>
    <definedName name="Q3f_Comments">'3f'!$C$61</definedName>
    <definedName name="Q3g_Comments">'3g'!$C$7</definedName>
    <definedName name="Q3g_Dependent_Explain">'3g'!$C$6</definedName>
    <definedName name="Q3g_Dependent_YN">'3g'!$F$5</definedName>
    <definedName name="Q3g_PrimaryProduct">'3g'!$F$4</definedName>
    <definedName name="Q4a_Army_Pct">'4a'!$F$7</definedName>
    <definedName name="Q4a_Army_Support">'4a'!$E$7</definedName>
    <definedName name="Q4a_Comments">'4a'!$D$39</definedName>
    <definedName name="Q4a_DARPA_Pct">'4a'!$F$10</definedName>
    <definedName name="Q4a_DARPA_Support">'4a'!$E$10</definedName>
    <definedName name="Q4a_DHS_Pct">'4a'!$F$12</definedName>
    <definedName name="Q4a_DHS_Support">'4a'!$E$12</definedName>
    <definedName name="Q4a_DOE_Pct">'4a'!$F$15</definedName>
    <definedName name="Q4a_DOE_Support">'4a'!$E$15</definedName>
    <definedName name="Q4a_Intel_Pct">'4a'!$F$14</definedName>
    <definedName name="Q4a_Intel_Support">'4a'!$E$14</definedName>
    <definedName name="Q4a_MDA_Pct">'4a'!$F$11</definedName>
    <definedName name="Q4a_MDA_Support">'4a'!$E$11</definedName>
    <definedName name="Q4a_NASA_Pct">'4a'!$F$13</definedName>
    <definedName name="Q4a_NASA_Support">'4a'!$E$13</definedName>
    <definedName name="Q4a_Navy_Pct">'4a'!$F$6</definedName>
    <definedName name="Q4a_Navy_Support">'4a'!$E$6</definedName>
    <definedName name="Q4a_Other1_Pct">'4a'!$F$17</definedName>
    <definedName name="Q4a_Other1_Select">'4a'!$D$17</definedName>
    <definedName name="Q4a_Other1_Support">'4a'!$E$17</definedName>
    <definedName name="Q4a_Other10_Pct">'4a'!$F$26</definedName>
    <definedName name="Q4a_Other10_Select">'4a'!$D$26</definedName>
    <definedName name="Q4a_Other10_Support">'4a'!$E$26</definedName>
    <definedName name="Q4a_Other2_Pct">'4a'!$F$18</definedName>
    <definedName name="Q4a_Other2_Select">'4a'!$D$18</definedName>
    <definedName name="Q4a_Other2_Support">'4a'!$E$18</definedName>
    <definedName name="Q4a_Other3_Pct">'4a'!$F$19</definedName>
    <definedName name="Q4a_Other3_Select">'4a'!$D$19</definedName>
    <definedName name="Q4a_Other3_Support">'4a'!$E$19</definedName>
    <definedName name="Q4a_Other4_Pct">'4a'!$F$20</definedName>
    <definedName name="Q4a_Other4_Select">'4a'!$D$20</definedName>
    <definedName name="Q4a_Other4_Support">'4a'!$E$20</definedName>
    <definedName name="Q4a_Other5_Pct">'4a'!$F$21</definedName>
    <definedName name="Q4a_Other5_Select">'4a'!$D$21</definedName>
    <definedName name="Q4a_Other5_Support">'4a'!$E$21</definedName>
    <definedName name="Q4a_Other6_Pct">'4a'!$F$22</definedName>
    <definedName name="Q4a_Other6_Select">'4a'!$D$22</definedName>
    <definedName name="Q4a_Other6_Support">'4a'!$E$22</definedName>
    <definedName name="Q4a_Other7_Pct">'4a'!$F$23</definedName>
    <definedName name="Q4a_Other7_Select">'4a'!$D$23</definedName>
    <definedName name="Q4a_Other7_Support">'4a'!$E$23</definedName>
    <definedName name="Q4a_Other8_Pct">'4a'!$F$24</definedName>
    <definedName name="Q4a_Other8_Select">'4a'!$D$24</definedName>
    <definedName name="Q4a_Other8_Support">'4a'!$E$24</definedName>
    <definedName name="Q4a_Other9_Pct">'4a'!$F$25</definedName>
    <definedName name="Q4a_Other9_Select">'4a'!$D$25</definedName>
    <definedName name="Q4a_Other9_Support">'4a'!$E$25</definedName>
    <definedName name="Q4a_OtherWrite1_Pct">'4a'!$F$27</definedName>
    <definedName name="Q4a_OtherWrite1_Select">'4a'!$D$27</definedName>
    <definedName name="Q4a_OtherWrite1_Support">'4a'!$E$27</definedName>
    <definedName name="Q4a_OtherWrite2_Pct">'4a'!$F$28</definedName>
    <definedName name="Q4a_OtherWrite2_Select">'4a'!$D$28</definedName>
    <definedName name="Q4a_OtherWrite2_Support">'4a'!$E$28</definedName>
    <definedName name="Q4a_OtherWrite3_Pct">'4a'!$F$29</definedName>
    <definedName name="Q4a_OtherWrite3_Select">'4a'!$D$29</definedName>
    <definedName name="Q4a_OtherWrite3_Support">'4a'!$E$29</definedName>
    <definedName name="Q4a_State_Pct">'4a'!$F$16</definedName>
    <definedName name="Q4a_State_Support">'4a'!$E$16</definedName>
    <definedName name="Q4a_USAF_Pct">'4a'!$F$8</definedName>
    <definedName name="Q4a_USAF_Support">'4a'!$E$8</definedName>
    <definedName name="Q4a_USMC_Pct">'4a'!$F$9</definedName>
    <definedName name="Q4a_USMC_Support">'4a'!$E$9</definedName>
    <definedName name="Q4b_001_Participation">'4b'!$E$11</definedName>
    <definedName name="Q4b_002_Participation">'4b'!$E$12</definedName>
    <definedName name="Q4b_003_Participation">'4b'!$E$13</definedName>
    <definedName name="Q4b_004_Participation">'4b'!$E$14</definedName>
    <definedName name="Q4b_005_Participation">'4b'!$E$15</definedName>
    <definedName name="Q4b_006_Participation">'4b'!$E$16</definedName>
    <definedName name="Q4b_007_Participation">'4b'!$E$17</definedName>
    <definedName name="Q4b_008_Participation">'4b'!$E$18</definedName>
    <definedName name="Q4b_009_Participation">'4b'!$E$19</definedName>
    <definedName name="Q4b_010_Participation">'4b'!$E$20</definedName>
    <definedName name="Q4b_011_Participation">'4b'!$E$21</definedName>
    <definedName name="Q4b_012_Participation">'4b'!$E$22</definedName>
    <definedName name="Q4b_013_Participation">'4b'!$E$23</definedName>
    <definedName name="Q4b_014_Participation">'4b'!$E$24</definedName>
    <definedName name="Q4b_015_Participation">'4b'!$E$25</definedName>
    <definedName name="Q4b_016_Participation">'4b'!$E$26</definedName>
    <definedName name="Q4b_017_Participation">'4b'!$E$27</definedName>
    <definedName name="Q4b_018_Participation">'4b'!$E$28</definedName>
    <definedName name="Q4b_019_Participation">'4b'!$E$29</definedName>
    <definedName name="Q4b_020_Participation">'4b'!$E$30</definedName>
    <definedName name="Q4b_021_Participation">'4b'!$E$31</definedName>
    <definedName name="Q4b_022_Participation">'4b'!$E$32</definedName>
    <definedName name="Q4b_023_Participation">'4b'!$E$33</definedName>
    <definedName name="Q4b_024_Participation">'4b'!$E$34</definedName>
    <definedName name="Q4b_025_Participation">'4b'!$E$35</definedName>
    <definedName name="Q4b_026_Participation">'4b'!$E$36</definedName>
    <definedName name="Q4b_027_Participation">'4b'!$E$37</definedName>
    <definedName name="Q4b_028_Participation">'4b'!$E$38</definedName>
    <definedName name="Q4b_029_Participation">'4b'!$E$39</definedName>
    <definedName name="Q4b_030_Participation">'4b'!$E$40</definedName>
    <definedName name="Q4b_031_Participation">'4b'!$E$41</definedName>
    <definedName name="Q4b_032_Participation">'4b'!$E$42</definedName>
    <definedName name="Q4b_033_Participation">'4b'!$E$43</definedName>
    <definedName name="Q4b_034_Participation">'4b'!$E$44</definedName>
    <definedName name="Q4b_035_Participation">'4b'!$E$45</definedName>
    <definedName name="Q4b_036_Participation">'4b'!$E$46</definedName>
    <definedName name="Q4b_037_Participation">'4b'!$E$47</definedName>
    <definedName name="Q4b_038_Participation">'4b'!$E$48</definedName>
    <definedName name="Q4b_039_Participation">'4b'!$E$49</definedName>
    <definedName name="Q4b_040_Participation">'4b'!$E$50</definedName>
    <definedName name="Q4b_041_Participation">'4b'!$E$51</definedName>
    <definedName name="Q4b_042_Participation">'4b'!$E$52</definedName>
    <definedName name="Q4b_043_Participation">'4b'!$E$53</definedName>
    <definedName name="Q4b_044_Participation">'4b'!$E$54</definedName>
    <definedName name="Q4b_045_Participation">'4b'!$E$55</definedName>
    <definedName name="Q4b_046_Participation">'4b'!$E$56</definedName>
    <definedName name="Q4b_047_Participation">'4b'!$E$57</definedName>
    <definedName name="Q4b_048_Participation">'4b'!$E$58</definedName>
    <definedName name="Q4b_049_Participation">'4b'!$E$59</definedName>
    <definedName name="Q4b_050_Participation">'4b'!$E$60</definedName>
    <definedName name="Q4b_051_Participation">'4b'!$E$61</definedName>
    <definedName name="Q4b_052_Participation">'4b'!$E$62</definedName>
    <definedName name="Q4b_053_Participation">'4b'!$E$63</definedName>
    <definedName name="Q4b_054_Participation">'4b'!$E$64</definedName>
    <definedName name="Q4b_055_Participation">'4b'!$E$65</definedName>
    <definedName name="Q4b_056_Participation">'4b'!$E$66</definedName>
    <definedName name="Q4b_057_Participation">'4b'!$E$67</definedName>
    <definedName name="Q4b_058_Participation">'4b'!$E$68</definedName>
    <definedName name="Q4b_059_Participation">'4b'!$E$69</definedName>
    <definedName name="Q4b_060_Participation">'4b'!$E$70</definedName>
    <definedName name="Q4b_061_Participation">'4b'!$E$71</definedName>
    <definedName name="Q4b_062_Participation">'4b'!$E$72</definedName>
    <definedName name="Q4b_063_Participation">'4b'!$E$73</definedName>
    <definedName name="Q4b_064_Participation">'4b'!$E$74</definedName>
    <definedName name="Q4b_065_Participation">'4b'!$E$75</definedName>
    <definedName name="Q4b_066_Participation">'4b'!$E$76</definedName>
    <definedName name="Q4b_067_Participation">'4b'!$E$77</definedName>
    <definedName name="Q4b_068_Participation">'4b'!$E$78</definedName>
    <definedName name="Q4b_069_Participation">'4b'!$E$79</definedName>
    <definedName name="Q4b_070_Participation">'4b'!$E$80</definedName>
    <definedName name="Q4b_071_Participation">'4b'!$E$81</definedName>
    <definedName name="Q4b_072_Participation">'4b'!$E$82</definedName>
    <definedName name="Q4b_073_Participation">'4b'!$E$83</definedName>
    <definedName name="Q4b_074_Participation">'4b'!$E$84</definedName>
    <definedName name="Q4b_075_Participation">'4b'!$E$85</definedName>
    <definedName name="Q4b_076_Participation">'4b'!$E$86</definedName>
    <definedName name="Q4b_077_Participation">'4b'!$E$87</definedName>
    <definedName name="Q4b_078_Participation">'4b'!$E$88</definedName>
    <definedName name="Q4b_079_Participation">'4b'!$E$89</definedName>
    <definedName name="Q4b_080_Participation">'4b'!$E$90</definedName>
    <definedName name="Q4b_081_Participation">'4b'!$E$91</definedName>
    <definedName name="Q4b_082_Participation">'4b'!$E$92</definedName>
    <definedName name="Q4b_083_Participation">'4b'!$E$93</definedName>
    <definedName name="Q4b_084_Participation">'4b'!$E$94</definedName>
    <definedName name="Q4b_085_Participation">'4b'!$E$95</definedName>
    <definedName name="Q4b_086_Participation">'4b'!$E$96</definedName>
    <definedName name="Q4b_087_Participation">'4b'!$E$97</definedName>
    <definedName name="Q4b_088_Participation">'4b'!$E$98</definedName>
    <definedName name="Q4b_089_Participation">'4b'!$E$99</definedName>
    <definedName name="Q4b_090_Participation">'4b'!$E$100</definedName>
    <definedName name="Q4b_091_Participation">'4b'!$E$101</definedName>
    <definedName name="Q4b_092_Participation">'4b'!$E$102</definedName>
    <definedName name="Q4b_093_Participation">'4b'!$E$103</definedName>
    <definedName name="Q4b_094_Participation">'4b'!$E$104</definedName>
    <definedName name="Q4b_095_Participation">'4b'!$E$105</definedName>
    <definedName name="Q4b_096_Participation">'4b'!$E$106</definedName>
    <definedName name="Q4b_097_Participation">'4b'!$E$107</definedName>
    <definedName name="Q4b_098_Participation">'4b'!$E$108</definedName>
    <definedName name="Q4b_099_Participation">'4b'!$E$109</definedName>
    <definedName name="Q4b_100_Participation">'4b'!$E$110</definedName>
    <definedName name="Q4b_101_Participation">'4b'!$E$111</definedName>
    <definedName name="Q4b_102_Participation">'4b'!$E$112</definedName>
    <definedName name="Q4b_103_Participation">'4b'!$E$113</definedName>
    <definedName name="Q4b_104_Participation">'4b'!$E$114</definedName>
    <definedName name="Q4b_105_Participation">'4b'!$E$115</definedName>
    <definedName name="Q4b_106_Participation">'4b'!$E$116</definedName>
    <definedName name="Q4b_107_Participation">'4b'!$E$117</definedName>
    <definedName name="Q4b_108_Participation">'4b'!$E$118</definedName>
    <definedName name="Q4b_109_Participation">'4b'!$E$119</definedName>
    <definedName name="Q4b_110_Participation">'4b'!$E$120</definedName>
    <definedName name="Q4b_111_Participation">'4b'!$E$121</definedName>
    <definedName name="Q4b_112_Participation">'4b'!$E$122</definedName>
    <definedName name="Q4b_113_Participation">'4b'!$E$123</definedName>
    <definedName name="Q4b_114_Participation">'4b'!$E$124</definedName>
    <definedName name="Q4b_115_Participation">'4b'!$E$125</definedName>
    <definedName name="Q4b_116_Participation">'4b'!$E$126</definedName>
    <definedName name="Q4b_117_Participation">'4b'!$E$127</definedName>
    <definedName name="Q4b_118_Participation">'4b'!$E$128</definedName>
    <definedName name="Q4b_119_Participation">'4b'!$E$129</definedName>
    <definedName name="Q4b_120_Participation">'4b'!$E$130</definedName>
    <definedName name="Q4b_121_Participation">'4b'!$E$131</definedName>
    <definedName name="Q4b_122_Participation">'4b'!$E$132</definedName>
    <definedName name="Q4b_123_Participation">'4b'!$E$133</definedName>
    <definedName name="Q4b_124_Participation">'4b'!$E$134</definedName>
    <definedName name="Q4b_125_Participation">'4b'!$E$135</definedName>
    <definedName name="Q4b_126_Participation">'4b'!$E$136</definedName>
    <definedName name="Q4b_127_Participation">'4b'!$E$137</definedName>
    <definedName name="Q4b_128_Participation">'4b'!$E$138</definedName>
    <definedName name="Q4b_129_Participation">'4b'!$E$139</definedName>
    <definedName name="Q4b_130_Participation">'4b'!$E$140</definedName>
    <definedName name="Q4b_131_Participation">'4b'!$E$141</definedName>
    <definedName name="Q4b_132_Participation">'4b'!$E$142</definedName>
    <definedName name="Q4b_133_Participation">'4b'!$E$143</definedName>
    <definedName name="Q4b_134_Participation">'4b'!$E$144</definedName>
    <definedName name="Q4b_135_Participation">'4b'!$E$145</definedName>
    <definedName name="Q4b_136_Participation">'4b'!$E$146</definedName>
    <definedName name="Q4b_137_Participation">'4b'!$E$147</definedName>
    <definedName name="Q4b_138_Participation">'4b'!$E$148</definedName>
    <definedName name="Q4b_139_Participation">'4b'!$E$149</definedName>
    <definedName name="Q4b_140_Participation">'4b'!$E$150</definedName>
    <definedName name="Q4b_141_Participation">'4b'!$E$151</definedName>
    <definedName name="Q4b_142_Participation">'4b'!$E$152</definedName>
    <definedName name="Q4b_143_Participation">'4b'!$E$153</definedName>
    <definedName name="Q4b_144_Participation">'4b'!$E$154</definedName>
    <definedName name="Q4b_145_Participation">'4b'!$E$155</definedName>
    <definedName name="Q4b_146_Participation">'4b'!$E$156</definedName>
    <definedName name="Q4b_147_Participation">'4b'!$E$157</definedName>
    <definedName name="Q4b_148_Participation">'4b'!$E$158</definedName>
    <definedName name="Q4b_149_Participation">'4b'!$E$159</definedName>
    <definedName name="Q4b_150_Participation">'4b'!$E$160</definedName>
    <definedName name="Q4b_151_Participation">'4b'!$E$161</definedName>
    <definedName name="Q4b_152_Participation">'4b'!$E$162</definedName>
    <definedName name="Q4b_153_Participation">'4b'!$E$163</definedName>
    <definedName name="Q4b_154_Participation">'4b'!$E$164</definedName>
    <definedName name="Q4b_155_Participation">'4b'!$E$165</definedName>
    <definedName name="Q4b_156_Participation">'4b'!$E$166</definedName>
    <definedName name="Q4b_157_Participation">'4b'!$E$167</definedName>
    <definedName name="Q4b_158_Participation">'4b'!$E$168</definedName>
    <definedName name="Q4b_159_Participation">'4b'!$E$169</definedName>
    <definedName name="Q4b_160_Participation">'4b'!$E$170</definedName>
    <definedName name="Q4b_161_Participation">'4b'!$E$171</definedName>
    <definedName name="Q4b_162_Participation">'4b'!$E$172</definedName>
    <definedName name="Q4b_163_Participation">'4b'!$E$173</definedName>
    <definedName name="Q4b_164_Participation">'4b'!$E$174</definedName>
    <definedName name="Q4b_165_Participation">'4b'!$E$175</definedName>
    <definedName name="Q4b_166_Participation">'4b'!$E$176</definedName>
    <definedName name="Q4b_167_Participation">'4b'!$E$177</definedName>
    <definedName name="Q4b_168_Participation">'4b'!$E$178</definedName>
    <definedName name="Q4b_169_Participation">'4b'!$E$179</definedName>
    <definedName name="Q4b_170_Participation">'4b'!$E$180</definedName>
    <definedName name="Q4b_171_Participation">'4b'!$E$181</definedName>
    <definedName name="Q4b_172_Participation">'4b'!$E$182</definedName>
    <definedName name="Q4b_173_Participation">'4b'!$E$183</definedName>
    <definedName name="Q4b_174_Participation">'4b'!$E$184</definedName>
    <definedName name="Q4b_175_Participation">'4b'!$E$185</definedName>
    <definedName name="Q4b_176_Participation">'4b'!$E$186</definedName>
    <definedName name="Q4b_177_Participation">'4b'!$E$187</definedName>
    <definedName name="Q4b_178_Participation">'4b'!$E$188</definedName>
    <definedName name="Q4b_179_Participation">'4b'!$E$189</definedName>
    <definedName name="Q4b_180_Participation">'4b'!$E$190</definedName>
    <definedName name="Q4b_181_Participation">'4b'!$E$191</definedName>
    <definedName name="Q4b_182_Participation">'4b'!$E$192</definedName>
    <definedName name="Q4b_183_Participation">'4b'!$E$193</definedName>
    <definedName name="Q4b_184_Participation">'4b'!$E$194</definedName>
    <definedName name="Q4b_185_Participation">'4b'!$E$195</definedName>
    <definedName name="Q4b_186_Participation">'4b'!$E$196</definedName>
    <definedName name="Q4b_187_Participation">'4b'!$E$197</definedName>
    <definedName name="Q4b_188_Participation">'4b'!$E$198</definedName>
    <definedName name="Q4b_189_Participation">'4b'!$E$199</definedName>
    <definedName name="Q4b_190_Participation">'4b'!$E$200</definedName>
    <definedName name="Q4b_191_Participation">'4b'!$E$201</definedName>
    <definedName name="Q4b_192_Participation">'4b'!$E$202</definedName>
    <definedName name="Q4b_193_Participation">'4b'!$E$203</definedName>
    <definedName name="Q4b_194_Participation">'4b'!$E$204</definedName>
    <definedName name="Q4b_195_Participation">'4b'!$E$205</definedName>
    <definedName name="Q4b_196_Participation">'4b'!$E$206</definedName>
    <definedName name="Q4b_197_Participation">'4b'!$E$207</definedName>
    <definedName name="Q4b_198_Participation">'4b'!$E$208</definedName>
    <definedName name="Q4b_199_Participation">'4b'!$E$209</definedName>
    <definedName name="Q4b_200_Participation">'4b'!$E$210</definedName>
    <definedName name="Q4b_201_Participation">'4b'!$E$211</definedName>
    <definedName name="Q4b_202_Participation">'4b'!$E$212</definedName>
    <definedName name="Q4b_203_Participation">'4b'!$E$213</definedName>
    <definedName name="Q4b_204_Participation">'4b'!$E$214</definedName>
    <definedName name="Q4b_205_Participation">'4b'!$E$215</definedName>
    <definedName name="Q4b_206_Participation">'4b'!$E$216</definedName>
    <definedName name="Q4b_207_Participation">'4b'!$E$217</definedName>
    <definedName name="Q4b_208_Participation">'4b'!$E$218</definedName>
    <definedName name="Q4b_209_Participation">'4b'!$E$219</definedName>
    <definedName name="Q4b_210_Participation">'4b'!$E$220</definedName>
    <definedName name="Q4b_A_NumUSGPrograms">'4b'!$G$4</definedName>
    <definedName name="Q4b_Applicability">'4b'!$E$6</definedName>
    <definedName name="Q4b_Comments">'4b'!$D$243</definedName>
    <definedName name="Q4b_Other01_Agency">'4b'!$C$222</definedName>
    <definedName name="Q4b_Other01_Participation">'4b'!$E$222</definedName>
    <definedName name="Q4b_Other01_Program">'4b'!$D$222</definedName>
    <definedName name="Q4b_Other02_Agency">'4b'!$C$223</definedName>
    <definedName name="Q4b_Other02_Participation">'4b'!$E$223</definedName>
    <definedName name="Q4b_Other02_Program">'4b'!$D$223</definedName>
    <definedName name="Q4b_Other03_Agency">'4b'!$C$224</definedName>
    <definedName name="Q4b_Other03_Participation">'4b'!$E$224</definedName>
    <definedName name="Q4b_Other03_Program">'4b'!$D$224</definedName>
    <definedName name="Q4b_Other04_Agency">'4b'!$C$225</definedName>
    <definedName name="Q4b_Other04_Participation">'4b'!$E$225</definedName>
    <definedName name="Q4b_Other04_Program">'4b'!$D$225</definedName>
    <definedName name="Q4b_Other05_Agency">'4b'!$C$226</definedName>
    <definedName name="Q4b_Other05_Participation">'4b'!$E$226</definedName>
    <definedName name="Q4b_Other05_Program">'4b'!$D$226</definedName>
    <definedName name="Q4b_Other06_Agency">'4b'!$C$227</definedName>
    <definedName name="Q4b_Other06_Participation">'4b'!$E$227</definedName>
    <definedName name="Q4b_Other06_Program">'4b'!$D$227</definedName>
    <definedName name="Q4b_Other07_Agency">'4b'!$C$228</definedName>
    <definedName name="Q4b_Other07_Participation">'4b'!$E$228</definedName>
    <definedName name="Q4b_Other07_Program">'4b'!$D$228</definedName>
    <definedName name="Q4b_Other08_Agency">'4b'!$C$229</definedName>
    <definedName name="Q4b_Other08_Participation">'4b'!$E$229</definedName>
    <definedName name="Q4b_Other08_Program">'4b'!$D$229</definedName>
    <definedName name="Q4b_Other09_Agency">'4b'!$C$230</definedName>
    <definedName name="Q4b_Other09_Participation">'4b'!$E$230</definedName>
    <definedName name="Q4b_Other09_Program">'4b'!$D$230</definedName>
    <definedName name="Q4b_Other10_Agency">'4b'!$C$231</definedName>
    <definedName name="Q4b_Other10_Participation">'4b'!$E$231</definedName>
    <definedName name="Q4b_Other10_Program">'4b'!$D$231</definedName>
    <definedName name="Q4b_Other11_Agency">'4b'!$C$232</definedName>
    <definedName name="Q4b_Other11_Participation">'4b'!$E$232</definedName>
    <definedName name="Q4b_Other11_Program">'4b'!$D$232</definedName>
    <definedName name="Q4b_Other12_Agency">'4b'!$C$233</definedName>
    <definedName name="Q4b_Other12_Participation">'4b'!$E$233</definedName>
    <definedName name="Q4b_Other12_Program">'4b'!$D$233</definedName>
    <definedName name="Q4b_Other13_Agency">'4b'!$C$234</definedName>
    <definedName name="Q4b_Other13_Participation">'4b'!$E$234</definedName>
    <definedName name="Q4b_Other13_Program">'4b'!$D$234</definedName>
    <definedName name="Q4b_Other14_Agency">'4b'!$C$235</definedName>
    <definedName name="Q4b_Other14_Participation">'4b'!$E$235</definedName>
    <definedName name="Q4b_Other14_Program">'4b'!$D$235</definedName>
    <definedName name="Q4b_Other15_Agency">'4b'!$C$236</definedName>
    <definedName name="Q4b_Other15_Participation">'4b'!$E$236</definedName>
    <definedName name="Q4b_Other15_Program">'4b'!$D$236</definedName>
    <definedName name="Q4b_Other16_Agency">'4b'!$C$237</definedName>
    <definedName name="Q4b_Other16_Participation">'4b'!$E$237</definedName>
    <definedName name="Q4b_Other16_Program">'4b'!$D$237</definedName>
    <definedName name="Q4b_Other17_Agency">'4b'!$C$238</definedName>
    <definedName name="Q4b_Other17_Participation">'4b'!$E$238</definedName>
    <definedName name="Q4b_Other17_Program">'4b'!$D$238</definedName>
    <definedName name="Q4b_Other18_Agency">'4b'!$C$239</definedName>
    <definedName name="Q4b_Other18_Participation">'4b'!$E$239</definedName>
    <definedName name="Q4b_Other18_Program">'4b'!$D$239</definedName>
    <definedName name="Q4b_Other19_Agency">'4b'!$C$240</definedName>
    <definedName name="Q4b_Other19_Participation">'4b'!$E$240</definedName>
    <definedName name="Q4b_Other19_Program">'4b'!$D$240</definedName>
    <definedName name="Q4b_Other20_Agency">'4b'!$C$241</definedName>
    <definedName name="Q4b_Other20_Participation">'4b'!$E$241</definedName>
    <definedName name="Q4b_Other20_Program">'4b'!$D$241</definedName>
    <definedName name="Q5_Comments">'5'!$D$35</definedName>
    <definedName name="Q6_A_Contractors_Year1">'6'!$F$7</definedName>
    <definedName name="Q6_A_Contractors_Year2">'6'!$G$7</definedName>
    <definedName name="Q6_A_Contractors_Year3">'6'!$H$7</definedName>
    <definedName name="Q6_A_Employees_Year1">'6'!$F$6</definedName>
    <definedName name="Q6_A_Employees_Year2">'6'!$G$6</definedName>
    <definedName name="Q6_A_Employees_Year3">'6'!$H$6</definedName>
    <definedName name="Q6_B_Contractor_F1_Total">'6'!$F$12</definedName>
    <definedName name="Q6_B_Contractor_GreenCard_Total">'6'!$G$12</definedName>
    <definedName name="Q6_B_Contractor_H1B_Total">'6'!$D$12</definedName>
    <definedName name="Q6_B_Contractor_H2B_Total">'6'!$E$12</definedName>
    <definedName name="Q6_B_Contractor_Other_Total">'6'!$H$12</definedName>
    <definedName name="Q6_B_Employee_F1_Total">'6'!$F$11</definedName>
    <definedName name="Q6_B_Employee_GreenCard_Total">'6'!$G$11</definedName>
    <definedName name="Q6_B_Employee_H1B_Total">'6'!$D$11</definedName>
    <definedName name="Q6_B_Employee_H2B_Total">'6'!$E$11</definedName>
    <definedName name="Q6_B_Employee_Other_Total">'6'!$H$11</definedName>
    <definedName name="Q6_B_TotalNonUS">'6'!$F$8</definedName>
    <definedName name="Q6_C_Confidential">'6'!$H$31</definedName>
    <definedName name="Q6_C_Secret">'6'!$G$31</definedName>
    <definedName name="Q6_C_TopSecret">'6'!$F$31</definedName>
    <definedName name="Q6_Comments">'6'!$D$39</definedName>
    <definedName name="Q6D_Difficulty_YN">'6'!$G$32</definedName>
    <definedName name="Q6D_Engineer_Difficulty_Explain">'6'!$F$34</definedName>
    <definedName name="Q6D_Engineer_Difficulty_Type">'6'!$E$34</definedName>
    <definedName name="Q6D_IT_Difficulty_Explain">'6'!$F$35</definedName>
    <definedName name="Q6D_IT_Difficulty_Type">'6'!$E$35</definedName>
    <definedName name="Q6D_Other_Difficulty_Explain">'6'!$F$38</definedName>
    <definedName name="Q6D_Other_Difficulty_Specify">'6'!$D$38</definedName>
    <definedName name="Q6D_Other_Difficulty_Type">'6'!$E$38</definedName>
    <definedName name="Q6D_Production_Difficulty_Explain">'6'!$F$36</definedName>
    <definedName name="Q6D_Production_Difficulty_Type">'6'!$E$36</definedName>
    <definedName name="Q6D_Testing_Difficulty_Explain">'6'!$F$37</definedName>
    <definedName name="Q6D_Testing_Difficulty_Type">'6'!$E$37</definedName>
    <definedName name="Q7_A_TotalSales_NonUS_Year1">'7'!$G$10</definedName>
    <definedName name="Q7_A_TotalSales_NonUS_Year2">'7'!$J$10</definedName>
    <definedName name="Q7_A_TotalSales_NonUS_Year3">'7'!$M$10</definedName>
    <definedName name="Q7_A_TotalSales_US_Year1">'7'!$F$10</definedName>
    <definedName name="Q7_A_TotalSales_US_Year2">'7'!$I$10</definedName>
    <definedName name="Q7_A_TotalSales_US_Year3">'7'!$L$10</definedName>
    <definedName name="Q7_B_ClassSales_NonUS_Year1_Pct">'7'!$G$13</definedName>
    <definedName name="Q7_B_ClassSales_NonUS_Year2_Pct">'7'!$J$13</definedName>
    <definedName name="Q7_B_ClassSales_NonUS_Year3_Pct">'7'!$M$13</definedName>
    <definedName name="Q7_B_ClassSales_US_Year1_Pct">'7'!$F$13</definedName>
    <definedName name="Q7_B_ClassSales_US_Year2_Pct">'7'!$I$13</definedName>
    <definedName name="Q7_B_ClassSales_US_Year3_Pct">'7'!$L$13</definedName>
    <definedName name="Q7_B_DefSales_NonUS_Year1_Pct">'7'!$G$12</definedName>
    <definedName name="Q7_B_DefSales_NonUS_Year2_Pct">'7'!$J$12</definedName>
    <definedName name="Q7_B_DefSales_NonUS_Year3_Pct">'7'!$M$12</definedName>
    <definedName name="Q7_B_DefSales_US_Year1_Pct">'7'!$F$12</definedName>
    <definedName name="Q7_B_DefSales_US_Year2_Pct">'7'!$I$12</definedName>
    <definedName name="Q7_B_DefSales_US_Year3_Pct">'7'!$L$12</definedName>
    <definedName name="Q7_B_GovSales_NonUS_Year1_Pct">'7'!$G$14</definedName>
    <definedName name="Q7_B_GovSales_NonUS_Year2_Pct">'7'!$J$14</definedName>
    <definedName name="Q7_B_GovSales_NonUS_Year3_Pct">'7'!$M$14</definedName>
    <definedName name="Q7_B_GovSales_US_Year1_Pct">'7'!$F$14</definedName>
    <definedName name="Q7_B_GovSales_US_Year2_Pct">'7'!$I$14</definedName>
    <definedName name="Q7_B_GovSales_US_Year3_Pct">'7'!$L$14</definedName>
    <definedName name="Q7_Comments">'7'!$E$16</definedName>
    <definedName name="Q7_Schedule">'7'!$J$6</definedName>
    <definedName name="Q7_Source">'7'!$J$5</definedName>
    <definedName name="Q8_Comments">'8'!$D$33</definedName>
    <definedName name="Q8_Total_NonUS">'8'!$E$20</definedName>
    <definedName name="Q8_Total_US">'8'!$E$6</definedName>
    <definedName name="Q9a_A_Authorities_BIS">'9a'!$I$9</definedName>
    <definedName name="Q9a_A_Authorities_DefInvestigative">'9a'!$I$8</definedName>
    <definedName name="Q9a_A_Authorities_DHS">'9a'!$I$11</definedName>
    <definedName name="Q9a_A_Authorities_DLA">'9a'!$I$7</definedName>
    <definedName name="Q9a_A_Authorities_DOE">'9a'!$I$10</definedName>
    <definedName name="Q9a_A_Authorities_DOJ">'9a'!$I$12</definedName>
    <definedName name="Q9a_A_Authorities_DSS">'9a'!$I$6</definedName>
    <definedName name="Q9a_A_Authorities_FBI">'9a'!$I$13</definedName>
    <definedName name="Q9a_A_Authorities_FCC">'9a'!$I$14</definedName>
    <definedName name="Q9a_A_Authorities_FTC">'9a'!$I$15</definedName>
    <definedName name="Q9a_A_Authorities_GIDEP">'9a'!$N$6</definedName>
    <definedName name="Q9a_A_Authorities_Local">'9a'!$N$11</definedName>
    <definedName name="Q9a_A_Authorities_NASA">'9a'!$N$7</definedName>
    <definedName name="Q9a_A_Authorities_None">'9a'!$N$13</definedName>
    <definedName name="Q9a_A_Authorities_NRC">'9a'!$N$9</definedName>
    <definedName name="Q9a_A_Authorities_NSA">'9a'!$N$8</definedName>
    <definedName name="Q9a_A_Authorities_Other1">'9a'!$N$14</definedName>
    <definedName name="Q9a_A_Authorities_Other1_Specify">'9a'!$L$14</definedName>
    <definedName name="Q9a_A_Authorities_Other2">'9a'!$N$15</definedName>
    <definedName name="Q9a_A_Authorities_Other2_Specify">'9a'!$L$15</definedName>
    <definedName name="Q9a_A_Authorities_SS">'9a'!$N$10</definedName>
    <definedName name="Q9a_A_Authorities_USCERT">'9a'!$N$12</definedName>
    <definedName name="Q9a_A_Authorities_YN">'9a'!$O$4</definedName>
    <definedName name="Q9a_B_Cyber_Year1">'9a'!$O$17</definedName>
    <definedName name="Q9a_B_Cyber_Year2">'9a'!$O$18</definedName>
    <definedName name="Q9a_B_Cyber_Year3">'9a'!$O$19</definedName>
    <definedName name="Q9a_B_Physical_Year1">'9a'!$N$17</definedName>
    <definedName name="Q9a_B_Physical_Year2">'9a'!$N$18</definedName>
    <definedName name="Q9a_B_Physical_Year3">'9a'!$N$19</definedName>
    <definedName name="Q9a_C_Cyber_AccountMonitoring">'9a'!$K$22</definedName>
    <definedName name="Q9a_C_Cyber_ApplicationSec">'9a'!$K$23</definedName>
    <definedName name="Q9a_C_Cyber_AuditLogs">'9a'!$O$24</definedName>
    <definedName name="Q9a_C_Cyber_BoundaryDef">'9a'!$K$24</definedName>
    <definedName name="Q9a_C_Cyber_ContinuousVuln">'9a'!$K$25</definedName>
    <definedName name="Q9a_C_Cyber_ControlledAccess">'9a'!$K$26</definedName>
    <definedName name="Q9a_C_Cyber_ControlledAdmin">'9a'!$K$27</definedName>
    <definedName name="Q9a_C_Cyber_DataProtection">'9a'!$K$28</definedName>
    <definedName name="Q9a_C_Cyber_DataRecovery">'9a'!$K$29</definedName>
    <definedName name="Q9a_C_Cyber_DeviceInventory">'9a'!$K$31</definedName>
    <definedName name="Q9a_C_Cyber_HardwareConfig">'9a'!$O$27</definedName>
    <definedName name="Q9a_C_Cyber_IncidentResponse">'9a'!$K$30</definedName>
    <definedName name="Q9a_C_Cyber_MalwareDefense">'9a'!$O$25</definedName>
    <definedName name="Q9a_C_Cyber_NetworkConfig">'9a'!$O$28</definedName>
    <definedName name="Q9a_C_Cyber_NetworkEngineer">'9a'!$O$29</definedName>
    <definedName name="Q9a_C_Cyber_Other1">'9a'!$K$32</definedName>
    <definedName name="Q9a_C_Cyber_Other1_Specify">'9a'!$I$32</definedName>
    <definedName name="Q9a_C_Cyber_Other2">'9a'!$O$32</definedName>
    <definedName name="Q9a_C_Cyber_Other2_Specify">'9a'!$M$32</definedName>
    <definedName name="Q9a_C_Cyber_PortControl">'9a'!$O$23</definedName>
    <definedName name="Q9a_C_Cyber_RedTeamTests">'9a'!$O$26</definedName>
    <definedName name="Q9a_C_Cyber_SkillsAssessment">'9a'!$O$30</definedName>
    <definedName name="Q9a_C_Cyber_SoftwareInventory">'9a'!$O$22</definedName>
    <definedName name="Q9a_C_Cyber_WirelessControl">'9a'!$O$31</definedName>
    <definedName name="Q9a_C_Physical_AccessCards">'9a'!$F$27</definedName>
    <definedName name="Q9a_C_Physical_AfterHours">'9a'!$F$22</definedName>
    <definedName name="Q9a_C_Physical_Alarms">'9a'!$F$25</definedName>
    <definedName name="Q9a_C_Physical_Barriers">'9a'!$F$26</definedName>
    <definedName name="Q9a_C_Physical_CCTV">'9a'!$F$23</definedName>
    <definedName name="Q9a_C_Physical_ControlEntry">'9a'!$F$24</definedName>
    <definedName name="Q9a_C_Physical_Guards">'9a'!$F$29</definedName>
    <definedName name="Q9a_C_Physical_Other1">'9a'!$F$30</definedName>
    <definedName name="Q9a_C_Physical_Other1_Specify">'9a'!$D$30</definedName>
    <definedName name="Q9a_C_Physical_Other2">'9a'!$F$31</definedName>
    <definedName name="Q9a_C_Physical_Other2_Specify">'9a'!$D$31</definedName>
    <definedName name="Q9a_C_Physical_Other3">'9a'!$F$32</definedName>
    <definedName name="Q9a_C_Physical_Other3_Specify">'9a'!$D$32</definedName>
    <definedName name="Q9a_C_Physical_Separation">'9a'!$F$28</definedName>
    <definedName name="Q9a_Comments">'9a'!$E$37</definedName>
    <definedName name="Q9a_D_NIST_Explain">'9a'!$C$36</definedName>
    <definedName name="Q9a_D_NIST_Familiar_YN">'9a'!$O$33</definedName>
    <definedName name="Q9a_D_NIST_Use">'9a'!$O$34</definedName>
    <definedName name="Q9b_A_CyberSpending_Year1">'9b'!$I$11</definedName>
    <definedName name="Q9b_A_CyberSpending_Year2">'9b'!$J$11</definedName>
    <definedName name="Q9b_A_CyberSpending_Year3">'9b'!$K$11</definedName>
    <definedName name="Q9b_A_PhysicalSpending_Year1">'9b'!$I$10</definedName>
    <definedName name="Q9b_A_PhysicalSpending_Year2">'9b'!$J$10</definedName>
    <definedName name="Q9b_A_PhysicalSpending_Year3">'9b'!$K$10</definedName>
    <definedName name="Q9b_A_Schedule">'9b'!$I$8</definedName>
    <definedName name="Q9b_A_Source">'9b'!$I$7</definedName>
    <definedName name="Q9b_B_AccessEmployees_Explain">'9b'!$E$15</definedName>
    <definedName name="Q9b_B_AccessEmployees_YN">'9b'!$H$14</definedName>
    <definedName name="Q9b_B_AccessOutsiders_Explain">'9b'!$E$17</definedName>
    <definedName name="Q9b_B_AccessOutsiders_YN">'9b'!$H$16</definedName>
    <definedName name="Q9b_C_Data_Explain">'9b'!$G$25</definedName>
    <definedName name="Q9b_C_DataCenter_NonUS_Count">'9b'!$K$20</definedName>
    <definedName name="Q9b_C_DataCenter_NonUS_YN">'9b'!$I$20</definedName>
    <definedName name="Q9b_C_DataCenter_US_Count">'9b'!$K$19</definedName>
    <definedName name="Q9b_C_DataCenter_US_YN">'9b'!$I$19</definedName>
    <definedName name="Q9b_C_External_NonUS">'9b'!$I$22</definedName>
    <definedName name="Q9b_C_External_US">'9b'!$I$21</definedName>
    <definedName name="Q9b_C_Pct_CSI_External">'9b'!$K$23</definedName>
    <definedName name="Q9b_C_Share_CSI">'9b'!$K$24</definedName>
    <definedName name="Q9b_C_Share_CSI_Explain">'9b'!$F$25</definedName>
    <definedName name="Q9b_Comments">'9b'!$E$42</definedName>
    <definedName name="Q9b_D1_CSI_Detect">'9b'!$K$27</definedName>
    <definedName name="Q9b_D1_CSI_Explain">'9b'!$E$29</definedName>
    <definedName name="Q9b_D1_CSI_Investigate">'9b'!$J$28</definedName>
    <definedName name="Q9b_D2_APT_Detect">'9b'!$G$31</definedName>
    <definedName name="Q9b_D2_APT_Number">'9b'!$K$31</definedName>
    <definedName name="Q9b_D3_Costs">'9b'!$F$36</definedName>
    <definedName name="Q9b_D3_Exfiltration">'9b'!$F$38</definedName>
    <definedName name="Q9b_D3_ExitMarket">'9b'!$K$37</definedName>
    <definedName name="Q9b_D3_ExitProduct">'9b'!$K$38</definedName>
    <definedName name="Q9b_D3_ITDamage">'9b'!$F$39</definedName>
    <definedName name="Q9b_D3_ITDowntime">'9b'!$F$35</definedName>
    <definedName name="Q9b_D3_NewCyber">'9b'!$K$39</definedName>
    <definedName name="Q9b_D3_Other1">'9b'!$K$40</definedName>
    <definedName name="Q9b_D3_Other1_Specify">'9b'!$H$40</definedName>
    <definedName name="Q9b_D3_Other2">'9b'!$K$41</definedName>
    <definedName name="Q9b_D3_Other2_Specify">'9b'!$H$41</definedName>
    <definedName name="Q9b_D3_RDChange">'9b'!$K$36</definedName>
    <definedName name="Q9b_D3_RevisedPartnerships">'9b'!$K$35</definedName>
    <definedName name="Q9b_D3_SalesLoss">'9b'!$F$37</definedName>
    <definedName name="Q9b_D3_SoftwareTheft">'9b'!$F$41</definedName>
    <definedName name="Q9b_D3_SystemsDamage">'9b'!$F$40</definedName>
    <definedName name="Qgroup">'5'!$AT$10:$AT$17</definedName>
    <definedName name="Rgroup">'5'!$AU$10:$AU$16</definedName>
    <definedName name="RiskFinalRating">'D-Risk'!$AO$22</definedName>
    <definedName name="RiskFinalScore">'D-Risk'!$AO$21</definedName>
    <definedName name="RiskYear1">'D-Risk'!$AK$12</definedName>
    <definedName name="RiskYear2">'D-Risk'!$AL$12</definedName>
    <definedName name="RiskYear3">'D-Risk'!$AM$12</definedName>
    <definedName name="Sgroup">'5'!$AV$10:$AV$14</definedName>
    <definedName name="SoleSingle">Lists!$X$2:$X$5</definedName>
    <definedName name="State">Lists!$G$2:$G$52</definedName>
    <definedName name="SupportType">Lists!$P$2:$P$6</definedName>
    <definedName name="Tgroup">'5'!$AW$10:$AW$16</definedName>
    <definedName name="Ugroup">'5'!$AX$10:$AX$15</definedName>
    <definedName name="USG_Dependent_Average">SUM('D-7 (Pivot)'!$AF$5,'D-7 (Pivot)'!$AF$17,'D-7 (Pivot)'!$AF$29)/SUM('D-7 (Pivot)'!$AF$10,'D-7 (Pivot)'!$AF$22,'D-7 (Pivot)'!$AF$34)</definedName>
    <definedName name="USG_Dependent_Year1">'D-7 (Pivot)'!$AF$5/'D-7 (Pivot)'!$AF$10</definedName>
    <definedName name="USG_Dependent_Year2">'D-7 (Pivot)'!$AF$17/'D-7 (Pivot)'!$AF$22</definedName>
    <definedName name="USG_Dependent_Year3">'D-7 (Pivot)'!$AF$29/'D-7 (Pivot)'!$AF$34</definedName>
    <definedName name="USGSort">OFFSET(Lists!$AK$2:$AK$231,0,0,SUM(230-COUNTIF(Lists!$AK$2:$AK$360,"#NUM!")),1)</definedName>
    <definedName name="Vgroup">'5'!$AY$10:$AY$16</definedName>
    <definedName name="Wgroup">'5'!$AZ$10:$AZ$19</definedName>
    <definedName name="Xgroup">'5'!$BA$10:$BA$22</definedName>
    <definedName name="Year1">'9a'!$M$17</definedName>
    <definedName name="Year2">'9a'!$M$18</definedName>
    <definedName name="Year3">'9a'!$M$19</definedName>
    <definedName name="YearType">Lists!$Z$2:$Z$3</definedName>
    <definedName name="YesNo">Lists!$C$2:$C$3</definedName>
    <definedName name="YesNoNA">Lists!$E$2:$E$4</definedName>
    <definedName name="YesNoUnk">Lists!$D$2:$D$6</definedName>
    <definedName name="Ygroup">'5'!$BB$10:$BB$35</definedName>
    <definedName name="YNUnk">Lists!$AI$2:$AI$5</definedName>
  </definedNames>
  <calcPr calcId="145621"/>
</workbook>
</file>

<file path=xl/calcChain.xml><?xml version="1.0" encoding="utf-8"?>
<calcChain xmlns="http://schemas.openxmlformats.org/spreadsheetml/2006/main">
  <c r="I5" i="33" l="1"/>
  <c r="I14" i="33"/>
  <c r="J6" i="34"/>
  <c r="O5" i="39"/>
  <c r="AB14" i="31"/>
  <c r="AB13" i="31"/>
  <c r="AB12" i="31"/>
  <c r="AB11" i="31"/>
  <c r="AB10" i="31"/>
  <c r="AB9" i="31"/>
  <c r="AB8" i="31"/>
  <c r="F15" i="31"/>
  <c r="F14" i="31"/>
  <c r="F13" i="31"/>
  <c r="F12" i="31"/>
  <c r="F11" i="31"/>
  <c r="F10" i="31"/>
  <c r="F9" i="31"/>
  <c r="F8" i="31"/>
  <c r="F7" i="31"/>
  <c r="Y4" i="29"/>
  <c r="Y3" i="29"/>
  <c r="Y2" i="29"/>
  <c r="E211" i="30"/>
  <c r="E210" i="30"/>
  <c r="E209" i="30"/>
  <c r="E208" i="30"/>
  <c r="E207" i="30"/>
  <c r="E206" i="30"/>
  <c r="E205" i="30"/>
  <c r="E204" i="30"/>
  <c r="E203" i="30"/>
  <c r="E202" i="30"/>
  <c r="E201" i="30"/>
  <c r="E200" i="30"/>
  <c r="E199" i="30"/>
  <c r="E198" i="30"/>
  <c r="E197" i="30"/>
  <c r="E196" i="30"/>
  <c r="E195" i="30"/>
  <c r="E194" i="30"/>
  <c r="E193" i="30"/>
  <c r="E192" i="30"/>
  <c r="E191" i="30"/>
  <c r="E190" i="30"/>
  <c r="E189" i="30"/>
  <c r="E188" i="30"/>
  <c r="E187" i="30"/>
  <c r="E186" i="30"/>
  <c r="E185" i="30"/>
  <c r="E184" i="30"/>
  <c r="E183" i="30"/>
  <c r="E182" i="30"/>
  <c r="E181" i="30"/>
  <c r="E180" i="30"/>
  <c r="E179" i="30"/>
  <c r="E178" i="30"/>
  <c r="E177" i="30"/>
  <c r="E176" i="30"/>
  <c r="E175" i="30"/>
  <c r="E174" i="30"/>
  <c r="E173" i="30"/>
  <c r="E172" i="30"/>
  <c r="E171" i="30"/>
  <c r="E170" i="30"/>
  <c r="E169" i="30"/>
  <c r="E168" i="30"/>
  <c r="E167" i="30"/>
  <c r="E166" i="30"/>
  <c r="E165" i="30"/>
  <c r="E164" i="30"/>
  <c r="E163" i="30"/>
  <c r="E162" i="30"/>
  <c r="E161" i="30"/>
  <c r="E160" i="30"/>
  <c r="E159" i="30"/>
  <c r="E158" i="30"/>
  <c r="E157" i="30"/>
  <c r="E156" i="30"/>
  <c r="E155" i="30"/>
  <c r="E154" i="30"/>
  <c r="E153" i="30"/>
  <c r="E152" i="30"/>
  <c r="E151" i="30"/>
  <c r="E150" i="30"/>
  <c r="E149" i="30"/>
  <c r="E148" i="30"/>
  <c r="E147" i="30"/>
  <c r="E146" i="30"/>
  <c r="E145" i="30"/>
  <c r="E144" i="30"/>
  <c r="E143" i="30"/>
  <c r="E142" i="30"/>
  <c r="E141" i="30"/>
  <c r="E140" i="30"/>
  <c r="E139" i="30"/>
  <c r="E138" i="30"/>
  <c r="E137" i="30"/>
  <c r="E136" i="30"/>
  <c r="E135" i="30"/>
  <c r="E134" i="30"/>
  <c r="E133" i="30"/>
  <c r="E132" i="30"/>
  <c r="E131" i="30"/>
  <c r="E130" i="30"/>
  <c r="E129" i="30"/>
  <c r="E128" i="30"/>
  <c r="E127" i="30"/>
  <c r="E126" i="30"/>
  <c r="E125" i="30"/>
  <c r="E124" i="30"/>
  <c r="E123" i="30"/>
  <c r="E122" i="30"/>
  <c r="E121" i="30"/>
  <c r="E120" i="30"/>
  <c r="E119" i="30"/>
  <c r="E118" i="30"/>
  <c r="E117" i="30"/>
  <c r="E116" i="30"/>
  <c r="E115" i="30"/>
  <c r="E114" i="30"/>
  <c r="E113" i="30"/>
  <c r="E112" i="30"/>
  <c r="E111" i="30"/>
  <c r="E110" i="30"/>
  <c r="E109" i="30"/>
  <c r="E108" i="30"/>
  <c r="E107" i="30"/>
  <c r="E106" i="30"/>
  <c r="E105" i="30"/>
  <c r="E104" i="30"/>
  <c r="E103" i="30"/>
  <c r="E102" i="30"/>
  <c r="E101" i="30"/>
  <c r="E100" i="30"/>
  <c r="E99" i="30"/>
  <c r="E98" i="30"/>
  <c r="E97" i="30"/>
  <c r="E96" i="30"/>
  <c r="E95" i="30"/>
  <c r="E94" i="30"/>
  <c r="E93" i="30"/>
  <c r="E92" i="30"/>
  <c r="E91" i="30"/>
  <c r="E90" i="30"/>
  <c r="E89" i="30"/>
  <c r="E88" i="30"/>
  <c r="E87" i="30"/>
  <c r="E86" i="30"/>
  <c r="E85" i="30"/>
  <c r="E84" i="30"/>
  <c r="E83" i="30"/>
  <c r="E82" i="30"/>
  <c r="E81" i="30"/>
  <c r="E80" i="30"/>
  <c r="E79" i="30"/>
  <c r="E78" i="30"/>
  <c r="E77" i="30"/>
  <c r="E76" i="30"/>
  <c r="E75" i="30"/>
  <c r="E74" i="30"/>
  <c r="E73" i="30"/>
  <c r="E72" i="30"/>
  <c r="E71" i="30"/>
  <c r="E70" i="30"/>
  <c r="E69" i="30"/>
  <c r="E68" i="30"/>
  <c r="E67" i="30"/>
  <c r="E66" i="30"/>
  <c r="E65" i="30"/>
  <c r="E64" i="30"/>
  <c r="E63" i="30"/>
  <c r="E62" i="30"/>
  <c r="E61" i="30"/>
  <c r="E60" i="30"/>
  <c r="E59" i="30"/>
  <c r="E58" i="30"/>
  <c r="E57" i="30"/>
  <c r="E56" i="30"/>
  <c r="E55" i="30"/>
  <c r="E54" i="30"/>
  <c r="E53" i="30"/>
  <c r="E52" i="30"/>
  <c r="E51" i="30"/>
  <c r="E50" i="30"/>
  <c r="E49" i="30"/>
  <c r="E48" i="30"/>
  <c r="E47" i="30"/>
  <c r="E46" i="30"/>
  <c r="E45" i="30"/>
  <c r="E44" i="30"/>
  <c r="E43" i="30"/>
  <c r="E42" i="30"/>
  <c r="E41" i="30"/>
  <c r="E40" i="30"/>
  <c r="E39" i="30"/>
  <c r="E38" i="30"/>
  <c r="E37" i="30"/>
  <c r="E36" i="30"/>
  <c r="E35" i="30"/>
  <c r="E34" i="30"/>
  <c r="E33" i="30"/>
  <c r="E32" i="30"/>
  <c r="E31" i="30"/>
  <c r="E30" i="30"/>
  <c r="E29" i="30"/>
  <c r="E28" i="30"/>
  <c r="E27" i="30"/>
  <c r="E26" i="30"/>
  <c r="E25" i="30"/>
  <c r="E24" i="30"/>
  <c r="E23" i="30"/>
  <c r="E22" i="30"/>
  <c r="E21" i="30"/>
  <c r="E20" i="30"/>
  <c r="E19" i="30"/>
  <c r="E18" i="30"/>
  <c r="E17" i="30"/>
  <c r="E16" i="30"/>
  <c r="E15" i="30"/>
  <c r="E14" i="30"/>
  <c r="E13" i="30"/>
  <c r="E12" i="30"/>
  <c r="E11" i="30"/>
  <c r="E10" i="30"/>
  <c r="E9" i="30"/>
  <c r="E8" i="30"/>
  <c r="E7" i="30"/>
  <c r="E6" i="30"/>
  <c r="E5" i="30"/>
  <c r="E4" i="30"/>
  <c r="E3" i="30"/>
  <c r="E2" i="30"/>
  <c r="H14" i="34"/>
  <c r="G14" i="34"/>
  <c r="F14" i="34"/>
  <c r="H25" i="34"/>
  <c r="G25" i="34"/>
  <c r="F25" i="34"/>
  <c r="AC34" i="41"/>
  <c r="AC33" i="41"/>
  <c r="AC32" i="41"/>
  <c r="AC31" i="41"/>
  <c r="AC30" i="41"/>
  <c r="AC29" i="41"/>
  <c r="AC28" i="41"/>
  <c r="AC27" i="41"/>
  <c r="AC26" i="41"/>
  <c r="AC25" i="41"/>
  <c r="AC24" i="41"/>
  <c r="AC23" i="41"/>
  <c r="AC22" i="41"/>
  <c r="AC21" i="41"/>
  <c r="AC20" i="41"/>
  <c r="AC19" i="41"/>
  <c r="AC18" i="41"/>
  <c r="AC17" i="41"/>
  <c r="AC16" i="41"/>
  <c r="AC15" i="41"/>
  <c r="AC14" i="41"/>
  <c r="AC13" i="41"/>
  <c r="AC12" i="41"/>
  <c r="AC11" i="41"/>
  <c r="AC10" i="41"/>
  <c r="BW45" i="63"/>
  <c r="BW44" i="63"/>
  <c r="BW43" i="63"/>
  <c r="BW42" i="63"/>
  <c r="BW41" i="63"/>
  <c r="BW40" i="63"/>
  <c r="BW39" i="63"/>
  <c r="BW38" i="63"/>
  <c r="BW37" i="63"/>
  <c r="BW36" i="63"/>
  <c r="BW35" i="63"/>
  <c r="BW34" i="63"/>
  <c r="BW33" i="63"/>
  <c r="BW32" i="63"/>
  <c r="BW31" i="63"/>
  <c r="BW30" i="63"/>
  <c r="BW29" i="63"/>
  <c r="BW28" i="63"/>
  <c r="BW27" i="63"/>
  <c r="BW26" i="63"/>
  <c r="BW25" i="63"/>
  <c r="BW24" i="63"/>
  <c r="BW23" i="63"/>
  <c r="BW22" i="63"/>
  <c r="BW21" i="63"/>
  <c r="BW20" i="63"/>
  <c r="BW19" i="63"/>
  <c r="BW18" i="63"/>
  <c r="BW17" i="63"/>
  <c r="BW16" i="63"/>
  <c r="BW15" i="63"/>
  <c r="BW14" i="63"/>
  <c r="BW13" i="63"/>
  <c r="BW12" i="63"/>
  <c r="BW11" i="63"/>
  <c r="BW10" i="63"/>
  <c r="BW9" i="63"/>
  <c r="BW8" i="63"/>
  <c r="BW7" i="63"/>
  <c r="BW6" i="63"/>
  <c r="BW5" i="63"/>
  <c r="BW4" i="63"/>
  <c r="BS2" i="63"/>
  <c r="BR2" i="63"/>
  <c r="BQ2" i="63"/>
  <c r="BP2" i="63"/>
  <c r="BO2" i="63"/>
  <c r="BN2" i="63"/>
  <c r="BM2" i="63"/>
  <c r="BL2" i="63"/>
  <c r="BK2" i="63"/>
  <c r="BJ2" i="63"/>
  <c r="BI2" i="63"/>
  <c r="BH2" i="63"/>
  <c r="BG2" i="63"/>
  <c r="BF2" i="63"/>
  <c r="BE2" i="63"/>
  <c r="BD2" i="63"/>
  <c r="BC2" i="63"/>
  <c r="BB2" i="63"/>
  <c r="BA2" i="63"/>
  <c r="AZ2" i="63"/>
  <c r="AY2" i="63"/>
  <c r="AX2" i="63"/>
  <c r="AW2" i="63"/>
  <c r="AV2" i="63"/>
  <c r="AU2" i="63"/>
  <c r="AT2" i="63"/>
  <c r="AS2" i="63"/>
  <c r="AR2" i="63"/>
  <c r="AQ2" i="63"/>
  <c r="AP2" i="63"/>
  <c r="AO2" i="63"/>
  <c r="AN2" i="63"/>
  <c r="AM2" i="63"/>
  <c r="AL2" i="63"/>
  <c r="AK2" i="63"/>
  <c r="AJ2" i="63"/>
  <c r="AI2" i="63"/>
  <c r="AH2" i="63"/>
  <c r="AG2" i="63"/>
  <c r="AF2" i="63"/>
  <c r="AE2" i="63"/>
  <c r="AD2" i="63"/>
  <c r="AC2" i="63"/>
  <c r="AB2" i="63"/>
  <c r="AA2" i="63"/>
  <c r="W2" i="63"/>
  <c r="V2" i="63"/>
  <c r="U2" i="63"/>
  <c r="T2" i="63"/>
  <c r="S2" i="63"/>
  <c r="R2" i="63"/>
  <c r="Q2" i="63"/>
  <c r="P2" i="63"/>
  <c r="O2" i="63"/>
  <c r="N2" i="63"/>
  <c r="M2" i="63"/>
  <c r="L2" i="63"/>
  <c r="K2" i="63"/>
  <c r="BW47" i="63" s="1"/>
  <c r="I2" i="63"/>
  <c r="BW48" i="63"/>
  <c r="H2" i="63"/>
  <c r="E2" i="63"/>
  <c r="D2" i="63"/>
  <c r="C2" i="63"/>
  <c r="B2" i="63"/>
  <c r="A2" i="63"/>
  <c r="AF27" i="62"/>
  <c r="AE27" i="62"/>
  <c r="AD27" i="62"/>
  <c r="AC27" i="62"/>
  <c r="W27" i="62"/>
  <c r="V27" i="62"/>
  <c r="U27" i="62"/>
  <c r="T27" i="62"/>
  <c r="S27" i="62"/>
  <c r="R27" i="62"/>
  <c r="Q27" i="62"/>
  <c r="P27" i="62"/>
  <c r="O27" i="62"/>
  <c r="N27" i="62"/>
  <c r="M27" i="62"/>
  <c r="L27" i="62"/>
  <c r="K27" i="62"/>
  <c r="I27" i="62"/>
  <c r="H27" i="62"/>
  <c r="E27" i="62"/>
  <c r="D27" i="62"/>
  <c r="C27" i="62"/>
  <c r="B27" i="62"/>
  <c r="A27" i="62"/>
  <c r="AF26" i="62"/>
  <c r="AE26" i="62"/>
  <c r="AD26" i="62"/>
  <c r="W26" i="62"/>
  <c r="V26" i="62"/>
  <c r="U26" i="62"/>
  <c r="T26" i="62"/>
  <c r="S26" i="62"/>
  <c r="R26" i="62"/>
  <c r="Q26" i="62"/>
  <c r="P26" i="62"/>
  <c r="O26" i="62"/>
  <c r="N26" i="62"/>
  <c r="M26" i="62"/>
  <c r="L26" i="62"/>
  <c r="K26" i="62"/>
  <c r="I26" i="62"/>
  <c r="H26" i="62"/>
  <c r="E26" i="62"/>
  <c r="D26" i="62"/>
  <c r="C26" i="62"/>
  <c r="B26" i="62"/>
  <c r="A26" i="62"/>
  <c r="AF25" i="62"/>
  <c r="AE25" i="62"/>
  <c r="AD25" i="62"/>
  <c r="W25" i="62"/>
  <c r="V25" i="62"/>
  <c r="U25" i="62"/>
  <c r="T25" i="62"/>
  <c r="S25" i="62"/>
  <c r="R25" i="62"/>
  <c r="Q25" i="62"/>
  <c r="P25" i="62"/>
  <c r="O25" i="62"/>
  <c r="N25" i="62"/>
  <c r="M25" i="62"/>
  <c r="L25" i="62"/>
  <c r="K25" i="62"/>
  <c r="I25" i="62"/>
  <c r="H25" i="62"/>
  <c r="E25" i="62"/>
  <c r="D25" i="62"/>
  <c r="C25" i="62"/>
  <c r="B25" i="62"/>
  <c r="A25" i="62"/>
  <c r="AF24" i="62"/>
  <c r="AE24" i="62"/>
  <c r="AD24" i="62"/>
  <c r="W24" i="62"/>
  <c r="V24" i="62"/>
  <c r="U24" i="62"/>
  <c r="T24" i="62"/>
  <c r="S24" i="62"/>
  <c r="R24" i="62"/>
  <c r="Q24" i="62"/>
  <c r="P24" i="62"/>
  <c r="O24" i="62"/>
  <c r="N24" i="62"/>
  <c r="M24" i="62"/>
  <c r="L24" i="62"/>
  <c r="K24" i="62"/>
  <c r="I24" i="62"/>
  <c r="H24" i="62"/>
  <c r="E24" i="62"/>
  <c r="D24" i="62"/>
  <c r="C24" i="62"/>
  <c r="B24" i="62"/>
  <c r="A24" i="62"/>
  <c r="AF23" i="62"/>
  <c r="AE23" i="62"/>
  <c r="AD23" i="62"/>
  <c r="W23" i="62"/>
  <c r="V23" i="62"/>
  <c r="U23" i="62"/>
  <c r="T23" i="62"/>
  <c r="S23" i="62"/>
  <c r="R23" i="62"/>
  <c r="Q23" i="62"/>
  <c r="P23" i="62"/>
  <c r="O23" i="62"/>
  <c r="N23" i="62"/>
  <c r="M23" i="62"/>
  <c r="L23" i="62"/>
  <c r="K23" i="62"/>
  <c r="I23" i="62"/>
  <c r="H23" i="62"/>
  <c r="E23" i="62"/>
  <c r="D23" i="62"/>
  <c r="C23" i="62"/>
  <c r="B23" i="62"/>
  <c r="A23" i="62"/>
  <c r="AF22" i="62"/>
  <c r="AE22" i="62"/>
  <c r="AD22" i="62"/>
  <c r="W22" i="62"/>
  <c r="V22" i="62"/>
  <c r="U22" i="62"/>
  <c r="T22" i="62"/>
  <c r="S22" i="62"/>
  <c r="R22" i="62"/>
  <c r="Q22" i="62"/>
  <c r="P22" i="62"/>
  <c r="O22" i="62"/>
  <c r="N22" i="62"/>
  <c r="M22" i="62"/>
  <c r="L22" i="62"/>
  <c r="K22" i="62"/>
  <c r="I22" i="62"/>
  <c r="H22" i="62"/>
  <c r="E22" i="62"/>
  <c r="D22" i="62"/>
  <c r="C22" i="62"/>
  <c r="B22" i="62"/>
  <c r="A22" i="62"/>
  <c r="AF21" i="62"/>
  <c r="AE21" i="62"/>
  <c r="AD21" i="62"/>
  <c r="W21" i="62"/>
  <c r="V21" i="62"/>
  <c r="U21" i="62"/>
  <c r="T21" i="62"/>
  <c r="S21" i="62"/>
  <c r="R21" i="62"/>
  <c r="Q21" i="62"/>
  <c r="P21" i="62"/>
  <c r="O21" i="62"/>
  <c r="N21" i="62"/>
  <c r="M21" i="62"/>
  <c r="L21" i="62"/>
  <c r="K21" i="62"/>
  <c r="I21" i="62"/>
  <c r="H21" i="62"/>
  <c r="E21" i="62"/>
  <c r="D21" i="62"/>
  <c r="C21" i="62"/>
  <c r="B21" i="62"/>
  <c r="A21" i="62"/>
  <c r="AF20" i="62"/>
  <c r="AE20" i="62"/>
  <c r="AD20" i="62"/>
  <c r="W20" i="62"/>
  <c r="V20" i="62"/>
  <c r="U20" i="62"/>
  <c r="T20" i="62"/>
  <c r="S20" i="62"/>
  <c r="R20" i="62"/>
  <c r="Q20" i="62"/>
  <c r="P20" i="62"/>
  <c r="O20" i="62"/>
  <c r="N20" i="62"/>
  <c r="M20" i="62"/>
  <c r="L20" i="62"/>
  <c r="K20" i="62"/>
  <c r="I20" i="62"/>
  <c r="H20" i="62"/>
  <c r="E20" i="62"/>
  <c r="D20" i="62"/>
  <c r="C20" i="62"/>
  <c r="B20" i="62"/>
  <c r="A20" i="62"/>
  <c r="AF19" i="62"/>
  <c r="AE19" i="62"/>
  <c r="AD19" i="62"/>
  <c r="W19" i="62"/>
  <c r="V19" i="62"/>
  <c r="U19" i="62"/>
  <c r="T19" i="62"/>
  <c r="S19" i="62"/>
  <c r="R19" i="62"/>
  <c r="Q19" i="62"/>
  <c r="P19" i="62"/>
  <c r="O19" i="62"/>
  <c r="N19" i="62"/>
  <c r="M19" i="62"/>
  <c r="L19" i="62"/>
  <c r="K19" i="62"/>
  <c r="I19" i="62"/>
  <c r="H19" i="62"/>
  <c r="E19" i="62"/>
  <c r="D19" i="62"/>
  <c r="C19" i="62"/>
  <c r="B19" i="62"/>
  <c r="A19" i="62"/>
  <c r="AF18" i="62"/>
  <c r="AE18" i="62"/>
  <c r="AD18" i="62"/>
  <c r="W18" i="62"/>
  <c r="V18" i="62"/>
  <c r="U18" i="62"/>
  <c r="T18" i="62"/>
  <c r="S18" i="62"/>
  <c r="R18" i="62"/>
  <c r="Q18" i="62"/>
  <c r="P18" i="62"/>
  <c r="O18" i="62"/>
  <c r="N18" i="62"/>
  <c r="M18" i="62"/>
  <c r="L18" i="62"/>
  <c r="K18" i="62"/>
  <c r="I18" i="62"/>
  <c r="H18" i="62"/>
  <c r="E18" i="62"/>
  <c r="D18" i="62"/>
  <c r="C18" i="62"/>
  <c r="B18" i="62"/>
  <c r="A18" i="62"/>
  <c r="AF17" i="62"/>
  <c r="AE17" i="62"/>
  <c r="AD17" i="62"/>
  <c r="W17" i="62"/>
  <c r="V17" i="62"/>
  <c r="U17" i="62"/>
  <c r="T17" i="62"/>
  <c r="S17" i="62"/>
  <c r="R17" i="62"/>
  <c r="Q17" i="62"/>
  <c r="P17" i="62"/>
  <c r="O17" i="62"/>
  <c r="N17" i="62"/>
  <c r="M17" i="62"/>
  <c r="L17" i="62"/>
  <c r="K17" i="62"/>
  <c r="I17" i="62"/>
  <c r="H17" i="62"/>
  <c r="E17" i="62"/>
  <c r="D17" i="62"/>
  <c r="C17" i="62"/>
  <c r="B17" i="62"/>
  <c r="A17" i="62"/>
  <c r="AF16" i="62"/>
  <c r="AE16" i="62"/>
  <c r="AD16" i="62"/>
  <c r="W16" i="62"/>
  <c r="V16" i="62"/>
  <c r="U16" i="62"/>
  <c r="T16" i="62"/>
  <c r="S16" i="62"/>
  <c r="R16" i="62"/>
  <c r="Q16" i="62"/>
  <c r="P16" i="62"/>
  <c r="O16" i="62"/>
  <c r="N16" i="62"/>
  <c r="M16" i="62"/>
  <c r="L16" i="62"/>
  <c r="K16" i="62"/>
  <c r="I16" i="62"/>
  <c r="H16" i="62"/>
  <c r="E16" i="62"/>
  <c r="D16" i="62"/>
  <c r="C16" i="62"/>
  <c r="B16" i="62"/>
  <c r="A16" i="62"/>
  <c r="AF15" i="62"/>
  <c r="AE15" i="62"/>
  <c r="AD15" i="62"/>
  <c r="W15" i="62"/>
  <c r="V15" i="62"/>
  <c r="U15" i="62"/>
  <c r="T15" i="62"/>
  <c r="S15" i="62"/>
  <c r="R15" i="62"/>
  <c r="Q15" i="62"/>
  <c r="P15" i="62"/>
  <c r="O15" i="62"/>
  <c r="N15" i="62"/>
  <c r="M15" i="62"/>
  <c r="L15" i="62"/>
  <c r="K15" i="62"/>
  <c r="I15" i="62"/>
  <c r="H15" i="62"/>
  <c r="E15" i="62"/>
  <c r="D15" i="62"/>
  <c r="C15" i="62"/>
  <c r="B15" i="62"/>
  <c r="A15" i="62"/>
  <c r="AF14" i="62"/>
  <c r="AE14" i="62"/>
  <c r="AD14" i="62"/>
  <c r="W14" i="62"/>
  <c r="V14" i="62"/>
  <c r="U14" i="62"/>
  <c r="T14" i="62"/>
  <c r="S14" i="62"/>
  <c r="R14" i="62"/>
  <c r="Q14" i="62"/>
  <c r="P14" i="62"/>
  <c r="O14" i="62"/>
  <c r="N14" i="62"/>
  <c r="M14" i="62"/>
  <c r="L14" i="62"/>
  <c r="K14" i="62"/>
  <c r="I14" i="62"/>
  <c r="H14" i="62"/>
  <c r="E14" i="62"/>
  <c r="D14" i="62"/>
  <c r="C14" i="62"/>
  <c r="B14" i="62"/>
  <c r="A14" i="62"/>
  <c r="AF13" i="62"/>
  <c r="AE13" i="62"/>
  <c r="AD13" i="62"/>
  <c r="W13" i="62"/>
  <c r="V13" i="62"/>
  <c r="U13" i="62"/>
  <c r="T13" i="62"/>
  <c r="S13" i="62"/>
  <c r="R13" i="62"/>
  <c r="Q13" i="62"/>
  <c r="P13" i="62"/>
  <c r="O13" i="62"/>
  <c r="N13" i="62"/>
  <c r="M13" i="62"/>
  <c r="L13" i="62"/>
  <c r="K13" i="62"/>
  <c r="I13" i="62"/>
  <c r="H13" i="62"/>
  <c r="E13" i="62"/>
  <c r="D13" i="62"/>
  <c r="C13" i="62"/>
  <c r="B13" i="62"/>
  <c r="A13" i="62"/>
  <c r="AF12" i="62"/>
  <c r="AE12" i="62"/>
  <c r="AD12" i="62"/>
  <c r="W12" i="62"/>
  <c r="V12" i="62"/>
  <c r="U12" i="62"/>
  <c r="T12" i="62"/>
  <c r="S12" i="62"/>
  <c r="R12" i="62"/>
  <c r="Q12" i="62"/>
  <c r="P12" i="62"/>
  <c r="O12" i="62"/>
  <c r="N12" i="62"/>
  <c r="M12" i="62"/>
  <c r="L12" i="62"/>
  <c r="K12" i="62"/>
  <c r="I12" i="62"/>
  <c r="H12" i="62"/>
  <c r="E12" i="62"/>
  <c r="D12" i="62"/>
  <c r="C12" i="62"/>
  <c r="B12" i="62"/>
  <c r="A12" i="62"/>
  <c r="AF11" i="62"/>
  <c r="AE11" i="62"/>
  <c r="AD11" i="62"/>
  <c r="W11" i="62"/>
  <c r="V11" i="62"/>
  <c r="U11" i="62"/>
  <c r="T11" i="62"/>
  <c r="S11" i="62"/>
  <c r="R11" i="62"/>
  <c r="Q11" i="62"/>
  <c r="P11" i="62"/>
  <c r="O11" i="62"/>
  <c r="N11" i="62"/>
  <c r="M11" i="62"/>
  <c r="L11" i="62"/>
  <c r="K11" i="62"/>
  <c r="I11" i="62"/>
  <c r="H11" i="62"/>
  <c r="E11" i="62"/>
  <c r="D11" i="62"/>
  <c r="C11" i="62"/>
  <c r="B11" i="62"/>
  <c r="A11" i="62"/>
  <c r="AF10" i="62"/>
  <c r="AE10" i="62"/>
  <c r="AD10" i="62"/>
  <c r="W10" i="62"/>
  <c r="V10" i="62"/>
  <c r="U10" i="62"/>
  <c r="T10" i="62"/>
  <c r="S10" i="62"/>
  <c r="R10" i="62"/>
  <c r="Q10" i="62"/>
  <c r="P10" i="62"/>
  <c r="O10" i="62"/>
  <c r="N10" i="62"/>
  <c r="M10" i="62"/>
  <c r="L10" i="62"/>
  <c r="K10" i="62"/>
  <c r="I10" i="62"/>
  <c r="H10" i="62"/>
  <c r="E10" i="62"/>
  <c r="D10" i="62"/>
  <c r="C10" i="62"/>
  <c r="B10" i="62"/>
  <c r="A10" i="62"/>
  <c r="AF9" i="62"/>
  <c r="AE9" i="62"/>
  <c r="AD9" i="62"/>
  <c r="W9" i="62"/>
  <c r="V9" i="62"/>
  <c r="U9" i="62"/>
  <c r="T9" i="62"/>
  <c r="S9" i="62"/>
  <c r="R9" i="62"/>
  <c r="Q9" i="62"/>
  <c r="P9" i="62"/>
  <c r="O9" i="62"/>
  <c r="N9" i="62"/>
  <c r="M9" i="62"/>
  <c r="L9" i="62"/>
  <c r="K9" i="62"/>
  <c r="I9" i="62"/>
  <c r="H9" i="62"/>
  <c r="E9" i="62"/>
  <c r="D9" i="62"/>
  <c r="C9" i="62"/>
  <c r="B9" i="62"/>
  <c r="A9" i="62"/>
  <c r="AF8" i="62"/>
  <c r="AE8" i="62"/>
  <c r="AD8" i="62"/>
  <c r="W8" i="62"/>
  <c r="V8" i="62"/>
  <c r="U8" i="62"/>
  <c r="T8" i="62"/>
  <c r="S8" i="62"/>
  <c r="R8" i="62"/>
  <c r="Q8" i="62"/>
  <c r="P8" i="62"/>
  <c r="O8" i="62"/>
  <c r="N8" i="62"/>
  <c r="M8" i="62"/>
  <c r="L8" i="62"/>
  <c r="K8" i="62"/>
  <c r="I8" i="62"/>
  <c r="H8" i="62"/>
  <c r="E8" i="62"/>
  <c r="D8" i="62"/>
  <c r="C8" i="62"/>
  <c r="B8" i="62"/>
  <c r="A8" i="62"/>
  <c r="AF7" i="62"/>
  <c r="AE7" i="62"/>
  <c r="AD7" i="62"/>
  <c r="W7" i="62"/>
  <c r="V7" i="62"/>
  <c r="U7" i="62"/>
  <c r="T7" i="62"/>
  <c r="S7" i="62"/>
  <c r="R7" i="62"/>
  <c r="Q7" i="62"/>
  <c r="P7" i="62"/>
  <c r="O7" i="62"/>
  <c r="N7" i="62"/>
  <c r="M7" i="62"/>
  <c r="L7" i="62"/>
  <c r="K7" i="62"/>
  <c r="I7" i="62"/>
  <c r="H7" i="62"/>
  <c r="E7" i="62"/>
  <c r="D7" i="62"/>
  <c r="C7" i="62"/>
  <c r="B7" i="62"/>
  <c r="A7" i="62"/>
  <c r="AF6" i="62"/>
  <c r="AE6" i="62"/>
  <c r="AD6" i="62"/>
  <c r="W6" i="62"/>
  <c r="V6" i="62"/>
  <c r="U6" i="62"/>
  <c r="T6" i="62"/>
  <c r="S6" i="62"/>
  <c r="R6" i="62"/>
  <c r="Q6" i="62"/>
  <c r="P6" i="62"/>
  <c r="O6" i="62"/>
  <c r="N6" i="62"/>
  <c r="M6" i="62"/>
  <c r="L6" i="62"/>
  <c r="K6" i="62"/>
  <c r="I6" i="62"/>
  <c r="H6" i="62"/>
  <c r="E6" i="62"/>
  <c r="D6" i="62"/>
  <c r="C6" i="62"/>
  <c r="B6" i="62"/>
  <c r="A6" i="62"/>
  <c r="AF5" i="62"/>
  <c r="AE5" i="62"/>
  <c r="AD5" i="62"/>
  <c r="W5" i="62"/>
  <c r="V5" i="62"/>
  <c r="U5" i="62"/>
  <c r="T5" i="62"/>
  <c r="S5" i="62"/>
  <c r="R5" i="62"/>
  <c r="Q5" i="62"/>
  <c r="P5" i="62"/>
  <c r="O5" i="62"/>
  <c r="N5" i="62"/>
  <c r="M5" i="62"/>
  <c r="L5" i="62"/>
  <c r="K5" i="62"/>
  <c r="I5" i="62"/>
  <c r="H5" i="62"/>
  <c r="E5" i="62"/>
  <c r="D5" i="62"/>
  <c r="C5" i="62"/>
  <c r="B5" i="62"/>
  <c r="A5" i="62"/>
  <c r="AF4" i="62"/>
  <c r="AE4" i="62"/>
  <c r="AD4" i="62"/>
  <c r="W4" i="62"/>
  <c r="V4" i="62"/>
  <c r="U4" i="62"/>
  <c r="T4" i="62"/>
  <c r="S4" i="62"/>
  <c r="R4" i="62"/>
  <c r="Q4" i="62"/>
  <c r="P4" i="62"/>
  <c r="O4" i="62"/>
  <c r="N4" i="62"/>
  <c r="M4" i="62"/>
  <c r="L4" i="62"/>
  <c r="K4" i="62"/>
  <c r="I4" i="62"/>
  <c r="H4" i="62"/>
  <c r="E4" i="62"/>
  <c r="D4" i="62"/>
  <c r="C4" i="62"/>
  <c r="B4" i="62"/>
  <c r="A4" i="62"/>
  <c r="AF3" i="62"/>
  <c r="AE3" i="62"/>
  <c r="AD3" i="62"/>
  <c r="W3" i="62"/>
  <c r="V3" i="62"/>
  <c r="U3" i="62"/>
  <c r="T3" i="62"/>
  <c r="S3" i="62"/>
  <c r="R3" i="62"/>
  <c r="Q3" i="62"/>
  <c r="P3" i="62"/>
  <c r="O3" i="62"/>
  <c r="N3" i="62"/>
  <c r="M3" i="62"/>
  <c r="L3" i="62"/>
  <c r="K3" i="62"/>
  <c r="I3" i="62"/>
  <c r="H3" i="62"/>
  <c r="E3" i="62"/>
  <c r="D3" i="62"/>
  <c r="C3" i="62"/>
  <c r="B3" i="62"/>
  <c r="A3" i="62"/>
  <c r="AF2" i="62"/>
  <c r="AE2" i="62"/>
  <c r="AD2" i="62"/>
  <c r="BW46" i="63" s="1"/>
  <c r="W2" i="62"/>
  <c r="V2" i="62"/>
  <c r="U2" i="62"/>
  <c r="T2" i="62"/>
  <c r="S2" i="62"/>
  <c r="R2" i="62"/>
  <c r="Q2" i="62"/>
  <c r="P2" i="62"/>
  <c r="O2" i="62"/>
  <c r="N2" i="62"/>
  <c r="M2" i="62"/>
  <c r="L2" i="62"/>
  <c r="K2" i="62"/>
  <c r="I2" i="62"/>
  <c r="H2" i="62"/>
  <c r="E2" i="62"/>
  <c r="D2" i="62"/>
  <c r="C2" i="62"/>
  <c r="B2" i="62"/>
  <c r="A2" i="62"/>
  <c r="AF40" i="61"/>
  <c r="AD40" i="61"/>
  <c r="AB40" i="61"/>
  <c r="AA40" i="61"/>
  <c r="W40" i="61"/>
  <c r="V40" i="61"/>
  <c r="U40" i="61"/>
  <c r="T40" i="61"/>
  <c r="S40" i="61"/>
  <c r="R40" i="61"/>
  <c r="Q40" i="61"/>
  <c r="P40" i="61"/>
  <c r="O40" i="61"/>
  <c r="N40" i="61"/>
  <c r="M40" i="61"/>
  <c r="L40" i="61"/>
  <c r="K40" i="61"/>
  <c r="I40" i="61"/>
  <c r="H40" i="61"/>
  <c r="E40" i="61"/>
  <c r="D40" i="61"/>
  <c r="C40" i="61"/>
  <c r="B40" i="61"/>
  <c r="A40" i="61"/>
  <c r="AF39" i="61"/>
  <c r="AD39" i="61"/>
  <c r="AB39" i="61"/>
  <c r="AA39" i="61"/>
  <c r="W39" i="61"/>
  <c r="V39" i="61"/>
  <c r="U39" i="61"/>
  <c r="T39" i="61"/>
  <c r="S39" i="61"/>
  <c r="R39" i="61"/>
  <c r="Q39" i="61"/>
  <c r="P39" i="61"/>
  <c r="O39" i="61"/>
  <c r="N39" i="61"/>
  <c r="M39" i="61"/>
  <c r="L39" i="61"/>
  <c r="K39" i="61"/>
  <c r="I39" i="61"/>
  <c r="H39" i="61"/>
  <c r="E39" i="61"/>
  <c r="D39" i="61"/>
  <c r="C39" i="61"/>
  <c r="B39" i="61"/>
  <c r="A39" i="61"/>
  <c r="AF38" i="61"/>
  <c r="AD38" i="61"/>
  <c r="AB38" i="61"/>
  <c r="AA38" i="61"/>
  <c r="W38" i="61"/>
  <c r="V38" i="61"/>
  <c r="U38" i="61"/>
  <c r="T38" i="61"/>
  <c r="S38" i="61"/>
  <c r="R38" i="61"/>
  <c r="Q38" i="61"/>
  <c r="P38" i="61"/>
  <c r="O38" i="61"/>
  <c r="N38" i="61"/>
  <c r="M38" i="61"/>
  <c r="L38" i="61"/>
  <c r="K38" i="61"/>
  <c r="I38" i="61"/>
  <c r="H38" i="61"/>
  <c r="E38" i="61"/>
  <c r="D38" i="61"/>
  <c r="C38" i="61"/>
  <c r="B38" i="61"/>
  <c r="A38" i="61"/>
  <c r="AF37" i="61"/>
  <c r="AD37" i="61"/>
  <c r="AB37" i="61"/>
  <c r="AA37" i="61"/>
  <c r="W37" i="61"/>
  <c r="V37" i="61"/>
  <c r="U37" i="61"/>
  <c r="T37" i="61"/>
  <c r="S37" i="61"/>
  <c r="R37" i="61"/>
  <c r="Q37" i="61"/>
  <c r="P37" i="61"/>
  <c r="O37" i="61"/>
  <c r="N37" i="61"/>
  <c r="M37" i="61"/>
  <c r="L37" i="61"/>
  <c r="K37" i="61"/>
  <c r="I37" i="61"/>
  <c r="H37" i="61"/>
  <c r="E37" i="61"/>
  <c r="D37" i="61"/>
  <c r="C37" i="61"/>
  <c r="B37" i="61"/>
  <c r="A37" i="61"/>
  <c r="AF36" i="61"/>
  <c r="AD36" i="61"/>
  <c r="AB36" i="61"/>
  <c r="AA36" i="61"/>
  <c r="W36" i="61"/>
  <c r="V36" i="61"/>
  <c r="U36" i="61"/>
  <c r="T36" i="61"/>
  <c r="S36" i="61"/>
  <c r="R36" i="61"/>
  <c r="Q36" i="61"/>
  <c r="P36" i="61"/>
  <c r="O36" i="61"/>
  <c r="N36" i="61"/>
  <c r="M36" i="61"/>
  <c r="L36" i="61"/>
  <c r="K36" i="61"/>
  <c r="I36" i="61"/>
  <c r="H36" i="61"/>
  <c r="E36" i="61"/>
  <c r="D36" i="61"/>
  <c r="C36" i="61"/>
  <c r="B36" i="61"/>
  <c r="A36" i="61"/>
  <c r="AF35" i="61"/>
  <c r="AD35" i="61"/>
  <c r="AB35" i="61"/>
  <c r="AA35" i="61"/>
  <c r="W35" i="61"/>
  <c r="V35" i="61"/>
  <c r="U35" i="61"/>
  <c r="T35" i="61"/>
  <c r="S35" i="61"/>
  <c r="R35" i="61"/>
  <c r="Q35" i="61"/>
  <c r="P35" i="61"/>
  <c r="O35" i="61"/>
  <c r="N35" i="61"/>
  <c r="M35" i="61"/>
  <c r="L35" i="61"/>
  <c r="K35" i="61"/>
  <c r="I35" i="61"/>
  <c r="H35" i="61"/>
  <c r="E35" i="61"/>
  <c r="D35" i="61"/>
  <c r="C35" i="61"/>
  <c r="B35" i="61"/>
  <c r="A35" i="61"/>
  <c r="AF34" i="61"/>
  <c r="AD34" i="61"/>
  <c r="AB34" i="61"/>
  <c r="AA34" i="61"/>
  <c r="W34" i="61"/>
  <c r="V34" i="61"/>
  <c r="U34" i="61"/>
  <c r="T34" i="61"/>
  <c r="S34" i="61"/>
  <c r="R34" i="61"/>
  <c r="Q34" i="61"/>
  <c r="P34" i="61"/>
  <c r="O34" i="61"/>
  <c r="N34" i="61"/>
  <c r="M34" i="61"/>
  <c r="L34" i="61"/>
  <c r="K34" i="61"/>
  <c r="I34" i="61"/>
  <c r="H34" i="61"/>
  <c r="E34" i="61"/>
  <c r="D34" i="61"/>
  <c r="C34" i="61"/>
  <c r="B34" i="61"/>
  <c r="A34" i="61"/>
  <c r="AF33" i="61"/>
  <c r="AD33" i="61"/>
  <c r="AB33" i="61"/>
  <c r="AA33" i="61"/>
  <c r="W33" i="61"/>
  <c r="V33" i="61"/>
  <c r="U33" i="61"/>
  <c r="T33" i="61"/>
  <c r="S33" i="61"/>
  <c r="R33" i="61"/>
  <c r="Q33" i="61"/>
  <c r="P33" i="61"/>
  <c r="O33" i="61"/>
  <c r="N33" i="61"/>
  <c r="M33" i="61"/>
  <c r="L33" i="61"/>
  <c r="K33" i="61"/>
  <c r="I33" i="61"/>
  <c r="H33" i="61"/>
  <c r="E33" i="61"/>
  <c r="D33" i="61"/>
  <c r="C33" i="61"/>
  <c r="B33" i="61"/>
  <c r="A33" i="61"/>
  <c r="AF32" i="61"/>
  <c r="AD32" i="61"/>
  <c r="AB32" i="61"/>
  <c r="AA32" i="61"/>
  <c r="W32" i="61"/>
  <c r="V32" i="61"/>
  <c r="U32" i="61"/>
  <c r="T32" i="61"/>
  <c r="S32" i="61"/>
  <c r="R32" i="61"/>
  <c r="Q32" i="61"/>
  <c r="P32" i="61"/>
  <c r="O32" i="61"/>
  <c r="N32" i="61"/>
  <c r="M32" i="61"/>
  <c r="L32" i="61"/>
  <c r="K32" i="61"/>
  <c r="I32" i="61"/>
  <c r="H32" i="61"/>
  <c r="E32" i="61"/>
  <c r="D32" i="61"/>
  <c r="C32" i="61"/>
  <c r="B32" i="61"/>
  <c r="A32" i="61"/>
  <c r="AF31" i="61"/>
  <c r="AD31" i="61"/>
  <c r="AB31" i="61"/>
  <c r="AA31" i="61"/>
  <c r="W31" i="61"/>
  <c r="V31" i="61"/>
  <c r="U31" i="61"/>
  <c r="T31" i="61"/>
  <c r="S31" i="61"/>
  <c r="R31" i="61"/>
  <c r="Q31" i="61"/>
  <c r="P31" i="61"/>
  <c r="O31" i="61"/>
  <c r="N31" i="61"/>
  <c r="M31" i="61"/>
  <c r="L31" i="61"/>
  <c r="K31" i="61"/>
  <c r="I31" i="61"/>
  <c r="H31" i="61"/>
  <c r="E31" i="61"/>
  <c r="D31" i="61"/>
  <c r="C31" i="61"/>
  <c r="B31" i="61"/>
  <c r="A31" i="61"/>
  <c r="AF30" i="61"/>
  <c r="AD30" i="61"/>
  <c r="AB30" i="61"/>
  <c r="AA30" i="61"/>
  <c r="W30" i="61"/>
  <c r="V30" i="61"/>
  <c r="U30" i="61"/>
  <c r="T30" i="61"/>
  <c r="S30" i="61"/>
  <c r="R30" i="61"/>
  <c r="Q30" i="61"/>
  <c r="P30" i="61"/>
  <c r="O30" i="61"/>
  <c r="N30" i="61"/>
  <c r="M30" i="61"/>
  <c r="L30" i="61"/>
  <c r="K30" i="61"/>
  <c r="I30" i="61"/>
  <c r="H30" i="61"/>
  <c r="E30" i="61"/>
  <c r="D30" i="61"/>
  <c r="C30" i="61"/>
  <c r="B30" i="61"/>
  <c r="A30" i="61"/>
  <c r="AF29" i="61"/>
  <c r="AD29" i="61"/>
  <c r="AB29" i="61"/>
  <c r="AA29" i="61"/>
  <c r="W29" i="61"/>
  <c r="V29" i="61"/>
  <c r="U29" i="61"/>
  <c r="T29" i="61"/>
  <c r="S29" i="61"/>
  <c r="R29" i="61"/>
  <c r="Q29" i="61"/>
  <c r="P29" i="61"/>
  <c r="O29" i="61"/>
  <c r="N29" i="61"/>
  <c r="M29" i="61"/>
  <c r="L29" i="61"/>
  <c r="K29" i="61"/>
  <c r="I29" i="61"/>
  <c r="H29" i="61"/>
  <c r="E29" i="61"/>
  <c r="D29" i="61"/>
  <c r="C29" i="61"/>
  <c r="B29" i="61"/>
  <c r="A29" i="61"/>
  <c r="AF28" i="61"/>
  <c r="AD28" i="61"/>
  <c r="AB28" i="61"/>
  <c r="AA28" i="61"/>
  <c r="W28" i="61"/>
  <c r="V28" i="61"/>
  <c r="U28" i="61"/>
  <c r="T28" i="61"/>
  <c r="S28" i="61"/>
  <c r="R28" i="61"/>
  <c r="Q28" i="61"/>
  <c r="P28" i="61"/>
  <c r="O28" i="61"/>
  <c r="N28" i="61"/>
  <c r="M28" i="61"/>
  <c r="L28" i="61"/>
  <c r="K28" i="61"/>
  <c r="I28" i="61"/>
  <c r="H28" i="61"/>
  <c r="E28" i="61"/>
  <c r="D28" i="61"/>
  <c r="C28" i="61"/>
  <c r="B28" i="61"/>
  <c r="A28" i="61"/>
  <c r="AF27" i="61"/>
  <c r="AD27" i="61"/>
  <c r="AB27" i="61"/>
  <c r="AA27" i="61"/>
  <c r="W27" i="61"/>
  <c r="V27" i="61"/>
  <c r="U27" i="61"/>
  <c r="T27" i="61"/>
  <c r="S27" i="61"/>
  <c r="R27" i="61"/>
  <c r="Q27" i="61"/>
  <c r="P27" i="61"/>
  <c r="O27" i="61"/>
  <c r="N27" i="61"/>
  <c r="M27" i="61"/>
  <c r="L27" i="61"/>
  <c r="K27" i="61"/>
  <c r="I27" i="61"/>
  <c r="H27" i="61"/>
  <c r="E27" i="61"/>
  <c r="D27" i="61"/>
  <c r="C27" i="61"/>
  <c r="B27" i="61"/>
  <c r="A27" i="61"/>
  <c r="AF26" i="61"/>
  <c r="AD26" i="61"/>
  <c r="AB26" i="61"/>
  <c r="AA26" i="61"/>
  <c r="W26" i="61"/>
  <c r="V26" i="61"/>
  <c r="U26" i="61"/>
  <c r="T26" i="61"/>
  <c r="S26" i="61"/>
  <c r="R26" i="61"/>
  <c r="Q26" i="61"/>
  <c r="P26" i="61"/>
  <c r="O26" i="61"/>
  <c r="N26" i="61"/>
  <c r="M26" i="61"/>
  <c r="L26" i="61"/>
  <c r="K26" i="61"/>
  <c r="I26" i="61"/>
  <c r="H26" i="61"/>
  <c r="E26" i="61"/>
  <c r="D26" i="61"/>
  <c r="C26" i="61"/>
  <c r="B26" i="61"/>
  <c r="A26" i="61"/>
  <c r="AF25" i="61"/>
  <c r="AD25" i="61"/>
  <c r="AB25" i="61"/>
  <c r="AA25" i="61"/>
  <c r="W25" i="61"/>
  <c r="V25" i="61"/>
  <c r="U25" i="61"/>
  <c r="T25" i="61"/>
  <c r="S25" i="61"/>
  <c r="R25" i="61"/>
  <c r="Q25" i="61"/>
  <c r="P25" i="61"/>
  <c r="O25" i="61"/>
  <c r="N25" i="61"/>
  <c r="M25" i="61"/>
  <c r="L25" i="61"/>
  <c r="K25" i="61"/>
  <c r="I25" i="61"/>
  <c r="H25" i="61"/>
  <c r="E25" i="61"/>
  <c r="D25" i="61"/>
  <c r="C25" i="61"/>
  <c r="B25" i="61"/>
  <c r="A25" i="61"/>
  <c r="AF24" i="61"/>
  <c r="AD24" i="61"/>
  <c r="AB24" i="61"/>
  <c r="AA24" i="61"/>
  <c r="W24" i="61"/>
  <c r="V24" i="61"/>
  <c r="U24" i="61"/>
  <c r="T24" i="61"/>
  <c r="S24" i="61"/>
  <c r="R24" i="61"/>
  <c r="Q24" i="61"/>
  <c r="P24" i="61"/>
  <c r="O24" i="61"/>
  <c r="N24" i="61"/>
  <c r="M24" i="61"/>
  <c r="L24" i="61"/>
  <c r="K24" i="61"/>
  <c r="I24" i="61"/>
  <c r="H24" i="61"/>
  <c r="E24" i="61"/>
  <c r="D24" i="61"/>
  <c r="C24" i="61"/>
  <c r="B24" i="61"/>
  <c r="A24" i="61"/>
  <c r="AF23" i="61"/>
  <c r="AD23" i="61"/>
  <c r="AB23" i="61"/>
  <c r="AA23" i="61"/>
  <c r="W23" i="61"/>
  <c r="V23" i="61"/>
  <c r="U23" i="61"/>
  <c r="T23" i="61"/>
  <c r="S23" i="61"/>
  <c r="R23" i="61"/>
  <c r="Q23" i="61"/>
  <c r="P23" i="61"/>
  <c r="O23" i="61"/>
  <c r="N23" i="61"/>
  <c r="M23" i="61"/>
  <c r="L23" i="61"/>
  <c r="K23" i="61"/>
  <c r="I23" i="61"/>
  <c r="H23" i="61"/>
  <c r="E23" i="61"/>
  <c r="D23" i="61"/>
  <c r="C23" i="61"/>
  <c r="B23" i="61"/>
  <c r="A23" i="61"/>
  <c r="AF22" i="61"/>
  <c r="AD22" i="61"/>
  <c r="AB22" i="61"/>
  <c r="AA22" i="61"/>
  <c r="W22" i="61"/>
  <c r="V22" i="61"/>
  <c r="U22" i="61"/>
  <c r="T22" i="61"/>
  <c r="S22" i="61"/>
  <c r="R22" i="61"/>
  <c r="Q22" i="61"/>
  <c r="P22" i="61"/>
  <c r="O22" i="61"/>
  <c r="N22" i="61"/>
  <c r="M22" i="61"/>
  <c r="L22" i="61"/>
  <c r="K22" i="61"/>
  <c r="I22" i="61"/>
  <c r="H22" i="61"/>
  <c r="E22" i="61"/>
  <c r="D22" i="61"/>
  <c r="C22" i="61"/>
  <c r="B22" i="61"/>
  <c r="A22" i="61"/>
  <c r="AF21" i="61"/>
  <c r="AD21" i="61"/>
  <c r="AB21" i="61"/>
  <c r="AA21" i="61"/>
  <c r="W21" i="61"/>
  <c r="V21" i="61"/>
  <c r="U21" i="61"/>
  <c r="T21" i="61"/>
  <c r="S21" i="61"/>
  <c r="R21" i="61"/>
  <c r="Q21" i="61"/>
  <c r="P21" i="61"/>
  <c r="O21" i="61"/>
  <c r="N21" i="61"/>
  <c r="M21" i="61"/>
  <c r="L21" i="61"/>
  <c r="K21" i="61"/>
  <c r="I21" i="61"/>
  <c r="H21" i="61"/>
  <c r="E21" i="61"/>
  <c r="D21" i="61"/>
  <c r="C21" i="61"/>
  <c r="B21" i="61"/>
  <c r="A21" i="61"/>
  <c r="AF20" i="61"/>
  <c r="AD20" i="61"/>
  <c r="AB20" i="61"/>
  <c r="AA20" i="61"/>
  <c r="W20" i="61"/>
  <c r="V20" i="61"/>
  <c r="U20" i="61"/>
  <c r="T20" i="61"/>
  <c r="S20" i="61"/>
  <c r="R20" i="61"/>
  <c r="Q20" i="61"/>
  <c r="P20" i="61"/>
  <c r="O20" i="61"/>
  <c r="N20" i="61"/>
  <c r="M20" i="61"/>
  <c r="L20" i="61"/>
  <c r="K20" i="61"/>
  <c r="I20" i="61"/>
  <c r="H20" i="61"/>
  <c r="E20" i="61"/>
  <c r="D20" i="61"/>
  <c r="C20" i="61"/>
  <c r="B20" i="61"/>
  <c r="A20" i="61"/>
  <c r="AF19" i="61"/>
  <c r="AD19" i="61"/>
  <c r="AB19" i="61"/>
  <c r="AA19" i="61"/>
  <c r="W19" i="61"/>
  <c r="V19" i="61"/>
  <c r="U19" i="61"/>
  <c r="T19" i="61"/>
  <c r="S19" i="61"/>
  <c r="R19" i="61"/>
  <c r="Q19" i="61"/>
  <c r="P19" i="61"/>
  <c r="O19" i="61"/>
  <c r="N19" i="61"/>
  <c r="M19" i="61"/>
  <c r="L19" i="61"/>
  <c r="K19" i="61"/>
  <c r="I19" i="61"/>
  <c r="H19" i="61"/>
  <c r="E19" i="61"/>
  <c r="D19" i="61"/>
  <c r="C19" i="61"/>
  <c r="B19" i="61"/>
  <c r="A19" i="61"/>
  <c r="AF18" i="61"/>
  <c r="AD18" i="61"/>
  <c r="AB18" i="61"/>
  <c r="AA18" i="61"/>
  <c r="W18" i="61"/>
  <c r="V18" i="61"/>
  <c r="U18" i="61"/>
  <c r="T18" i="61"/>
  <c r="S18" i="61"/>
  <c r="R18" i="61"/>
  <c r="Q18" i="61"/>
  <c r="P18" i="61"/>
  <c r="O18" i="61"/>
  <c r="N18" i="61"/>
  <c r="M18" i="61"/>
  <c r="L18" i="61"/>
  <c r="K18" i="61"/>
  <c r="I18" i="61"/>
  <c r="H18" i="61"/>
  <c r="E18" i="61"/>
  <c r="D18" i="61"/>
  <c r="C18" i="61"/>
  <c r="B18" i="61"/>
  <c r="A18" i="61"/>
  <c r="AF17" i="61"/>
  <c r="AD17" i="61"/>
  <c r="AB17" i="61"/>
  <c r="AA17" i="61"/>
  <c r="W17" i="61"/>
  <c r="V17" i="61"/>
  <c r="U17" i="61"/>
  <c r="T17" i="61"/>
  <c r="S17" i="61"/>
  <c r="R17" i="61"/>
  <c r="Q17" i="61"/>
  <c r="P17" i="61"/>
  <c r="O17" i="61"/>
  <c r="N17" i="61"/>
  <c r="M17" i="61"/>
  <c r="L17" i="61"/>
  <c r="K17" i="61"/>
  <c r="I17" i="61"/>
  <c r="H17" i="61"/>
  <c r="E17" i="61"/>
  <c r="D17" i="61"/>
  <c r="C17" i="61"/>
  <c r="B17" i="61"/>
  <c r="A17" i="61"/>
  <c r="AF16" i="61"/>
  <c r="AD16" i="61"/>
  <c r="AB16" i="61"/>
  <c r="AA16" i="61"/>
  <c r="W16" i="61"/>
  <c r="V16" i="61"/>
  <c r="U16" i="61"/>
  <c r="T16" i="61"/>
  <c r="S16" i="61"/>
  <c r="R16" i="61"/>
  <c r="Q16" i="61"/>
  <c r="P16" i="61"/>
  <c r="O16" i="61"/>
  <c r="N16" i="61"/>
  <c r="M16" i="61"/>
  <c r="L16" i="61"/>
  <c r="K16" i="61"/>
  <c r="I16" i="61"/>
  <c r="H16" i="61"/>
  <c r="E16" i="61"/>
  <c r="D16" i="61"/>
  <c r="C16" i="61"/>
  <c r="B16" i="61"/>
  <c r="A16" i="61"/>
  <c r="AF15" i="61"/>
  <c r="AD15" i="61"/>
  <c r="AB15" i="61"/>
  <c r="AA15" i="61"/>
  <c r="W15" i="61"/>
  <c r="V15" i="61"/>
  <c r="U15" i="61"/>
  <c r="T15" i="61"/>
  <c r="S15" i="61"/>
  <c r="R15" i="61"/>
  <c r="Q15" i="61"/>
  <c r="P15" i="61"/>
  <c r="O15" i="61"/>
  <c r="N15" i="61"/>
  <c r="M15" i="61"/>
  <c r="L15" i="61"/>
  <c r="K15" i="61"/>
  <c r="I15" i="61"/>
  <c r="H15" i="61"/>
  <c r="E15" i="61"/>
  <c r="D15" i="61"/>
  <c r="C15" i="61"/>
  <c r="B15" i="61"/>
  <c r="A15" i="61"/>
  <c r="AF14" i="61"/>
  <c r="AD14" i="61"/>
  <c r="AB14" i="61"/>
  <c r="AA14" i="61"/>
  <c r="W14" i="61"/>
  <c r="V14" i="61"/>
  <c r="U14" i="61"/>
  <c r="T14" i="61"/>
  <c r="S14" i="61"/>
  <c r="R14" i="61"/>
  <c r="Q14" i="61"/>
  <c r="P14" i="61"/>
  <c r="O14" i="61"/>
  <c r="N14" i="61"/>
  <c r="M14" i="61"/>
  <c r="L14" i="61"/>
  <c r="K14" i="61"/>
  <c r="I14" i="61"/>
  <c r="H14" i="61"/>
  <c r="E14" i="61"/>
  <c r="D14" i="61"/>
  <c r="C14" i="61"/>
  <c r="B14" i="61"/>
  <c r="A14" i="61"/>
  <c r="AF13" i="61"/>
  <c r="AD13" i="61"/>
  <c r="AB13" i="61"/>
  <c r="AA13" i="61"/>
  <c r="W13" i="61"/>
  <c r="V13" i="61"/>
  <c r="U13" i="61"/>
  <c r="T13" i="61"/>
  <c r="S13" i="61"/>
  <c r="R13" i="61"/>
  <c r="Q13" i="61"/>
  <c r="P13" i="61"/>
  <c r="O13" i="61"/>
  <c r="N13" i="61"/>
  <c r="M13" i="61"/>
  <c r="L13" i="61"/>
  <c r="K13" i="61"/>
  <c r="I13" i="61"/>
  <c r="H13" i="61"/>
  <c r="E13" i="61"/>
  <c r="D13" i="61"/>
  <c r="C13" i="61"/>
  <c r="B13" i="61"/>
  <c r="A13" i="61"/>
  <c r="AF12" i="61"/>
  <c r="AD12" i="61"/>
  <c r="AB12" i="61"/>
  <c r="AA12" i="61"/>
  <c r="W12" i="61"/>
  <c r="V12" i="61"/>
  <c r="U12" i="61"/>
  <c r="T12" i="61"/>
  <c r="S12" i="61"/>
  <c r="R12" i="61"/>
  <c r="Q12" i="61"/>
  <c r="P12" i="61"/>
  <c r="O12" i="61"/>
  <c r="N12" i="61"/>
  <c r="M12" i="61"/>
  <c r="L12" i="61"/>
  <c r="K12" i="61"/>
  <c r="I12" i="61"/>
  <c r="H12" i="61"/>
  <c r="E12" i="61"/>
  <c r="D12" i="61"/>
  <c r="C12" i="61"/>
  <c r="B12" i="61"/>
  <c r="A12" i="61"/>
  <c r="AF11" i="61"/>
  <c r="AD11" i="61"/>
  <c r="AB11" i="61"/>
  <c r="AA11" i="61"/>
  <c r="W11" i="61"/>
  <c r="V11" i="61"/>
  <c r="U11" i="61"/>
  <c r="T11" i="61"/>
  <c r="S11" i="61"/>
  <c r="R11" i="61"/>
  <c r="Q11" i="61"/>
  <c r="P11" i="61"/>
  <c r="O11" i="61"/>
  <c r="N11" i="61"/>
  <c r="M11" i="61"/>
  <c r="L11" i="61"/>
  <c r="K11" i="61"/>
  <c r="I11" i="61"/>
  <c r="H11" i="61"/>
  <c r="E11" i="61"/>
  <c r="D11" i="61"/>
  <c r="C11" i="61"/>
  <c r="B11" i="61"/>
  <c r="A11" i="61"/>
  <c r="AF10" i="61"/>
  <c r="AD10" i="61"/>
  <c r="AB10" i="61"/>
  <c r="AA10" i="61"/>
  <c r="W10" i="61"/>
  <c r="V10" i="61"/>
  <c r="U10" i="61"/>
  <c r="T10" i="61"/>
  <c r="S10" i="61"/>
  <c r="R10" i="61"/>
  <c r="Q10" i="61"/>
  <c r="P10" i="61"/>
  <c r="O10" i="61"/>
  <c r="N10" i="61"/>
  <c r="M10" i="61"/>
  <c r="L10" i="61"/>
  <c r="K10" i="61"/>
  <c r="I10" i="61"/>
  <c r="H10" i="61"/>
  <c r="E10" i="61"/>
  <c r="D10" i="61"/>
  <c r="C10" i="61"/>
  <c r="B10" i="61"/>
  <c r="A10" i="61"/>
  <c r="AF9" i="61"/>
  <c r="AD9" i="61"/>
  <c r="AB9" i="61"/>
  <c r="AA9" i="61"/>
  <c r="W9" i="61"/>
  <c r="V9" i="61"/>
  <c r="U9" i="61"/>
  <c r="T9" i="61"/>
  <c r="S9" i="61"/>
  <c r="R9" i="61"/>
  <c r="Q9" i="61"/>
  <c r="P9" i="61"/>
  <c r="O9" i="61"/>
  <c r="N9" i="61"/>
  <c r="M9" i="61"/>
  <c r="L9" i="61"/>
  <c r="K9" i="61"/>
  <c r="I9" i="61"/>
  <c r="H9" i="61"/>
  <c r="E9" i="61"/>
  <c r="D9" i="61"/>
  <c r="C9" i="61"/>
  <c r="B9" i="61"/>
  <c r="A9" i="61"/>
  <c r="AF8" i="61"/>
  <c r="AD8" i="61"/>
  <c r="AB8" i="61"/>
  <c r="AA8" i="61"/>
  <c r="W8" i="61"/>
  <c r="V8" i="61"/>
  <c r="U8" i="61"/>
  <c r="T8" i="61"/>
  <c r="S8" i="61"/>
  <c r="R8" i="61"/>
  <c r="Q8" i="61"/>
  <c r="P8" i="61"/>
  <c r="O8" i="61"/>
  <c r="N8" i="61"/>
  <c r="M8" i="61"/>
  <c r="L8" i="61"/>
  <c r="K8" i="61"/>
  <c r="I8" i="61"/>
  <c r="H8" i="61"/>
  <c r="E8" i="61"/>
  <c r="D8" i="61"/>
  <c r="C8" i="61"/>
  <c r="B8" i="61"/>
  <c r="A8" i="61"/>
  <c r="AF7" i="61"/>
  <c r="AD7" i="61"/>
  <c r="AB7" i="61"/>
  <c r="AA7" i="61"/>
  <c r="W7" i="61"/>
  <c r="V7" i="61"/>
  <c r="U7" i="61"/>
  <c r="T7" i="61"/>
  <c r="S7" i="61"/>
  <c r="R7" i="61"/>
  <c r="Q7" i="61"/>
  <c r="P7" i="61"/>
  <c r="O7" i="61"/>
  <c r="N7" i="61"/>
  <c r="M7" i="61"/>
  <c r="L7" i="61"/>
  <c r="K7" i="61"/>
  <c r="I7" i="61"/>
  <c r="H7" i="61"/>
  <c r="E7" i="61"/>
  <c r="D7" i="61"/>
  <c r="C7" i="61"/>
  <c r="B7" i="61"/>
  <c r="A7" i="61"/>
  <c r="AF6" i="61"/>
  <c r="AD6" i="61"/>
  <c r="AB6" i="61"/>
  <c r="AA6" i="61"/>
  <c r="W6" i="61"/>
  <c r="V6" i="61"/>
  <c r="U6" i="61"/>
  <c r="T6" i="61"/>
  <c r="S6" i="61"/>
  <c r="R6" i="61"/>
  <c r="Q6" i="61"/>
  <c r="P6" i="61"/>
  <c r="O6" i="61"/>
  <c r="N6" i="61"/>
  <c r="M6" i="61"/>
  <c r="L6" i="61"/>
  <c r="K6" i="61"/>
  <c r="I6" i="61"/>
  <c r="H6" i="61"/>
  <c r="E6" i="61"/>
  <c r="D6" i="61"/>
  <c r="C6" i="61"/>
  <c r="B6" i="61"/>
  <c r="A6" i="61"/>
  <c r="AF5" i="61"/>
  <c r="AD5" i="61"/>
  <c r="AB5" i="61"/>
  <c r="AA5" i="61"/>
  <c r="W5" i="61"/>
  <c r="V5" i="61"/>
  <c r="U5" i="61"/>
  <c r="T5" i="61"/>
  <c r="S5" i="61"/>
  <c r="R5" i="61"/>
  <c r="Q5" i="61"/>
  <c r="P5" i="61"/>
  <c r="O5" i="61"/>
  <c r="N5" i="61"/>
  <c r="M5" i="61"/>
  <c r="L5" i="61"/>
  <c r="K5" i="61"/>
  <c r="I5" i="61"/>
  <c r="H5" i="61"/>
  <c r="E5" i="61"/>
  <c r="D5" i="61"/>
  <c r="C5" i="61"/>
  <c r="B5" i="61"/>
  <c r="A5" i="61"/>
  <c r="AF4" i="61"/>
  <c r="AD4" i="61"/>
  <c r="AB4" i="61"/>
  <c r="AA4" i="61"/>
  <c r="W4" i="61"/>
  <c r="V4" i="61"/>
  <c r="U4" i="61"/>
  <c r="T4" i="61"/>
  <c r="S4" i="61"/>
  <c r="R4" i="61"/>
  <c r="Q4" i="61"/>
  <c r="P4" i="61"/>
  <c r="O4" i="61"/>
  <c r="N4" i="61"/>
  <c r="M4" i="61"/>
  <c r="L4" i="61"/>
  <c r="K4" i="61"/>
  <c r="I4" i="61"/>
  <c r="H4" i="61"/>
  <c r="E4" i="61"/>
  <c r="D4" i="61"/>
  <c r="C4" i="61"/>
  <c r="B4" i="61"/>
  <c r="A4" i="61"/>
  <c r="AF3" i="61"/>
  <c r="AD3" i="61"/>
  <c r="AB3" i="61"/>
  <c r="AA3" i="61"/>
  <c r="W3" i="61"/>
  <c r="V3" i="61"/>
  <c r="U3" i="61"/>
  <c r="T3" i="61"/>
  <c r="S3" i="61"/>
  <c r="R3" i="61"/>
  <c r="Q3" i="61"/>
  <c r="P3" i="61"/>
  <c r="O3" i="61"/>
  <c r="N3" i="61"/>
  <c r="M3" i="61"/>
  <c r="L3" i="61"/>
  <c r="K3" i="61"/>
  <c r="I3" i="61"/>
  <c r="H3" i="61"/>
  <c r="E3" i="61"/>
  <c r="D3" i="61"/>
  <c r="C3" i="61"/>
  <c r="B3" i="61"/>
  <c r="A3" i="61"/>
  <c r="AF2" i="61"/>
  <c r="AD2" i="61"/>
  <c r="AB2" i="61"/>
  <c r="AA2" i="61"/>
  <c r="W2" i="61"/>
  <c r="V2" i="61"/>
  <c r="U2" i="61"/>
  <c r="T2" i="61"/>
  <c r="S2" i="61"/>
  <c r="R2" i="61"/>
  <c r="Q2" i="61"/>
  <c r="P2" i="61"/>
  <c r="O2" i="61"/>
  <c r="N2" i="61"/>
  <c r="M2" i="61"/>
  <c r="L2" i="61"/>
  <c r="K2" i="61"/>
  <c r="I2" i="61"/>
  <c r="H2" i="61"/>
  <c r="E2" i="61"/>
  <c r="D2" i="61"/>
  <c r="C2" i="61"/>
  <c r="B2" i="61"/>
  <c r="A2" i="61"/>
  <c r="W27" i="60"/>
  <c r="V27" i="60"/>
  <c r="U27" i="60"/>
  <c r="T27" i="60"/>
  <c r="S27" i="60"/>
  <c r="R27" i="60"/>
  <c r="Q27" i="60"/>
  <c r="P27" i="60"/>
  <c r="O27" i="60"/>
  <c r="N27" i="60"/>
  <c r="M27" i="60"/>
  <c r="L27" i="60"/>
  <c r="K27" i="60"/>
  <c r="I27" i="60"/>
  <c r="H27" i="60"/>
  <c r="E27" i="60"/>
  <c r="D27" i="60"/>
  <c r="C27" i="60"/>
  <c r="B27" i="60"/>
  <c r="A27" i="60"/>
  <c r="W26" i="60"/>
  <c r="V26" i="60"/>
  <c r="U26" i="60"/>
  <c r="T26" i="60"/>
  <c r="S26" i="60"/>
  <c r="R26" i="60"/>
  <c r="Q26" i="60"/>
  <c r="P26" i="60"/>
  <c r="O26" i="60"/>
  <c r="N26" i="60"/>
  <c r="M26" i="60"/>
  <c r="L26" i="60"/>
  <c r="K26" i="60"/>
  <c r="I26" i="60"/>
  <c r="H26" i="60"/>
  <c r="E26" i="60"/>
  <c r="D26" i="60"/>
  <c r="C26" i="60"/>
  <c r="B26" i="60"/>
  <c r="A26" i="60"/>
  <c r="W25" i="60"/>
  <c r="V25" i="60"/>
  <c r="U25" i="60"/>
  <c r="T25" i="60"/>
  <c r="S25" i="60"/>
  <c r="R25" i="60"/>
  <c r="Q25" i="60"/>
  <c r="P25" i="60"/>
  <c r="O25" i="60"/>
  <c r="N25" i="60"/>
  <c r="M25" i="60"/>
  <c r="L25" i="60"/>
  <c r="K25" i="60"/>
  <c r="I25" i="60"/>
  <c r="H25" i="60"/>
  <c r="E25" i="60"/>
  <c r="D25" i="60"/>
  <c r="C25" i="60"/>
  <c r="B25" i="60"/>
  <c r="A25" i="60"/>
  <c r="AE24" i="60"/>
  <c r="W24" i="60"/>
  <c r="V24" i="60"/>
  <c r="U24" i="60"/>
  <c r="T24" i="60"/>
  <c r="S24" i="60"/>
  <c r="R24" i="60"/>
  <c r="Q24" i="60"/>
  <c r="P24" i="60"/>
  <c r="O24" i="60"/>
  <c r="N24" i="60"/>
  <c r="M24" i="60"/>
  <c r="L24" i="60"/>
  <c r="K24" i="60"/>
  <c r="I24" i="60"/>
  <c r="H24" i="60"/>
  <c r="E24" i="60"/>
  <c r="D24" i="60"/>
  <c r="C24" i="60"/>
  <c r="B24" i="60"/>
  <c r="A24" i="60"/>
  <c r="AE23" i="60"/>
  <c r="W23" i="60"/>
  <c r="V23" i="60"/>
  <c r="U23" i="60"/>
  <c r="T23" i="60"/>
  <c r="S23" i="60"/>
  <c r="R23" i="60"/>
  <c r="Q23" i="60"/>
  <c r="P23" i="60"/>
  <c r="O23" i="60"/>
  <c r="N23" i="60"/>
  <c r="M23" i="60"/>
  <c r="L23" i="60"/>
  <c r="K23" i="60"/>
  <c r="I23" i="60"/>
  <c r="H23" i="60"/>
  <c r="E23" i="60"/>
  <c r="D23" i="60"/>
  <c r="C23" i="60"/>
  <c r="B23" i="60"/>
  <c r="A23" i="60"/>
  <c r="W22" i="60"/>
  <c r="V22" i="60"/>
  <c r="U22" i="60"/>
  <c r="T22" i="60"/>
  <c r="S22" i="60"/>
  <c r="R22" i="60"/>
  <c r="Q22" i="60"/>
  <c r="P22" i="60"/>
  <c r="O22" i="60"/>
  <c r="N22" i="60"/>
  <c r="M22" i="60"/>
  <c r="L22" i="60"/>
  <c r="K22" i="60"/>
  <c r="I22" i="60"/>
  <c r="H22" i="60"/>
  <c r="E22" i="60"/>
  <c r="D22" i="60"/>
  <c r="C22" i="60"/>
  <c r="B22" i="60"/>
  <c r="A22" i="60"/>
  <c r="W21" i="60"/>
  <c r="V21" i="60"/>
  <c r="U21" i="60"/>
  <c r="T21" i="60"/>
  <c r="S21" i="60"/>
  <c r="R21" i="60"/>
  <c r="Q21" i="60"/>
  <c r="P21" i="60"/>
  <c r="O21" i="60"/>
  <c r="N21" i="60"/>
  <c r="M21" i="60"/>
  <c r="L21" i="60"/>
  <c r="K21" i="60"/>
  <c r="I21" i="60"/>
  <c r="H21" i="60"/>
  <c r="E21" i="60"/>
  <c r="D21" i="60"/>
  <c r="C21" i="60"/>
  <c r="B21" i="60"/>
  <c r="A21" i="60"/>
  <c r="W20" i="60"/>
  <c r="V20" i="60"/>
  <c r="U20" i="60"/>
  <c r="T20" i="60"/>
  <c r="S20" i="60"/>
  <c r="R20" i="60"/>
  <c r="Q20" i="60"/>
  <c r="P20" i="60"/>
  <c r="O20" i="60"/>
  <c r="N20" i="60"/>
  <c r="M20" i="60"/>
  <c r="L20" i="60"/>
  <c r="K20" i="60"/>
  <c r="I20" i="60"/>
  <c r="H20" i="60"/>
  <c r="E20" i="60"/>
  <c r="D20" i="60"/>
  <c r="C20" i="60"/>
  <c r="B20" i="60"/>
  <c r="A20" i="60"/>
  <c r="W19" i="60"/>
  <c r="V19" i="60"/>
  <c r="U19" i="60"/>
  <c r="T19" i="60"/>
  <c r="S19" i="60"/>
  <c r="R19" i="60"/>
  <c r="Q19" i="60"/>
  <c r="P19" i="60"/>
  <c r="O19" i="60"/>
  <c r="N19" i="60"/>
  <c r="M19" i="60"/>
  <c r="L19" i="60"/>
  <c r="K19" i="60"/>
  <c r="I19" i="60"/>
  <c r="H19" i="60"/>
  <c r="E19" i="60"/>
  <c r="D19" i="60"/>
  <c r="C19" i="60"/>
  <c r="B19" i="60"/>
  <c r="A19" i="60"/>
  <c r="W18" i="60"/>
  <c r="V18" i="60"/>
  <c r="U18" i="60"/>
  <c r="T18" i="60"/>
  <c r="S18" i="60"/>
  <c r="R18" i="60"/>
  <c r="Q18" i="60"/>
  <c r="P18" i="60"/>
  <c r="O18" i="60"/>
  <c r="N18" i="60"/>
  <c r="M18" i="60"/>
  <c r="L18" i="60"/>
  <c r="K18" i="60"/>
  <c r="I18" i="60"/>
  <c r="H18" i="60"/>
  <c r="E18" i="60"/>
  <c r="D18" i="60"/>
  <c r="C18" i="60"/>
  <c r="B18" i="60"/>
  <c r="A18" i="60"/>
  <c r="W17" i="60"/>
  <c r="V17" i="60"/>
  <c r="U17" i="60"/>
  <c r="T17" i="60"/>
  <c r="S17" i="60"/>
  <c r="R17" i="60"/>
  <c r="Q17" i="60"/>
  <c r="P17" i="60"/>
  <c r="O17" i="60"/>
  <c r="N17" i="60"/>
  <c r="M17" i="60"/>
  <c r="L17" i="60"/>
  <c r="K17" i="60"/>
  <c r="I17" i="60"/>
  <c r="H17" i="60"/>
  <c r="E17" i="60"/>
  <c r="D17" i="60"/>
  <c r="C17" i="60"/>
  <c r="B17" i="60"/>
  <c r="A17" i="60"/>
  <c r="AH16" i="60"/>
  <c r="AI16" i="60" s="1"/>
  <c r="AG16" i="60"/>
  <c r="AF16" i="60"/>
  <c r="W16" i="60"/>
  <c r="V16" i="60"/>
  <c r="U16" i="60"/>
  <c r="T16" i="60"/>
  <c r="S16" i="60"/>
  <c r="R16" i="60"/>
  <c r="Q16" i="60"/>
  <c r="P16" i="60"/>
  <c r="O16" i="60"/>
  <c r="N16" i="60"/>
  <c r="M16" i="60"/>
  <c r="L16" i="60"/>
  <c r="K16" i="60"/>
  <c r="I16" i="60"/>
  <c r="H16" i="60"/>
  <c r="E16" i="60"/>
  <c r="D16" i="60"/>
  <c r="C16" i="60"/>
  <c r="B16" i="60"/>
  <c r="A16" i="60"/>
  <c r="AH15" i="60"/>
  <c r="AI15" i="60" s="1"/>
  <c r="AG15" i="60"/>
  <c r="AF15" i="60"/>
  <c r="W15" i="60"/>
  <c r="V15" i="60"/>
  <c r="U15" i="60"/>
  <c r="T15" i="60"/>
  <c r="S15" i="60"/>
  <c r="R15" i="60"/>
  <c r="Q15" i="60"/>
  <c r="P15" i="60"/>
  <c r="O15" i="60"/>
  <c r="N15" i="60"/>
  <c r="M15" i="60"/>
  <c r="L15" i="60"/>
  <c r="K15" i="60"/>
  <c r="I15" i="60"/>
  <c r="H15" i="60"/>
  <c r="E15" i="60"/>
  <c r="D15" i="60"/>
  <c r="C15" i="60"/>
  <c r="B15" i="60"/>
  <c r="A15" i="60"/>
  <c r="AH14" i="60"/>
  <c r="AI14" i="60" s="1"/>
  <c r="AG14" i="60"/>
  <c r="AF14" i="60"/>
  <c r="W14" i="60"/>
  <c r="V14" i="60"/>
  <c r="U14" i="60"/>
  <c r="T14" i="60"/>
  <c r="S14" i="60"/>
  <c r="R14" i="60"/>
  <c r="Q14" i="60"/>
  <c r="P14" i="60"/>
  <c r="O14" i="60"/>
  <c r="N14" i="60"/>
  <c r="M14" i="60"/>
  <c r="L14" i="60"/>
  <c r="K14" i="60"/>
  <c r="I14" i="60"/>
  <c r="H14" i="60"/>
  <c r="E14" i="60"/>
  <c r="D14" i="60"/>
  <c r="C14" i="60"/>
  <c r="B14" i="60"/>
  <c r="A14" i="60"/>
  <c r="AH13" i="60"/>
  <c r="AI13" i="60"/>
  <c r="AG13" i="60"/>
  <c r="AF13" i="60"/>
  <c r="W13" i="60"/>
  <c r="V13" i="60"/>
  <c r="U13" i="60"/>
  <c r="T13" i="60"/>
  <c r="S13" i="60"/>
  <c r="R13" i="60"/>
  <c r="Q13" i="60"/>
  <c r="P13" i="60"/>
  <c r="O13" i="60"/>
  <c r="N13" i="60"/>
  <c r="M13" i="60"/>
  <c r="L13" i="60"/>
  <c r="K13" i="60"/>
  <c r="I13" i="60"/>
  <c r="H13" i="60"/>
  <c r="E13" i="60"/>
  <c r="D13" i="60"/>
  <c r="C13" i="60"/>
  <c r="B13" i="60"/>
  <c r="A13" i="60"/>
  <c r="W12" i="60"/>
  <c r="V12" i="60"/>
  <c r="U12" i="60"/>
  <c r="T12" i="60"/>
  <c r="S12" i="60"/>
  <c r="R12" i="60"/>
  <c r="Q12" i="60"/>
  <c r="P12" i="60"/>
  <c r="O12" i="60"/>
  <c r="N12" i="60"/>
  <c r="M12" i="60"/>
  <c r="L12" i="60"/>
  <c r="K12" i="60"/>
  <c r="I12" i="60"/>
  <c r="H12" i="60"/>
  <c r="E12" i="60"/>
  <c r="D12" i="60"/>
  <c r="C12" i="60"/>
  <c r="B12" i="60"/>
  <c r="A12" i="60"/>
  <c r="AH11" i="60"/>
  <c r="AI11" i="60"/>
  <c r="AG11" i="60"/>
  <c r="AF11" i="60"/>
  <c r="W11" i="60"/>
  <c r="V11" i="60"/>
  <c r="U11" i="60"/>
  <c r="T11" i="60"/>
  <c r="S11" i="60"/>
  <c r="R11" i="60"/>
  <c r="Q11" i="60"/>
  <c r="P11" i="60"/>
  <c r="O11" i="60"/>
  <c r="N11" i="60"/>
  <c r="M11" i="60"/>
  <c r="L11" i="60"/>
  <c r="K11" i="60"/>
  <c r="I11" i="60"/>
  <c r="H11" i="60"/>
  <c r="E11" i="60"/>
  <c r="D11" i="60"/>
  <c r="C11" i="60"/>
  <c r="B11" i="60"/>
  <c r="A11" i="60"/>
  <c r="W10" i="60"/>
  <c r="V10" i="60"/>
  <c r="U10" i="60"/>
  <c r="T10" i="60"/>
  <c r="S10" i="60"/>
  <c r="R10" i="60"/>
  <c r="Q10" i="60"/>
  <c r="P10" i="60"/>
  <c r="O10" i="60"/>
  <c r="N10" i="60"/>
  <c r="M10" i="60"/>
  <c r="L10" i="60"/>
  <c r="K10" i="60"/>
  <c r="I10" i="60"/>
  <c r="H10" i="60"/>
  <c r="E10" i="60"/>
  <c r="D10" i="60"/>
  <c r="C10" i="60"/>
  <c r="B10" i="60"/>
  <c r="A10" i="60"/>
  <c r="W9" i="60"/>
  <c r="V9" i="60"/>
  <c r="U9" i="60"/>
  <c r="T9" i="60"/>
  <c r="S9" i="60"/>
  <c r="R9" i="60"/>
  <c r="Q9" i="60"/>
  <c r="P9" i="60"/>
  <c r="O9" i="60"/>
  <c r="N9" i="60"/>
  <c r="M9" i="60"/>
  <c r="L9" i="60"/>
  <c r="K9" i="60"/>
  <c r="I9" i="60"/>
  <c r="H9" i="60"/>
  <c r="E9" i="60"/>
  <c r="D9" i="60"/>
  <c r="C9" i="60"/>
  <c r="B9" i="60"/>
  <c r="A9" i="60"/>
  <c r="W8" i="60"/>
  <c r="V8" i="60"/>
  <c r="U8" i="60"/>
  <c r="T8" i="60"/>
  <c r="S8" i="60"/>
  <c r="R8" i="60"/>
  <c r="Q8" i="60"/>
  <c r="P8" i="60"/>
  <c r="O8" i="60"/>
  <c r="N8" i="60"/>
  <c r="M8" i="60"/>
  <c r="L8" i="60"/>
  <c r="K8" i="60"/>
  <c r="I8" i="60"/>
  <c r="H8" i="60"/>
  <c r="E8" i="60"/>
  <c r="D8" i="60"/>
  <c r="C8" i="60"/>
  <c r="B8" i="60"/>
  <c r="A8" i="60"/>
  <c r="W7" i="60"/>
  <c r="V7" i="60"/>
  <c r="U7" i="60"/>
  <c r="T7" i="60"/>
  <c r="S7" i="60"/>
  <c r="R7" i="60"/>
  <c r="Q7" i="60"/>
  <c r="P7" i="60"/>
  <c r="O7" i="60"/>
  <c r="N7" i="60"/>
  <c r="M7" i="60"/>
  <c r="L7" i="60"/>
  <c r="K7" i="60"/>
  <c r="I7" i="60"/>
  <c r="H7" i="60"/>
  <c r="E7" i="60"/>
  <c r="D7" i="60"/>
  <c r="C7" i="60"/>
  <c r="B7" i="60"/>
  <c r="A7" i="60"/>
  <c r="W6" i="60"/>
  <c r="V6" i="60"/>
  <c r="U6" i="60"/>
  <c r="T6" i="60"/>
  <c r="S6" i="60"/>
  <c r="R6" i="60"/>
  <c r="Q6" i="60"/>
  <c r="P6" i="60"/>
  <c r="O6" i="60"/>
  <c r="N6" i="60"/>
  <c r="M6" i="60"/>
  <c r="L6" i="60"/>
  <c r="K6" i="60"/>
  <c r="I6" i="60"/>
  <c r="H6" i="60"/>
  <c r="E6" i="60"/>
  <c r="D6" i="60"/>
  <c r="C6" i="60"/>
  <c r="B6" i="60"/>
  <c r="A6" i="60"/>
  <c r="W5" i="60"/>
  <c r="V5" i="60"/>
  <c r="U5" i="60"/>
  <c r="T5" i="60"/>
  <c r="S5" i="60"/>
  <c r="R5" i="60"/>
  <c r="Q5" i="60"/>
  <c r="P5" i="60"/>
  <c r="O5" i="60"/>
  <c r="N5" i="60"/>
  <c r="M5" i="60"/>
  <c r="L5" i="60"/>
  <c r="K5" i="60"/>
  <c r="I5" i="60"/>
  <c r="H5" i="60"/>
  <c r="E5" i="60"/>
  <c r="D5" i="60"/>
  <c r="C5" i="60"/>
  <c r="B5" i="60"/>
  <c r="A5" i="60"/>
  <c r="W4" i="60"/>
  <c r="V4" i="60"/>
  <c r="U4" i="60"/>
  <c r="T4" i="60"/>
  <c r="S4" i="60"/>
  <c r="R4" i="60"/>
  <c r="Q4" i="60"/>
  <c r="P4" i="60"/>
  <c r="O4" i="60"/>
  <c r="N4" i="60"/>
  <c r="M4" i="60"/>
  <c r="L4" i="60"/>
  <c r="K4" i="60"/>
  <c r="I4" i="60"/>
  <c r="H4" i="60"/>
  <c r="E4" i="60"/>
  <c r="D4" i="60"/>
  <c r="C4" i="60"/>
  <c r="B4" i="60"/>
  <c r="A4" i="60"/>
  <c r="W3" i="60"/>
  <c r="V3" i="60"/>
  <c r="U3" i="60"/>
  <c r="T3" i="60"/>
  <c r="S3" i="60"/>
  <c r="R3" i="60"/>
  <c r="Q3" i="60"/>
  <c r="P3" i="60"/>
  <c r="O3" i="60"/>
  <c r="N3" i="60"/>
  <c r="M3" i="60"/>
  <c r="L3" i="60"/>
  <c r="K3" i="60"/>
  <c r="I3" i="60"/>
  <c r="H3" i="60"/>
  <c r="E3" i="60"/>
  <c r="D3" i="60"/>
  <c r="C3" i="60"/>
  <c r="B3" i="60"/>
  <c r="A3" i="60"/>
  <c r="W2" i="60"/>
  <c r="V2" i="60"/>
  <c r="U2" i="60"/>
  <c r="T2" i="60"/>
  <c r="S2" i="60"/>
  <c r="R2" i="60"/>
  <c r="Q2" i="60"/>
  <c r="P2" i="60"/>
  <c r="O2" i="60"/>
  <c r="N2" i="60"/>
  <c r="M2" i="60"/>
  <c r="L2" i="60"/>
  <c r="K2" i="60"/>
  <c r="I2" i="60"/>
  <c r="H2" i="60"/>
  <c r="E2" i="60"/>
  <c r="D2" i="60"/>
  <c r="C2" i="60"/>
  <c r="B2" i="60"/>
  <c r="A2" i="60"/>
  <c r="AE58" i="59"/>
  <c r="AD58" i="59"/>
  <c r="AB58" i="59"/>
  <c r="AA58" i="59"/>
  <c r="W58" i="59"/>
  <c r="V58" i="59"/>
  <c r="U58" i="59"/>
  <c r="T58" i="59"/>
  <c r="S58" i="59"/>
  <c r="R58" i="59"/>
  <c r="Q58" i="59"/>
  <c r="P58" i="59"/>
  <c r="O58" i="59"/>
  <c r="N58" i="59"/>
  <c r="M58" i="59"/>
  <c r="L58" i="59"/>
  <c r="K58" i="59"/>
  <c r="I58" i="59"/>
  <c r="H58" i="59"/>
  <c r="E58" i="59"/>
  <c r="D58" i="59"/>
  <c r="C58" i="59"/>
  <c r="B58" i="59"/>
  <c r="A58" i="59"/>
  <c r="AE57" i="59"/>
  <c r="AD57" i="59"/>
  <c r="AB57" i="59"/>
  <c r="AA57" i="59"/>
  <c r="W57" i="59"/>
  <c r="V57" i="59"/>
  <c r="U57" i="59"/>
  <c r="T57" i="59"/>
  <c r="S57" i="59"/>
  <c r="R57" i="59"/>
  <c r="Q57" i="59"/>
  <c r="P57" i="59"/>
  <c r="O57" i="59"/>
  <c r="N57" i="59"/>
  <c r="M57" i="59"/>
  <c r="L57" i="59"/>
  <c r="K57" i="59"/>
  <c r="I57" i="59"/>
  <c r="H57" i="59"/>
  <c r="E57" i="59"/>
  <c r="D57" i="59"/>
  <c r="C57" i="59"/>
  <c r="B57" i="59"/>
  <c r="A57" i="59"/>
  <c r="AE56" i="59"/>
  <c r="AH3" i="60" s="1"/>
  <c r="AM3" i="60" s="1"/>
  <c r="AT3" i="60" s="1"/>
  <c r="AD56" i="59"/>
  <c r="AB56" i="59"/>
  <c r="AA56" i="59"/>
  <c r="W56" i="59"/>
  <c r="V56" i="59"/>
  <c r="U56" i="59"/>
  <c r="T56" i="59"/>
  <c r="S56" i="59"/>
  <c r="R56" i="59"/>
  <c r="Q56" i="59"/>
  <c r="P56" i="59"/>
  <c r="O56" i="59"/>
  <c r="N56" i="59"/>
  <c r="M56" i="59"/>
  <c r="L56" i="59"/>
  <c r="K56" i="59"/>
  <c r="I56" i="59"/>
  <c r="H56" i="59"/>
  <c r="E56" i="59"/>
  <c r="D56" i="59"/>
  <c r="C56" i="59"/>
  <c r="B56" i="59"/>
  <c r="A56" i="59"/>
  <c r="AE55" i="59"/>
  <c r="AH2" i="60" s="1"/>
  <c r="AM2" i="60" s="1"/>
  <c r="AT2" i="60"/>
  <c r="AD55" i="59"/>
  <c r="AB55" i="59"/>
  <c r="AA55" i="59"/>
  <c r="W55" i="59"/>
  <c r="V55" i="59"/>
  <c r="U55" i="59"/>
  <c r="T55" i="59"/>
  <c r="S55" i="59"/>
  <c r="R55" i="59"/>
  <c r="Q55" i="59"/>
  <c r="P55" i="59"/>
  <c r="O55" i="59"/>
  <c r="N55" i="59"/>
  <c r="M55" i="59"/>
  <c r="L55" i="59"/>
  <c r="K55" i="59"/>
  <c r="I55" i="59"/>
  <c r="H55" i="59"/>
  <c r="E55" i="59"/>
  <c r="D55" i="59"/>
  <c r="C55" i="59"/>
  <c r="B55" i="59"/>
  <c r="A55" i="59"/>
  <c r="AE54" i="59"/>
  <c r="AD54" i="59"/>
  <c r="AB54" i="59"/>
  <c r="AA54" i="59"/>
  <c r="W54" i="59"/>
  <c r="V54" i="59"/>
  <c r="U54" i="59"/>
  <c r="T54" i="59"/>
  <c r="S54" i="59"/>
  <c r="R54" i="59"/>
  <c r="Q54" i="59"/>
  <c r="P54" i="59"/>
  <c r="O54" i="59"/>
  <c r="N54" i="59"/>
  <c r="M54" i="59"/>
  <c r="L54" i="59"/>
  <c r="K54" i="59"/>
  <c r="I54" i="59"/>
  <c r="H54" i="59"/>
  <c r="E54" i="59"/>
  <c r="D54" i="59"/>
  <c r="C54" i="59"/>
  <c r="B54" i="59"/>
  <c r="A54" i="59"/>
  <c r="AE53" i="59"/>
  <c r="AH10" i="60" s="1"/>
  <c r="AM10" i="60" s="1"/>
  <c r="AT10" i="60" s="1"/>
  <c r="AD53" i="59"/>
  <c r="AB53" i="59"/>
  <c r="AA53" i="59"/>
  <c r="W53" i="59"/>
  <c r="V53" i="59"/>
  <c r="U53" i="59"/>
  <c r="T53" i="59"/>
  <c r="S53" i="59"/>
  <c r="R53" i="59"/>
  <c r="Q53" i="59"/>
  <c r="P53" i="59"/>
  <c r="O53" i="59"/>
  <c r="N53" i="59"/>
  <c r="M53" i="59"/>
  <c r="L53" i="59"/>
  <c r="K53" i="59"/>
  <c r="I53" i="59"/>
  <c r="H53" i="59"/>
  <c r="E53" i="59"/>
  <c r="D53" i="59"/>
  <c r="C53" i="59"/>
  <c r="B53" i="59"/>
  <c r="A53" i="59"/>
  <c r="AE52" i="59"/>
  <c r="AH9" i="60"/>
  <c r="AM9" i="60" s="1"/>
  <c r="AT9" i="60" s="1"/>
  <c r="AD52" i="59"/>
  <c r="AB52" i="59"/>
  <c r="AA52" i="59"/>
  <c r="W52" i="59"/>
  <c r="V52" i="59"/>
  <c r="U52" i="59"/>
  <c r="T52" i="59"/>
  <c r="S52" i="59"/>
  <c r="R52" i="59"/>
  <c r="Q52" i="59"/>
  <c r="P52" i="59"/>
  <c r="O52" i="59"/>
  <c r="N52" i="59"/>
  <c r="M52" i="59"/>
  <c r="L52" i="59"/>
  <c r="K52" i="59"/>
  <c r="I52" i="59"/>
  <c r="H52" i="59"/>
  <c r="E52" i="59"/>
  <c r="D52" i="59"/>
  <c r="C52" i="59"/>
  <c r="B52" i="59"/>
  <c r="A52" i="59"/>
  <c r="AE51" i="59"/>
  <c r="AD51" i="59"/>
  <c r="AB51" i="59"/>
  <c r="AA51" i="59"/>
  <c r="W51" i="59"/>
  <c r="V51" i="59"/>
  <c r="U51" i="59"/>
  <c r="T51" i="59"/>
  <c r="S51" i="59"/>
  <c r="R51" i="59"/>
  <c r="Q51" i="59"/>
  <c r="P51" i="59"/>
  <c r="O51" i="59"/>
  <c r="N51" i="59"/>
  <c r="M51" i="59"/>
  <c r="L51" i="59"/>
  <c r="K51" i="59"/>
  <c r="I51" i="59"/>
  <c r="H51" i="59"/>
  <c r="E51" i="59"/>
  <c r="D51" i="59"/>
  <c r="C51" i="59"/>
  <c r="B51" i="59"/>
  <c r="A51" i="59"/>
  <c r="AE50" i="59"/>
  <c r="AD50" i="59"/>
  <c r="AB50" i="59"/>
  <c r="AA50" i="59"/>
  <c r="W50" i="59"/>
  <c r="V50" i="59"/>
  <c r="U50" i="59"/>
  <c r="T50" i="59"/>
  <c r="S50" i="59"/>
  <c r="R50" i="59"/>
  <c r="Q50" i="59"/>
  <c r="P50" i="59"/>
  <c r="O50" i="59"/>
  <c r="N50" i="59"/>
  <c r="M50" i="59"/>
  <c r="L50" i="59"/>
  <c r="K50" i="59"/>
  <c r="I50" i="59"/>
  <c r="H50" i="59"/>
  <c r="E50" i="59"/>
  <c r="D50" i="59"/>
  <c r="C50" i="59"/>
  <c r="B50" i="59"/>
  <c r="A50" i="59"/>
  <c r="AE49" i="59"/>
  <c r="AD49" i="59"/>
  <c r="AB49" i="59"/>
  <c r="AA49" i="59"/>
  <c r="W49" i="59"/>
  <c r="V49" i="59"/>
  <c r="U49" i="59"/>
  <c r="T49" i="59"/>
  <c r="S49" i="59"/>
  <c r="R49" i="59"/>
  <c r="Q49" i="59"/>
  <c r="P49" i="59"/>
  <c r="O49" i="59"/>
  <c r="N49" i="59"/>
  <c r="M49" i="59"/>
  <c r="L49" i="59"/>
  <c r="K49" i="59"/>
  <c r="I49" i="59"/>
  <c r="H49" i="59"/>
  <c r="E49" i="59"/>
  <c r="D49" i="59"/>
  <c r="C49" i="59"/>
  <c r="B49" i="59"/>
  <c r="A49" i="59"/>
  <c r="AE48" i="59"/>
  <c r="AD48" i="59"/>
  <c r="AB48" i="59"/>
  <c r="AA48" i="59"/>
  <c r="W48" i="59"/>
  <c r="V48" i="59"/>
  <c r="U48" i="59"/>
  <c r="T48" i="59"/>
  <c r="S48" i="59"/>
  <c r="R48" i="59"/>
  <c r="Q48" i="59"/>
  <c r="P48" i="59"/>
  <c r="O48" i="59"/>
  <c r="N48" i="59"/>
  <c r="M48" i="59"/>
  <c r="L48" i="59"/>
  <c r="K48" i="59"/>
  <c r="I48" i="59"/>
  <c r="H48" i="59"/>
  <c r="E48" i="59"/>
  <c r="D48" i="59"/>
  <c r="C48" i="59"/>
  <c r="B48" i="59"/>
  <c r="A48" i="59"/>
  <c r="AE47" i="59"/>
  <c r="AH4" i="60"/>
  <c r="AM4" i="60"/>
  <c r="AT4" i="60" s="1"/>
  <c r="AD47" i="59"/>
  <c r="AB47" i="59"/>
  <c r="AA47" i="59"/>
  <c r="W47" i="59"/>
  <c r="V47" i="59"/>
  <c r="U47" i="59"/>
  <c r="T47" i="59"/>
  <c r="S47" i="59"/>
  <c r="R47" i="59"/>
  <c r="Q47" i="59"/>
  <c r="P47" i="59"/>
  <c r="O47" i="59"/>
  <c r="N47" i="59"/>
  <c r="M47" i="59"/>
  <c r="L47" i="59"/>
  <c r="K47" i="59"/>
  <c r="I47" i="59"/>
  <c r="H47" i="59"/>
  <c r="E47" i="59"/>
  <c r="D47" i="59"/>
  <c r="C47" i="59"/>
  <c r="B47" i="59"/>
  <c r="A47" i="59"/>
  <c r="AE46" i="59"/>
  <c r="AD46" i="59"/>
  <c r="AB46" i="59"/>
  <c r="AA46" i="59"/>
  <c r="W46" i="59"/>
  <c r="V46" i="59"/>
  <c r="U46" i="59"/>
  <c r="T46" i="59"/>
  <c r="S46" i="59"/>
  <c r="R46" i="59"/>
  <c r="Q46" i="59"/>
  <c r="P46" i="59"/>
  <c r="O46" i="59"/>
  <c r="N46" i="59"/>
  <c r="M46" i="59"/>
  <c r="L46" i="59"/>
  <c r="K46" i="59"/>
  <c r="I46" i="59"/>
  <c r="H46" i="59"/>
  <c r="E46" i="59"/>
  <c r="D46" i="59"/>
  <c r="C46" i="59"/>
  <c r="B46" i="59"/>
  <c r="A46" i="59"/>
  <c r="AE45" i="59"/>
  <c r="AH6" i="60" s="1"/>
  <c r="AM6" i="60" s="1"/>
  <c r="AT6" i="60"/>
  <c r="AD45" i="59"/>
  <c r="AB45" i="59"/>
  <c r="AA45" i="59"/>
  <c r="W45" i="59"/>
  <c r="V45" i="59"/>
  <c r="U45" i="59"/>
  <c r="T45" i="59"/>
  <c r="S45" i="59"/>
  <c r="R45" i="59"/>
  <c r="Q45" i="59"/>
  <c r="P45" i="59"/>
  <c r="O45" i="59"/>
  <c r="N45" i="59"/>
  <c r="M45" i="59"/>
  <c r="L45" i="59"/>
  <c r="K45" i="59"/>
  <c r="I45" i="59"/>
  <c r="H45" i="59"/>
  <c r="E45" i="59"/>
  <c r="D45" i="59"/>
  <c r="C45" i="59"/>
  <c r="B45" i="59"/>
  <c r="A45" i="59"/>
  <c r="AE44" i="59"/>
  <c r="AH5" i="60" s="1"/>
  <c r="AM5" i="60" s="1"/>
  <c r="AD44" i="59"/>
  <c r="AB44" i="59"/>
  <c r="AA44" i="59"/>
  <c r="W44" i="59"/>
  <c r="V44" i="59"/>
  <c r="U44" i="59"/>
  <c r="T44" i="59"/>
  <c r="S44" i="59"/>
  <c r="R44" i="59"/>
  <c r="Q44" i="59"/>
  <c r="P44" i="59"/>
  <c r="O44" i="59"/>
  <c r="N44" i="59"/>
  <c r="M44" i="59"/>
  <c r="L44" i="59"/>
  <c r="K44" i="59"/>
  <c r="I44" i="59"/>
  <c r="H44" i="59"/>
  <c r="E44" i="59"/>
  <c r="D44" i="59"/>
  <c r="C44" i="59"/>
  <c r="B44" i="59"/>
  <c r="A44" i="59"/>
  <c r="AE43" i="59"/>
  <c r="AD43" i="59"/>
  <c r="AB43" i="59"/>
  <c r="AA43" i="59"/>
  <c r="W43" i="59"/>
  <c r="V43" i="59"/>
  <c r="U43" i="59"/>
  <c r="T43" i="59"/>
  <c r="S43" i="59"/>
  <c r="R43" i="59"/>
  <c r="Q43" i="59"/>
  <c r="P43" i="59"/>
  <c r="O43" i="59"/>
  <c r="N43" i="59"/>
  <c r="M43" i="59"/>
  <c r="L43" i="59"/>
  <c r="K43" i="59"/>
  <c r="I43" i="59"/>
  <c r="H43" i="59"/>
  <c r="E43" i="59"/>
  <c r="D43" i="59"/>
  <c r="C43" i="59"/>
  <c r="B43" i="59"/>
  <c r="A43" i="59"/>
  <c r="AE42" i="59"/>
  <c r="AD42" i="59"/>
  <c r="AB42" i="59"/>
  <c r="AA42" i="59"/>
  <c r="W42" i="59"/>
  <c r="V42" i="59"/>
  <c r="U42" i="59"/>
  <c r="T42" i="59"/>
  <c r="S42" i="59"/>
  <c r="R42" i="59"/>
  <c r="Q42" i="59"/>
  <c r="P42" i="59"/>
  <c r="O42" i="59"/>
  <c r="N42" i="59"/>
  <c r="M42" i="59"/>
  <c r="L42" i="59"/>
  <c r="K42" i="59"/>
  <c r="I42" i="59"/>
  <c r="H42" i="59"/>
  <c r="E42" i="59"/>
  <c r="D42" i="59"/>
  <c r="C42" i="59"/>
  <c r="B42" i="59"/>
  <c r="A42" i="59"/>
  <c r="AE41" i="59"/>
  <c r="AD41" i="59"/>
  <c r="AB41" i="59"/>
  <c r="AA41" i="59"/>
  <c r="W41" i="59"/>
  <c r="V41" i="59"/>
  <c r="U41" i="59"/>
  <c r="T41" i="59"/>
  <c r="S41" i="59"/>
  <c r="R41" i="59"/>
  <c r="Q41" i="59"/>
  <c r="P41" i="59"/>
  <c r="O41" i="59"/>
  <c r="N41" i="59"/>
  <c r="M41" i="59"/>
  <c r="L41" i="59"/>
  <c r="K41" i="59"/>
  <c r="I41" i="59"/>
  <c r="H41" i="59"/>
  <c r="E41" i="59"/>
  <c r="D41" i="59"/>
  <c r="C41" i="59"/>
  <c r="B41" i="59"/>
  <c r="A41" i="59"/>
  <c r="AE40" i="59"/>
  <c r="AH8" i="60"/>
  <c r="AM8" i="60"/>
  <c r="AT8" i="60" s="1"/>
  <c r="AH7" i="60"/>
  <c r="AM7" i="60"/>
  <c r="AT7" i="60" s="1"/>
  <c r="AD40" i="59"/>
  <c r="AB40" i="59"/>
  <c r="AA40" i="59"/>
  <c r="W40" i="59"/>
  <c r="V40" i="59"/>
  <c r="U40" i="59"/>
  <c r="T40" i="59"/>
  <c r="S40" i="59"/>
  <c r="R40" i="59"/>
  <c r="Q40" i="59"/>
  <c r="P40" i="59"/>
  <c r="O40" i="59"/>
  <c r="N40" i="59"/>
  <c r="M40" i="59"/>
  <c r="L40" i="59"/>
  <c r="K40" i="59"/>
  <c r="I40" i="59"/>
  <c r="H40" i="59"/>
  <c r="E40" i="59"/>
  <c r="D40" i="59"/>
  <c r="C40" i="59"/>
  <c r="B40" i="59"/>
  <c r="A40" i="59"/>
  <c r="AE39" i="59"/>
  <c r="AD39" i="59"/>
  <c r="AB39" i="59"/>
  <c r="AA39" i="59"/>
  <c r="W39" i="59"/>
  <c r="V39" i="59"/>
  <c r="U39" i="59"/>
  <c r="T39" i="59"/>
  <c r="S39" i="59"/>
  <c r="R39" i="59"/>
  <c r="Q39" i="59"/>
  <c r="P39" i="59"/>
  <c r="O39" i="59"/>
  <c r="N39" i="59"/>
  <c r="M39" i="59"/>
  <c r="L39" i="59"/>
  <c r="K39" i="59"/>
  <c r="I39" i="59"/>
  <c r="H39" i="59"/>
  <c r="E39" i="59"/>
  <c r="D39" i="59"/>
  <c r="C39" i="59"/>
  <c r="B39" i="59"/>
  <c r="A39" i="59"/>
  <c r="AE38" i="59"/>
  <c r="AD38" i="59"/>
  <c r="AB38" i="59"/>
  <c r="AA38" i="59"/>
  <c r="W38" i="59"/>
  <c r="V38" i="59"/>
  <c r="U38" i="59"/>
  <c r="T38" i="59"/>
  <c r="S38" i="59"/>
  <c r="R38" i="59"/>
  <c r="Q38" i="59"/>
  <c r="P38" i="59"/>
  <c r="O38" i="59"/>
  <c r="N38" i="59"/>
  <c r="M38" i="59"/>
  <c r="L38" i="59"/>
  <c r="K38" i="59"/>
  <c r="I38" i="59"/>
  <c r="H38" i="59"/>
  <c r="E38" i="59"/>
  <c r="D38" i="59"/>
  <c r="C38" i="59"/>
  <c r="B38" i="59"/>
  <c r="A38" i="59"/>
  <c r="AE37" i="59"/>
  <c r="AG3" i="60" s="1"/>
  <c r="AL3" i="60" s="1"/>
  <c r="AS3" i="60"/>
  <c r="AD37" i="59"/>
  <c r="AB37" i="59"/>
  <c r="AA37" i="59"/>
  <c r="W37" i="59"/>
  <c r="V37" i="59"/>
  <c r="U37" i="59"/>
  <c r="T37" i="59"/>
  <c r="S37" i="59"/>
  <c r="R37" i="59"/>
  <c r="Q37" i="59"/>
  <c r="P37" i="59"/>
  <c r="O37" i="59"/>
  <c r="N37" i="59"/>
  <c r="M37" i="59"/>
  <c r="L37" i="59"/>
  <c r="K37" i="59"/>
  <c r="I37" i="59"/>
  <c r="H37" i="59"/>
  <c r="E37" i="59"/>
  <c r="D37" i="59"/>
  <c r="C37" i="59"/>
  <c r="B37" i="59"/>
  <c r="A37" i="59"/>
  <c r="AE36" i="59"/>
  <c r="AG2" i="60" s="1"/>
  <c r="AL2" i="60" s="1"/>
  <c r="AS2" i="60" s="1"/>
  <c r="AD36" i="59"/>
  <c r="AB36" i="59"/>
  <c r="AA36" i="59"/>
  <c r="W36" i="59"/>
  <c r="V36" i="59"/>
  <c r="U36" i="59"/>
  <c r="T36" i="59"/>
  <c r="S36" i="59"/>
  <c r="R36" i="59"/>
  <c r="Q36" i="59"/>
  <c r="P36" i="59"/>
  <c r="O36" i="59"/>
  <c r="N36" i="59"/>
  <c r="M36" i="59"/>
  <c r="L36" i="59"/>
  <c r="K36" i="59"/>
  <c r="I36" i="59"/>
  <c r="H36" i="59"/>
  <c r="E36" i="59"/>
  <c r="D36" i="59"/>
  <c r="C36" i="59"/>
  <c r="B36" i="59"/>
  <c r="A36" i="59"/>
  <c r="AE35" i="59"/>
  <c r="AD35" i="59"/>
  <c r="AB35" i="59"/>
  <c r="AA35" i="59"/>
  <c r="W35" i="59"/>
  <c r="V35" i="59"/>
  <c r="U35" i="59"/>
  <c r="T35" i="59"/>
  <c r="S35" i="59"/>
  <c r="R35" i="59"/>
  <c r="Q35" i="59"/>
  <c r="P35" i="59"/>
  <c r="O35" i="59"/>
  <c r="N35" i="59"/>
  <c r="M35" i="59"/>
  <c r="L35" i="59"/>
  <c r="K35" i="59"/>
  <c r="I35" i="59"/>
  <c r="H35" i="59"/>
  <c r="E35" i="59"/>
  <c r="D35" i="59"/>
  <c r="C35" i="59"/>
  <c r="B35" i="59"/>
  <c r="A35" i="59"/>
  <c r="AE34" i="59"/>
  <c r="AG10" i="60"/>
  <c r="AL10" i="60" s="1"/>
  <c r="AS10" i="60" s="1"/>
  <c r="AD34" i="59"/>
  <c r="AB34" i="59"/>
  <c r="AA34" i="59"/>
  <c r="W34" i="59"/>
  <c r="V34" i="59"/>
  <c r="U34" i="59"/>
  <c r="T34" i="59"/>
  <c r="S34" i="59"/>
  <c r="R34" i="59"/>
  <c r="Q34" i="59"/>
  <c r="P34" i="59"/>
  <c r="O34" i="59"/>
  <c r="N34" i="59"/>
  <c r="M34" i="59"/>
  <c r="L34" i="59"/>
  <c r="K34" i="59"/>
  <c r="I34" i="59"/>
  <c r="H34" i="59"/>
  <c r="E34" i="59"/>
  <c r="D34" i="59"/>
  <c r="C34" i="59"/>
  <c r="B34" i="59"/>
  <c r="A34" i="59"/>
  <c r="AE33" i="59"/>
  <c r="AG9" i="60"/>
  <c r="AL9" i="60"/>
  <c r="AS9" i="60"/>
  <c r="AD33" i="59"/>
  <c r="AB33" i="59"/>
  <c r="AA33" i="59"/>
  <c r="W33" i="59"/>
  <c r="V33" i="59"/>
  <c r="U33" i="59"/>
  <c r="T33" i="59"/>
  <c r="S33" i="59"/>
  <c r="R33" i="59"/>
  <c r="Q33" i="59"/>
  <c r="P33" i="59"/>
  <c r="O33" i="59"/>
  <c r="N33" i="59"/>
  <c r="M33" i="59"/>
  <c r="L33" i="59"/>
  <c r="K33" i="59"/>
  <c r="I33" i="59"/>
  <c r="H33" i="59"/>
  <c r="E33" i="59"/>
  <c r="D33" i="59"/>
  <c r="C33" i="59"/>
  <c r="B33" i="59"/>
  <c r="A33" i="59"/>
  <c r="AE32" i="59"/>
  <c r="AD32" i="59"/>
  <c r="AB32" i="59"/>
  <c r="AA32" i="59"/>
  <c r="W32" i="59"/>
  <c r="V32" i="59"/>
  <c r="U32" i="59"/>
  <c r="T32" i="59"/>
  <c r="S32" i="59"/>
  <c r="R32" i="59"/>
  <c r="Q32" i="59"/>
  <c r="P32" i="59"/>
  <c r="O32" i="59"/>
  <c r="N32" i="59"/>
  <c r="M32" i="59"/>
  <c r="L32" i="59"/>
  <c r="K32" i="59"/>
  <c r="I32" i="59"/>
  <c r="H32" i="59"/>
  <c r="E32" i="59"/>
  <c r="D32" i="59"/>
  <c r="C32" i="59"/>
  <c r="B32" i="59"/>
  <c r="A32" i="59"/>
  <c r="AE31" i="59"/>
  <c r="AD31" i="59"/>
  <c r="AB31" i="59"/>
  <c r="AA31" i="59"/>
  <c r="W31" i="59"/>
  <c r="V31" i="59"/>
  <c r="U31" i="59"/>
  <c r="T31" i="59"/>
  <c r="S31" i="59"/>
  <c r="R31" i="59"/>
  <c r="Q31" i="59"/>
  <c r="P31" i="59"/>
  <c r="O31" i="59"/>
  <c r="N31" i="59"/>
  <c r="M31" i="59"/>
  <c r="L31" i="59"/>
  <c r="K31" i="59"/>
  <c r="I31" i="59"/>
  <c r="H31" i="59"/>
  <c r="E31" i="59"/>
  <c r="D31" i="59"/>
  <c r="C31" i="59"/>
  <c r="B31" i="59"/>
  <c r="A31" i="59"/>
  <c r="AE30" i="59"/>
  <c r="AD30" i="59"/>
  <c r="AB30" i="59"/>
  <c r="AA30" i="59"/>
  <c r="W30" i="59"/>
  <c r="V30" i="59"/>
  <c r="U30" i="59"/>
  <c r="T30" i="59"/>
  <c r="S30" i="59"/>
  <c r="R30" i="59"/>
  <c r="Q30" i="59"/>
  <c r="P30" i="59"/>
  <c r="O30" i="59"/>
  <c r="N30" i="59"/>
  <c r="M30" i="59"/>
  <c r="L30" i="59"/>
  <c r="K30" i="59"/>
  <c r="I30" i="59"/>
  <c r="H30" i="59"/>
  <c r="E30" i="59"/>
  <c r="D30" i="59"/>
  <c r="C30" i="59"/>
  <c r="B30" i="59"/>
  <c r="A30" i="59"/>
  <c r="AE29" i="59"/>
  <c r="AD29" i="59"/>
  <c r="AB29" i="59"/>
  <c r="AA29" i="59"/>
  <c r="W29" i="59"/>
  <c r="V29" i="59"/>
  <c r="U29" i="59"/>
  <c r="T29" i="59"/>
  <c r="S29" i="59"/>
  <c r="R29" i="59"/>
  <c r="Q29" i="59"/>
  <c r="P29" i="59"/>
  <c r="O29" i="59"/>
  <c r="N29" i="59"/>
  <c r="M29" i="59"/>
  <c r="L29" i="59"/>
  <c r="K29" i="59"/>
  <c r="I29" i="59"/>
  <c r="H29" i="59"/>
  <c r="E29" i="59"/>
  <c r="D29" i="59"/>
  <c r="C29" i="59"/>
  <c r="B29" i="59"/>
  <c r="A29" i="59"/>
  <c r="AE28" i="59"/>
  <c r="AG4" i="60" s="1"/>
  <c r="AL4" i="60" s="1"/>
  <c r="AS4" i="60" s="1"/>
  <c r="AD28" i="59"/>
  <c r="AB28" i="59"/>
  <c r="AA28" i="59"/>
  <c r="W28" i="59"/>
  <c r="V28" i="59"/>
  <c r="U28" i="59"/>
  <c r="T28" i="59"/>
  <c r="S28" i="59"/>
  <c r="R28" i="59"/>
  <c r="Q28" i="59"/>
  <c r="P28" i="59"/>
  <c r="O28" i="59"/>
  <c r="N28" i="59"/>
  <c r="M28" i="59"/>
  <c r="L28" i="59"/>
  <c r="K28" i="59"/>
  <c r="I28" i="59"/>
  <c r="H28" i="59"/>
  <c r="E28" i="59"/>
  <c r="D28" i="59"/>
  <c r="C28" i="59"/>
  <c r="B28" i="59"/>
  <c r="A28" i="59"/>
  <c r="AE27" i="59"/>
  <c r="AD27" i="59"/>
  <c r="AB27" i="59"/>
  <c r="AA27" i="59"/>
  <c r="W27" i="59"/>
  <c r="V27" i="59"/>
  <c r="U27" i="59"/>
  <c r="T27" i="59"/>
  <c r="S27" i="59"/>
  <c r="R27" i="59"/>
  <c r="Q27" i="59"/>
  <c r="P27" i="59"/>
  <c r="O27" i="59"/>
  <c r="N27" i="59"/>
  <c r="M27" i="59"/>
  <c r="L27" i="59"/>
  <c r="K27" i="59"/>
  <c r="I27" i="59"/>
  <c r="H27" i="59"/>
  <c r="E27" i="59"/>
  <c r="D27" i="59"/>
  <c r="C27" i="59"/>
  <c r="B27" i="59"/>
  <c r="A27" i="59"/>
  <c r="AE26" i="59"/>
  <c r="AG6" i="60" s="1"/>
  <c r="AL6" i="60" s="1"/>
  <c r="AS6" i="60" s="1"/>
  <c r="AD26" i="59"/>
  <c r="AB26" i="59"/>
  <c r="AA26" i="59"/>
  <c r="W26" i="59"/>
  <c r="V26" i="59"/>
  <c r="U26" i="59"/>
  <c r="T26" i="59"/>
  <c r="S26" i="59"/>
  <c r="R26" i="59"/>
  <c r="Q26" i="59"/>
  <c r="P26" i="59"/>
  <c r="O26" i="59"/>
  <c r="N26" i="59"/>
  <c r="M26" i="59"/>
  <c r="L26" i="59"/>
  <c r="K26" i="59"/>
  <c r="I26" i="59"/>
  <c r="H26" i="59"/>
  <c r="E26" i="59"/>
  <c r="D26" i="59"/>
  <c r="C26" i="59"/>
  <c r="B26" i="59"/>
  <c r="A26" i="59"/>
  <c r="AE25" i="59"/>
  <c r="AG5" i="60"/>
  <c r="AL5" i="60" s="1"/>
  <c r="AS5" i="60" s="1"/>
  <c r="AD25" i="59"/>
  <c r="AB25" i="59"/>
  <c r="AA25" i="59"/>
  <c r="W25" i="59"/>
  <c r="V25" i="59"/>
  <c r="U25" i="59"/>
  <c r="T25" i="59"/>
  <c r="S25" i="59"/>
  <c r="R25" i="59"/>
  <c r="Q25" i="59"/>
  <c r="P25" i="59"/>
  <c r="O25" i="59"/>
  <c r="N25" i="59"/>
  <c r="M25" i="59"/>
  <c r="L25" i="59"/>
  <c r="K25" i="59"/>
  <c r="I25" i="59"/>
  <c r="H25" i="59"/>
  <c r="E25" i="59"/>
  <c r="D25" i="59"/>
  <c r="C25" i="59"/>
  <c r="B25" i="59"/>
  <c r="A25" i="59"/>
  <c r="AE24" i="59"/>
  <c r="AD24" i="59"/>
  <c r="AB24" i="59"/>
  <c r="AA24" i="59"/>
  <c r="W24" i="59"/>
  <c r="V24" i="59"/>
  <c r="U24" i="59"/>
  <c r="T24" i="59"/>
  <c r="S24" i="59"/>
  <c r="R24" i="59"/>
  <c r="Q24" i="59"/>
  <c r="P24" i="59"/>
  <c r="O24" i="59"/>
  <c r="N24" i="59"/>
  <c r="M24" i="59"/>
  <c r="L24" i="59"/>
  <c r="K24" i="59"/>
  <c r="I24" i="59"/>
  <c r="H24" i="59"/>
  <c r="E24" i="59"/>
  <c r="D24" i="59"/>
  <c r="C24" i="59"/>
  <c r="B24" i="59"/>
  <c r="A24" i="59"/>
  <c r="AE23" i="59"/>
  <c r="AD23" i="59"/>
  <c r="AB23" i="59"/>
  <c r="AA23" i="59"/>
  <c r="W23" i="59"/>
  <c r="V23" i="59"/>
  <c r="U23" i="59"/>
  <c r="T23" i="59"/>
  <c r="S23" i="59"/>
  <c r="R23" i="59"/>
  <c r="Q23" i="59"/>
  <c r="P23" i="59"/>
  <c r="O23" i="59"/>
  <c r="N23" i="59"/>
  <c r="M23" i="59"/>
  <c r="L23" i="59"/>
  <c r="K23" i="59"/>
  <c r="I23" i="59"/>
  <c r="H23" i="59"/>
  <c r="E23" i="59"/>
  <c r="D23" i="59"/>
  <c r="C23" i="59"/>
  <c r="B23" i="59"/>
  <c r="A23" i="59"/>
  <c r="AE22" i="59"/>
  <c r="AG8" i="60"/>
  <c r="AL8" i="60"/>
  <c r="AS8" i="60" s="1"/>
  <c r="AD22" i="59"/>
  <c r="AB22" i="59"/>
  <c r="AA22" i="59"/>
  <c r="W22" i="59"/>
  <c r="V22" i="59"/>
  <c r="U22" i="59"/>
  <c r="T22" i="59"/>
  <c r="S22" i="59"/>
  <c r="R22" i="59"/>
  <c r="Q22" i="59"/>
  <c r="P22" i="59"/>
  <c r="O22" i="59"/>
  <c r="N22" i="59"/>
  <c r="M22" i="59"/>
  <c r="L22" i="59"/>
  <c r="K22" i="59"/>
  <c r="I22" i="59"/>
  <c r="H22" i="59"/>
  <c r="E22" i="59"/>
  <c r="D22" i="59"/>
  <c r="C22" i="59"/>
  <c r="B22" i="59"/>
  <c r="A22" i="59"/>
  <c r="AE21" i="59"/>
  <c r="AG7" i="60"/>
  <c r="AL7" i="60"/>
  <c r="AS7" i="60" s="1"/>
  <c r="AD21" i="59"/>
  <c r="AB21" i="59"/>
  <c r="AA21" i="59"/>
  <c r="W21" i="59"/>
  <c r="V21" i="59"/>
  <c r="U21" i="59"/>
  <c r="T21" i="59"/>
  <c r="S21" i="59"/>
  <c r="R21" i="59"/>
  <c r="Q21" i="59"/>
  <c r="P21" i="59"/>
  <c r="O21" i="59"/>
  <c r="N21" i="59"/>
  <c r="M21" i="59"/>
  <c r="L21" i="59"/>
  <c r="K21" i="59"/>
  <c r="I21" i="59"/>
  <c r="H21" i="59"/>
  <c r="E21" i="59"/>
  <c r="D21" i="59"/>
  <c r="C21" i="59"/>
  <c r="B21" i="59"/>
  <c r="A21" i="59"/>
  <c r="AE20" i="59"/>
  <c r="AD20" i="59"/>
  <c r="AB20" i="59"/>
  <c r="AA20" i="59"/>
  <c r="W20" i="59"/>
  <c r="V20" i="59"/>
  <c r="U20" i="59"/>
  <c r="T20" i="59"/>
  <c r="S20" i="59"/>
  <c r="R20" i="59"/>
  <c r="Q20" i="59"/>
  <c r="P20" i="59"/>
  <c r="O20" i="59"/>
  <c r="N20" i="59"/>
  <c r="M20" i="59"/>
  <c r="L20" i="59"/>
  <c r="K20" i="59"/>
  <c r="I20" i="59"/>
  <c r="H20" i="59"/>
  <c r="E20" i="59"/>
  <c r="D20" i="59"/>
  <c r="C20" i="59"/>
  <c r="B20" i="59"/>
  <c r="A20" i="59"/>
  <c r="AE19" i="59"/>
  <c r="AD19" i="59"/>
  <c r="AB19" i="59"/>
  <c r="AA19" i="59"/>
  <c r="W19" i="59"/>
  <c r="V19" i="59"/>
  <c r="U19" i="59"/>
  <c r="T19" i="59"/>
  <c r="S19" i="59"/>
  <c r="R19" i="59"/>
  <c r="Q19" i="59"/>
  <c r="P19" i="59"/>
  <c r="O19" i="59"/>
  <c r="N19" i="59"/>
  <c r="M19" i="59"/>
  <c r="L19" i="59"/>
  <c r="K19" i="59"/>
  <c r="I19" i="59"/>
  <c r="H19" i="59"/>
  <c r="E19" i="59"/>
  <c r="D19" i="59"/>
  <c r="C19" i="59"/>
  <c r="B19" i="59"/>
  <c r="A19" i="59"/>
  <c r="AE18" i="59"/>
  <c r="AF3" i="60" s="1"/>
  <c r="AK3" i="60" s="1"/>
  <c r="AR3" i="60"/>
  <c r="AD18" i="59"/>
  <c r="AB18" i="59"/>
  <c r="AA18" i="59"/>
  <c r="W18" i="59"/>
  <c r="V18" i="59"/>
  <c r="U18" i="59"/>
  <c r="T18" i="59"/>
  <c r="S18" i="59"/>
  <c r="R18" i="59"/>
  <c r="Q18" i="59"/>
  <c r="P18" i="59"/>
  <c r="O18" i="59"/>
  <c r="N18" i="59"/>
  <c r="M18" i="59"/>
  <c r="L18" i="59"/>
  <c r="K18" i="59"/>
  <c r="I18" i="59"/>
  <c r="H18" i="59"/>
  <c r="E18" i="59"/>
  <c r="D18" i="59"/>
  <c r="C18" i="59"/>
  <c r="B18" i="59"/>
  <c r="A18" i="59"/>
  <c r="AE17" i="59"/>
  <c r="AF2" i="60" s="1"/>
  <c r="AK2" i="60" s="1"/>
  <c r="AD17" i="59"/>
  <c r="AB17" i="59"/>
  <c r="AA17" i="59"/>
  <c r="W17" i="59"/>
  <c r="V17" i="59"/>
  <c r="U17" i="59"/>
  <c r="T17" i="59"/>
  <c r="S17" i="59"/>
  <c r="R17" i="59"/>
  <c r="Q17" i="59"/>
  <c r="P17" i="59"/>
  <c r="O17" i="59"/>
  <c r="N17" i="59"/>
  <c r="M17" i="59"/>
  <c r="L17" i="59"/>
  <c r="K17" i="59"/>
  <c r="I17" i="59"/>
  <c r="H17" i="59"/>
  <c r="E17" i="59"/>
  <c r="D17" i="59"/>
  <c r="C17" i="59"/>
  <c r="B17" i="59"/>
  <c r="A17" i="59"/>
  <c r="AE16" i="59"/>
  <c r="AD16" i="59"/>
  <c r="AB16" i="59"/>
  <c r="AA16" i="59"/>
  <c r="W16" i="59"/>
  <c r="V16" i="59"/>
  <c r="U16" i="59"/>
  <c r="T16" i="59"/>
  <c r="S16" i="59"/>
  <c r="R16" i="59"/>
  <c r="Q16" i="59"/>
  <c r="P16" i="59"/>
  <c r="O16" i="59"/>
  <c r="N16" i="59"/>
  <c r="M16" i="59"/>
  <c r="L16" i="59"/>
  <c r="K16" i="59"/>
  <c r="I16" i="59"/>
  <c r="H16" i="59"/>
  <c r="E16" i="59"/>
  <c r="D16" i="59"/>
  <c r="C16" i="59"/>
  <c r="B16" i="59"/>
  <c r="A16" i="59"/>
  <c r="AE15" i="59"/>
  <c r="AF10" i="60" s="1"/>
  <c r="AK10" i="60"/>
  <c r="AD15" i="59"/>
  <c r="AB15" i="59"/>
  <c r="AA15" i="59"/>
  <c r="W15" i="59"/>
  <c r="V15" i="59"/>
  <c r="U15" i="59"/>
  <c r="T15" i="59"/>
  <c r="S15" i="59"/>
  <c r="R15" i="59"/>
  <c r="Q15" i="59"/>
  <c r="P15" i="59"/>
  <c r="O15" i="59"/>
  <c r="N15" i="59"/>
  <c r="M15" i="59"/>
  <c r="L15" i="59"/>
  <c r="K15" i="59"/>
  <c r="I15" i="59"/>
  <c r="H15" i="59"/>
  <c r="E15" i="59"/>
  <c r="D15" i="59"/>
  <c r="C15" i="59"/>
  <c r="B15" i="59"/>
  <c r="A15" i="59"/>
  <c r="AE14" i="59"/>
  <c r="AF9" i="60" s="1"/>
  <c r="AK9" i="60" s="1"/>
  <c r="AD14" i="59"/>
  <c r="AB14" i="59"/>
  <c r="AA14" i="59"/>
  <c r="W14" i="59"/>
  <c r="V14" i="59"/>
  <c r="U14" i="59"/>
  <c r="T14" i="59"/>
  <c r="S14" i="59"/>
  <c r="R14" i="59"/>
  <c r="Q14" i="59"/>
  <c r="P14" i="59"/>
  <c r="O14" i="59"/>
  <c r="N14" i="59"/>
  <c r="M14" i="59"/>
  <c r="L14" i="59"/>
  <c r="K14" i="59"/>
  <c r="I14" i="59"/>
  <c r="H14" i="59"/>
  <c r="E14" i="59"/>
  <c r="D14" i="59"/>
  <c r="C14" i="59"/>
  <c r="B14" i="59"/>
  <c r="A14" i="59"/>
  <c r="AE13" i="59"/>
  <c r="AD13" i="59"/>
  <c r="AB13" i="59"/>
  <c r="AA13" i="59"/>
  <c r="W13" i="59"/>
  <c r="V13" i="59"/>
  <c r="U13" i="59"/>
  <c r="T13" i="59"/>
  <c r="S13" i="59"/>
  <c r="R13" i="59"/>
  <c r="Q13" i="59"/>
  <c r="P13" i="59"/>
  <c r="O13" i="59"/>
  <c r="N13" i="59"/>
  <c r="M13" i="59"/>
  <c r="L13" i="59"/>
  <c r="K13" i="59"/>
  <c r="I13" i="59"/>
  <c r="H13" i="59"/>
  <c r="E13" i="59"/>
  <c r="D13" i="59"/>
  <c r="C13" i="59"/>
  <c r="B13" i="59"/>
  <c r="A13" i="59"/>
  <c r="AE12" i="59"/>
  <c r="AD12" i="59"/>
  <c r="AB12" i="59"/>
  <c r="AA12" i="59"/>
  <c r="W12" i="59"/>
  <c r="V12" i="59"/>
  <c r="U12" i="59"/>
  <c r="T12" i="59"/>
  <c r="S12" i="59"/>
  <c r="R12" i="59"/>
  <c r="Q12" i="59"/>
  <c r="P12" i="59"/>
  <c r="O12" i="59"/>
  <c r="N12" i="59"/>
  <c r="M12" i="59"/>
  <c r="L12" i="59"/>
  <c r="K12" i="59"/>
  <c r="I12" i="59"/>
  <c r="H12" i="59"/>
  <c r="E12" i="59"/>
  <c r="D12" i="59"/>
  <c r="C12" i="59"/>
  <c r="B12" i="59"/>
  <c r="A12" i="59"/>
  <c r="AE11" i="59"/>
  <c r="AD11" i="59"/>
  <c r="AB11" i="59"/>
  <c r="AA11" i="59"/>
  <c r="W11" i="59"/>
  <c r="V11" i="59"/>
  <c r="U11" i="59"/>
  <c r="T11" i="59"/>
  <c r="S11" i="59"/>
  <c r="R11" i="59"/>
  <c r="Q11" i="59"/>
  <c r="P11" i="59"/>
  <c r="O11" i="59"/>
  <c r="N11" i="59"/>
  <c r="M11" i="59"/>
  <c r="L11" i="59"/>
  <c r="K11" i="59"/>
  <c r="I11" i="59"/>
  <c r="H11" i="59"/>
  <c r="E11" i="59"/>
  <c r="D11" i="59"/>
  <c r="C11" i="59"/>
  <c r="B11" i="59"/>
  <c r="A11" i="59"/>
  <c r="AE10" i="59"/>
  <c r="AD10" i="59"/>
  <c r="AB10" i="59"/>
  <c r="AA10" i="59"/>
  <c r="W10" i="59"/>
  <c r="V10" i="59"/>
  <c r="U10" i="59"/>
  <c r="T10" i="59"/>
  <c r="S10" i="59"/>
  <c r="R10" i="59"/>
  <c r="Q10" i="59"/>
  <c r="P10" i="59"/>
  <c r="O10" i="59"/>
  <c r="N10" i="59"/>
  <c r="M10" i="59"/>
  <c r="L10" i="59"/>
  <c r="K10" i="59"/>
  <c r="I10" i="59"/>
  <c r="H10" i="59"/>
  <c r="E10" i="59"/>
  <c r="D10" i="59"/>
  <c r="C10" i="59"/>
  <c r="B10" i="59"/>
  <c r="A10" i="59"/>
  <c r="AE9" i="59"/>
  <c r="AF4" i="60" s="1"/>
  <c r="AK4" i="60"/>
  <c r="AD9" i="59"/>
  <c r="AB9" i="59"/>
  <c r="AA9" i="59"/>
  <c r="W9" i="59"/>
  <c r="V9" i="59"/>
  <c r="U9" i="59"/>
  <c r="T9" i="59"/>
  <c r="S9" i="59"/>
  <c r="R9" i="59"/>
  <c r="Q9" i="59"/>
  <c r="P9" i="59"/>
  <c r="O9" i="59"/>
  <c r="N9" i="59"/>
  <c r="M9" i="59"/>
  <c r="L9" i="59"/>
  <c r="K9" i="59"/>
  <c r="I9" i="59"/>
  <c r="H9" i="59"/>
  <c r="E9" i="59"/>
  <c r="D9" i="59"/>
  <c r="C9" i="59"/>
  <c r="B9" i="59"/>
  <c r="A9" i="59"/>
  <c r="AE8" i="59"/>
  <c r="AD8" i="59"/>
  <c r="AB8" i="59"/>
  <c r="AA8" i="59"/>
  <c r="W8" i="59"/>
  <c r="V8" i="59"/>
  <c r="U8" i="59"/>
  <c r="T8" i="59"/>
  <c r="S8" i="59"/>
  <c r="R8" i="59"/>
  <c r="Q8" i="59"/>
  <c r="P8" i="59"/>
  <c r="O8" i="59"/>
  <c r="N8" i="59"/>
  <c r="M8" i="59"/>
  <c r="L8" i="59"/>
  <c r="K8" i="59"/>
  <c r="I8" i="59"/>
  <c r="H8" i="59"/>
  <c r="E8" i="59"/>
  <c r="D8" i="59"/>
  <c r="C8" i="59"/>
  <c r="B8" i="59"/>
  <c r="A8" i="59"/>
  <c r="AE7" i="59"/>
  <c r="AF6" i="60" s="1"/>
  <c r="AK6" i="60" s="1"/>
  <c r="AD7" i="59"/>
  <c r="AB7" i="59"/>
  <c r="AA7" i="59"/>
  <c r="W7" i="59"/>
  <c r="V7" i="59"/>
  <c r="U7" i="59"/>
  <c r="T7" i="59"/>
  <c r="S7" i="59"/>
  <c r="R7" i="59"/>
  <c r="Q7" i="59"/>
  <c r="P7" i="59"/>
  <c r="O7" i="59"/>
  <c r="N7" i="59"/>
  <c r="M7" i="59"/>
  <c r="L7" i="59"/>
  <c r="K7" i="59"/>
  <c r="I7" i="59"/>
  <c r="H7" i="59"/>
  <c r="E7" i="59"/>
  <c r="D7" i="59"/>
  <c r="C7" i="59"/>
  <c r="B7" i="59"/>
  <c r="A7" i="59"/>
  <c r="AE6" i="59"/>
  <c r="AF5" i="60" s="1"/>
  <c r="AK5" i="60"/>
  <c r="AR5" i="60" s="1"/>
  <c r="AD6" i="59"/>
  <c r="AB6" i="59"/>
  <c r="AA6" i="59"/>
  <c r="W6" i="59"/>
  <c r="V6" i="59"/>
  <c r="U6" i="59"/>
  <c r="T6" i="59"/>
  <c r="S6" i="59"/>
  <c r="R6" i="59"/>
  <c r="Q6" i="59"/>
  <c r="P6" i="59"/>
  <c r="O6" i="59"/>
  <c r="N6" i="59"/>
  <c r="M6" i="59"/>
  <c r="L6" i="59"/>
  <c r="K6" i="59"/>
  <c r="I6" i="59"/>
  <c r="H6" i="59"/>
  <c r="E6" i="59"/>
  <c r="D6" i="59"/>
  <c r="C6" i="59"/>
  <c r="B6" i="59"/>
  <c r="A6" i="59"/>
  <c r="AE5" i="59"/>
  <c r="AD5" i="59"/>
  <c r="AB5" i="59"/>
  <c r="AA5" i="59"/>
  <c r="W5" i="59"/>
  <c r="V5" i="59"/>
  <c r="U5" i="59"/>
  <c r="T5" i="59"/>
  <c r="S5" i="59"/>
  <c r="R5" i="59"/>
  <c r="Q5" i="59"/>
  <c r="P5" i="59"/>
  <c r="O5" i="59"/>
  <c r="N5" i="59"/>
  <c r="M5" i="59"/>
  <c r="L5" i="59"/>
  <c r="K5" i="59"/>
  <c r="I5" i="59"/>
  <c r="H5" i="59"/>
  <c r="E5" i="59"/>
  <c r="D5" i="59"/>
  <c r="C5" i="59"/>
  <c r="B5" i="59"/>
  <c r="A5" i="59"/>
  <c r="AE4" i="59"/>
  <c r="AD4" i="59"/>
  <c r="AB4" i="59"/>
  <c r="AA4" i="59"/>
  <c r="W4" i="59"/>
  <c r="V4" i="59"/>
  <c r="U4" i="59"/>
  <c r="T4" i="59"/>
  <c r="S4" i="59"/>
  <c r="R4" i="59"/>
  <c r="Q4" i="59"/>
  <c r="P4" i="59"/>
  <c r="O4" i="59"/>
  <c r="N4" i="59"/>
  <c r="M4" i="59"/>
  <c r="L4" i="59"/>
  <c r="K4" i="59"/>
  <c r="I4" i="59"/>
  <c r="H4" i="59"/>
  <c r="E4" i="59"/>
  <c r="D4" i="59"/>
  <c r="C4" i="59"/>
  <c r="B4" i="59"/>
  <c r="A4" i="59"/>
  <c r="AE3" i="59"/>
  <c r="AF8" i="60" s="1"/>
  <c r="AK8" i="60" s="1"/>
  <c r="AD3" i="59"/>
  <c r="AB3" i="59"/>
  <c r="AA3" i="59"/>
  <c r="W3" i="59"/>
  <c r="V3" i="59"/>
  <c r="U3" i="59"/>
  <c r="T3" i="59"/>
  <c r="S3" i="59"/>
  <c r="R3" i="59"/>
  <c r="Q3" i="59"/>
  <c r="P3" i="59"/>
  <c r="O3" i="59"/>
  <c r="N3" i="59"/>
  <c r="M3" i="59"/>
  <c r="L3" i="59"/>
  <c r="K3" i="59"/>
  <c r="I3" i="59"/>
  <c r="H3" i="59"/>
  <c r="E3" i="59"/>
  <c r="D3" i="59"/>
  <c r="C3" i="59"/>
  <c r="B3" i="59"/>
  <c r="A3" i="59"/>
  <c r="AE2" i="59"/>
  <c r="AF7" i="60"/>
  <c r="AK7" i="60" s="1"/>
  <c r="AD2" i="59"/>
  <c r="AB2" i="59"/>
  <c r="AA2" i="59"/>
  <c r="W2" i="59"/>
  <c r="V2" i="59"/>
  <c r="U2" i="59"/>
  <c r="T2" i="59"/>
  <c r="S2" i="59"/>
  <c r="R2" i="59"/>
  <c r="Q2" i="59"/>
  <c r="P2" i="59"/>
  <c r="O2" i="59"/>
  <c r="N2" i="59"/>
  <c r="M2" i="59"/>
  <c r="L2" i="59"/>
  <c r="K2" i="59"/>
  <c r="I2" i="59"/>
  <c r="H2" i="59"/>
  <c r="E2" i="59"/>
  <c r="D2" i="59"/>
  <c r="C2" i="59"/>
  <c r="B2" i="59"/>
  <c r="A2" i="59"/>
  <c r="AH37" i="58"/>
  <c r="AG37" i="58"/>
  <c r="AE37" i="58"/>
  <c r="AB37" i="58"/>
  <c r="AA37" i="58"/>
  <c r="W37" i="58"/>
  <c r="V37" i="58"/>
  <c r="U37" i="58"/>
  <c r="T37" i="58"/>
  <c r="S37" i="58"/>
  <c r="R37" i="58"/>
  <c r="Q37" i="58"/>
  <c r="P37" i="58"/>
  <c r="O37" i="58"/>
  <c r="N37" i="58"/>
  <c r="M37" i="58"/>
  <c r="L37" i="58"/>
  <c r="K37" i="58"/>
  <c r="I37" i="58"/>
  <c r="H37" i="58"/>
  <c r="E37" i="58"/>
  <c r="D37" i="58"/>
  <c r="C37" i="58"/>
  <c r="B37" i="58"/>
  <c r="A37" i="58"/>
  <c r="AG36" i="58"/>
  <c r="AE36" i="58"/>
  <c r="AB36" i="58"/>
  <c r="AA36" i="58"/>
  <c r="W36" i="58"/>
  <c r="V36" i="58"/>
  <c r="U36" i="58"/>
  <c r="T36" i="58"/>
  <c r="S36" i="58"/>
  <c r="R36" i="58"/>
  <c r="Q36" i="58"/>
  <c r="P36" i="58"/>
  <c r="O36" i="58"/>
  <c r="N36" i="58"/>
  <c r="M36" i="58"/>
  <c r="L36" i="58"/>
  <c r="K36" i="58"/>
  <c r="I36" i="58"/>
  <c r="H36" i="58"/>
  <c r="E36" i="58"/>
  <c r="D36" i="58"/>
  <c r="C36" i="58"/>
  <c r="B36" i="58"/>
  <c r="A36" i="58"/>
  <c r="AG35" i="58"/>
  <c r="AE35" i="58"/>
  <c r="AB35" i="58"/>
  <c r="AA35" i="58"/>
  <c r="W35" i="58"/>
  <c r="V35" i="58"/>
  <c r="U35" i="58"/>
  <c r="T35" i="58"/>
  <c r="S35" i="58"/>
  <c r="R35" i="58"/>
  <c r="Q35" i="58"/>
  <c r="P35" i="58"/>
  <c r="O35" i="58"/>
  <c r="N35" i="58"/>
  <c r="M35" i="58"/>
  <c r="L35" i="58"/>
  <c r="K35" i="58"/>
  <c r="I35" i="58"/>
  <c r="H35" i="58"/>
  <c r="E35" i="58"/>
  <c r="D35" i="58"/>
  <c r="C35" i="58"/>
  <c r="B35" i="58"/>
  <c r="A35" i="58"/>
  <c r="AG34" i="58"/>
  <c r="AE34" i="58"/>
  <c r="AB34" i="58"/>
  <c r="AA34" i="58"/>
  <c r="W34" i="58"/>
  <c r="V34" i="58"/>
  <c r="U34" i="58"/>
  <c r="T34" i="58"/>
  <c r="S34" i="58"/>
  <c r="R34" i="58"/>
  <c r="Q34" i="58"/>
  <c r="P34" i="58"/>
  <c r="O34" i="58"/>
  <c r="N34" i="58"/>
  <c r="M34" i="58"/>
  <c r="L34" i="58"/>
  <c r="K34" i="58"/>
  <c r="I34" i="58"/>
  <c r="H34" i="58"/>
  <c r="E34" i="58"/>
  <c r="D34" i="58"/>
  <c r="C34" i="58"/>
  <c r="B34" i="58"/>
  <c r="A34" i="58"/>
  <c r="AG33" i="58"/>
  <c r="AE33" i="58"/>
  <c r="AB33" i="58"/>
  <c r="AA33" i="58"/>
  <c r="W33" i="58"/>
  <c r="V33" i="58"/>
  <c r="U33" i="58"/>
  <c r="T33" i="58"/>
  <c r="S33" i="58"/>
  <c r="R33" i="58"/>
  <c r="Q33" i="58"/>
  <c r="P33" i="58"/>
  <c r="O33" i="58"/>
  <c r="N33" i="58"/>
  <c r="M33" i="58"/>
  <c r="L33" i="58"/>
  <c r="K33" i="58"/>
  <c r="I33" i="58"/>
  <c r="H33" i="58"/>
  <c r="E33" i="58"/>
  <c r="D33" i="58"/>
  <c r="C33" i="58"/>
  <c r="B33" i="58"/>
  <c r="A33" i="58"/>
  <c r="AG32" i="58"/>
  <c r="AE32" i="58"/>
  <c r="AB32" i="58"/>
  <c r="AA32" i="58"/>
  <c r="W32" i="58"/>
  <c r="V32" i="58"/>
  <c r="U32" i="58"/>
  <c r="T32" i="58"/>
  <c r="S32" i="58"/>
  <c r="R32" i="58"/>
  <c r="Q32" i="58"/>
  <c r="P32" i="58"/>
  <c r="O32" i="58"/>
  <c r="N32" i="58"/>
  <c r="M32" i="58"/>
  <c r="L32" i="58"/>
  <c r="K32" i="58"/>
  <c r="I32" i="58"/>
  <c r="H32" i="58"/>
  <c r="E32" i="58"/>
  <c r="D32" i="58"/>
  <c r="C32" i="58"/>
  <c r="B32" i="58"/>
  <c r="A32" i="58"/>
  <c r="AG31" i="58"/>
  <c r="AE31" i="58"/>
  <c r="AB31" i="58"/>
  <c r="AA31" i="58"/>
  <c r="W31" i="58"/>
  <c r="V31" i="58"/>
  <c r="U31" i="58"/>
  <c r="T31" i="58"/>
  <c r="S31" i="58"/>
  <c r="R31" i="58"/>
  <c r="Q31" i="58"/>
  <c r="P31" i="58"/>
  <c r="O31" i="58"/>
  <c r="N31" i="58"/>
  <c r="M31" i="58"/>
  <c r="L31" i="58"/>
  <c r="K31" i="58"/>
  <c r="I31" i="58"/>
  <c r="H31" i="58"/>
  <c r="E31" i="58"/>
  <c r="D31" i="58"/>
  <c r="C31" i="58"/>
  <c r="B31" i="58"/>
  <c r="A31" i="58"/>
  <c r="AF30" i="58"/>
  <c r="AF35" i="58" s="1"/>
  <c r="AE30" i="58"/>
  <c r="AB30" i="58"/>
  <c r="AA30" i="58"/>
  <c r="W30" i="58"/>
  <c r="V30" i="58"/>
  <c r="U30" i="58"/>
  <c r="T30" i="58"/>
  <c r="S30" i="58"/>
  <c r="R30" i="58"/>
  <c r="Q30" i="58"/>
  <c r="P30" i="58"/>
  <c r="O30" i="58"/>
  <c r="N30" i="58"/>
  <c r="M30" i="58"/>
  <c r="L30" i="58"/>
  <c r="K30" i="58"/>
  <c r="I30" i="58"/>
  <c r="H30" i="58"/>
  <c r="E30" i="58"/>
  <c r="D30" i="58"/>
  <c r="C30" i="58"/>
  <c r="B30" i="58"/>
  <c r="A30" i="58"/>
  <c r="AH29" i="58"/>
  <c r="AG29" i="58"/>
  <c r="AE29" i="58"/>
  <c r="AB29" i="58"/>
  <c r="AA29" i="58"/>
  <c r="W29" i="58"/>
  <c r="V29" i="58"/>
  <c r="U29" i="58"/>
  <c r="T29" i="58"/>
  <c r="S29" i="58"/>
  <c r="R29" i="58"/>
  <c r="Q29" i="58"/>
  <c r="P29" i="58"/>
  <c r="O29" i="58"/>
  <c r="N29" i="58"/>
  <c r="M29" i="58"/>
  <c r="L29" i="58"/>
  <c r="K29" i="58"/>
  <c r="I29" i="58"/>
  <c r="H29" i="58"/>
  <c r="E29" i="58"/>
  <c r="D29" i="58"/>
  <c r="C29" i="58"/>
  <c r="B29" i="58"/>
  <c r="A29" i="58"/>
  <c r="AG28" i="58"/>
  <c r="AF28" i="58"/>
  <c r="AE28" i="58"/>
  <c r="AB28" i="58"/>
  <c r="AA28" i="58"/>
  <c r="W28" i="58"/>
  <c r="V28" i="58"/>
  <c r="U28" i="58"/>
  <c r="T28" i="58"/>
  <c r="S28" i="58"/>
  <c r="R28" i="58"/>
  <c r="Q28" i="58"/>
  <c r="P28" i="58"/>
  <c r="O28" i="58"/>
  <c r="N28" i="58"/>
  <c r="M28" i="58"/>
  <c r="L28" i="58"/>
  <c r="K28" i="58"/>
  <c r="I28" i="58"/>
  <c r="H28" i="58"/>
  <c r="E28" i="58"/>
  <c r="D28" i="58"/>
  <c r="C28" i="58"/>
  <c r="B28" i="58"/>
  <c r="A28" i="58"/>
  <c r="AG27" i="58"/>
  <c r="AE27" i="58"/>
  <c r="AB27" i="58"/>
  <c r="AA27" i="58"/>
  <c r="W27" i="58"/>
  <c r="V27" i="58"/>
  <c r="U27" i="58"/>
  <c r="T27" i="58"/>
  <c r="S27" i="58"/>
  <c r="R27" i="58"/>
  <c r="Q27" i="58"/>
  <c r="P27" i="58"/>
  <c r="O27" i="58"/>
  <c r="N27" i="58"/>
  <c r="M27" i="58"/>
  <c r="L27" i="58"/>
  <c r="K27" i="58"/>
  <c r="I27" i="58"/>
  <c r="H27" i="58"/>
  <c r="E27" i="58"/>
  <c r="D27" i="58"/>
  <c r="C27" i="58"/>
  <c r="B27" i="58"/>
  <c r="A27" i="58"/>
  <c r="AG26" i="58"/>
  <c r="AE26" i="58"/>
  <c r="AB26" i="58"/>
  <c r="AA26" i="58"/>
  <c r="W26" i="58"/>
  <c r="V26" i="58"/>
  <c r="U26" i="58"/>
  <c r="T26" i="58"/>
  <c r="S26" i="58"/>
  <c r="R26" i="58"/>
  <c r="Q26" i="58"/>
  <c r="P26" i="58"/>
  <c r="O26" i="58"/>
  <c r="N26" i="58"/>
  <c r="M26" i="58"/>
  <c r="L26" i="58"/>
  <c r="K26" i="58"/>
  <c r="I26" i="58"/>
  <c r="H26" i="58"/>
  <c r="E26" i="58"/>
  <c r="D26" i="58"/>
  <c r="C26" i="58"/>
  <c r="B26" i="58"/>
  <c r="A26" i="58"/>
  <c r="AG25" i="58"/>
  <c r="AE25" i="58"/>
  <c r="AB25" i="58"/>
  <c r="AA25" i="58"/>
  <c r="W25" i="58"/>
  <c r="V25" i="58"/>
  <c r="U25" i="58"/>
  <c r="T25" i="58"/>
  <c r="S25" i="58"/>
  <c r="R25" i="58"/>
  <c r="Q25" i="58"/>
  <c r="P25" i="58"/>
  <c r="O25" i="58"/>
  <c r="N25" i="58"/>
  <c r="M25" i="58"/>
  <c r="L25" i="58"/>
  <c r="K25" i="58"/>
  <c r="I25" i="58"/>
  <c r="H25" i="58"/>
  <c r="E25" i="58"/>
  <c r="D25" i="58"/>
  <c r="C25" i="58"/>
  <c r="B25" i="58"/>
  <c r="A25" i="58"/>
  <c r="AG24" i="58"/>
  <c r="AE24" i="58"/>
  <c r="AB24" i="58"/>
  <c r="AA24" i="58"/>
  <c r="W24" i="58"/>
  <c r="V24" i="58"/>
  <c r="U24" i="58"/>
  <c r="T24" i="58"/>
  <c r="S24" i="58"/>
  <c r="R24" i="58"/>
  <c r="Q24" i="58"/>
  <c r="P24" i="58"/>
  <c r="O24" i="58"/>
  <c r="N24" i="58"/>
  <c r="M24" i="58"/>
  <c r="L24" i="58"/>
  <c r="K24" i="58"/>
  <c r="I24" i="58"/>
  <c r="H24" i="58"/>
  <c r="E24" i="58"/>
  <c r="D24" i="58"/>
  <c r="C24" i="58"/>
  <c r="B24" i="58"/>
  <c r="A24" i="58"/>
  <c r="AG23" i="58"/>
  <c r="AE23" i="58"/>
  <c r="AB23" i="58"/>
  <c r="AA23" i="58"/>
  <c r="W23" i="58"/>
  <c r="V23" i="58"/>
  <c r="U23" i="58"/>
  <c r="T23" i="58"/>
  <c r="S23" i="58"/>
  <c r="R23" i="58"/>
  <c r="Q23" i="58"/>
  <c r="P23" i="58"/>
  <c r="O23" i="58"/>
  <c r="N23" i="58"/>
  <c r="M23" i="58"/>
  <c r="L23" i="58"/>
  <c r="K23" i="58"/>
  <c r="I23" i="58"/>
  <c r="H23" i="58"/>
  <c r="E23" i="58"/>
  <c r="D23" i="58"/>
  <c r="C23" i="58"/>
  <c r="B23" i="58"/>
  <c r="A23" i="58"/>
  <c r="AF22" i="58"/>
  <c r="AF25" i="58" s="1"/>
  <c r="AE22" i="58"/>
  <c r="AB22" i="58"/>
  <c r="AA22" i="58"/>
  <c r="W22" i="58"/>
  <c r="V22" i="58"/>
  <c r="U22" i="58"/>
  <c r="T22" i="58"/>
  <c r="S22" i="58"/>
  <c r="R22" i="58"/>
  <c r="Q22" i="58"/>
  <c r="P22" i="58"/>
  <c r="O22" i="58"/>
  <c r="N22" i="58"/>
  <c r="M22" i="58"/>
  <c r="L22" i="58"/>
  <c r="K22" i="58"/>
  <c r="I22" i="58"/>
  <c r="H22" i="58"/>
  <c r="E22" i="58"/>
  <c r="D22" i="58"/>
  <c r="C22" i="58"/>
  <c r="B22" i="58"/>
  <c r="A22" i="58"/>
  <c r="AH21" i="58"/>
  <c r="AG21" i="58"/>
  <c r="AE21" i="58"/>
  <c r="AB21" i="58"/>
  <c r="AA21" i="58"/>
  <c r="W21" i="58"/>
  <c r="V21" i="58"/>
  <c r="U21" i="58"/>
  <c r="T21" i="58"/>
  <c r="S21" i="58"/>
  <c r="R21" i="58"/>
  <c r="Q21" i="58"/>
  <c r="P21" i="58"/>
  <c r="O21" i="58"/>
  <c r="N21" i="58"/>
  <c r="M21" i="58"/>
  <c r="L21" i="58"/>
  <c r="K21" i="58"/>
  <c r="I21" i="58"/>
  <c r="H21" i="58"/>
  <c r="E21" i="58"/>
  <c r="D21" i="58"/>
  <c r="C21" i="58"/>
  <c r="B21" i="58"/>
  <c r="A21" i="58"/>
  <c r="AG20" i="58"/>
  <c r="AE20" i="58"/>
  <c r="AB20" i="58"/>
  <c r="AA20" i="58"/>
  <c r="W20" i="58"/>
  <c r="V20" i="58"/>
  <c r="U20" i="58"/>
  <c r="T20" i="58"/>
  <c r="S20" i="58"/>
  <c r="R20" i="58"/>
  <c r="Q20" i="58"/>
  <c r="P20" i="58"/>
  <c r="O20" i="58"/>
  <c r="N20" i="58"/>
  <c r="M20" i="58"/>
  <c r="L20" i="58"/>
  <c r="K20" i="58"/>
  <c r="I20" i="58"/>
  <c r="H20" i="58"/>
  <c r="E20" i="58"/>
  <c r="D20" i="58"/>
  <c r="C20" i="58"/>
  <c r="B20" i="58"/>
  <c r="A20" i="58"/>
  <c r="AG19" i="58"/>
  <c r="AE19" i="58"/>
  <c r="AB19" i="58"/>
  <c r="AA19" i="58"/>
  <c r="W19" i="58"/>
  <c r="V19" i="58"/>
  <c r="U19" i="58"/>
  <c r="T19" i="58"/>
  <c r="S19" i="58"/>
  <c r="R19" i="58"/>
  <c r="Q19" i="58"/>
  <c r="P19" i="58"/>
  <c r="O19" i="58"/>
  <c r="N19" i="58"/>
  <c r="M19" i="58"/>
  <c r="L19" i="58"/>
  <c r="K19" i="58"/>
  <c r="I19" i="58"/>
  <c r="H19" i="58"/>
  <c r="E19" i="58"/>
  <c r="D19" i="58"/>
  <c r="C19" i="58"/>
  <c r="B19" i="58"/>
  <c r="A19" i="58"/>
  <c r="AG18" i="58"/>
  <c r="AE18" i="58"/>
  <c r="AB18" i="58"/>
  <c r="AA18" i="58"/>
  <c r="W18" i="58"/>
  <c r="V18" i="58"/>
  <c r="U18" i="58"/>
  <c r="T18" i="58"/>
  <c r="S18" i="58"/>
  <c r="R18" i="58"/>
  <c r="Q18" i="58"/>
  <c r="P18" i="58"/>
  <c r="O18" i="58"/>
  <c r="N18" i="58"/>
  <c r="M18" i="58"/>
  <c r="L18" i="58"/>
  <c r="K18" i="58"/>
  <c r="I18" i="58"/>
  <c r="H18" i="58"/>
  <c r="E18" i="58"/>
  <c r="D18" i="58"/>
  <c r="C18" i="58"/>
  <c r="B18" i="58"/>
  <c r="A18" i="58"/>
  <c r="AG17" i="58"/>
  <c r="AE17" i="58"/>
  <c r="AB17" i="58"/>
  <c r="AA17" i="58"/>
  <c r="W17" i="58"/>
  <c r="V17" i="58"/>
  <c r="U17" i="58"/>
  <c r="T17" i="58"/>
  <c r="S17" i="58"/>
  <c r="R17" i="58"/>
  <c r="Q17" i="58"/>
  <c r="P17" i="58"/>
  <c r="O17" i="58"/>
  <c r="N17" i="58"/>
  <c r="M17" i="58"/>
  <c r="L17" i="58"/>
  <c r="K17" i="58"/>
  <c r="I17" i="58"/>
  <c r="H17" i="58"/>
  <c r="E17" i="58"/>
  <c r="D17" i="58"/>
  <c r="C17" i="58"/>
  <c r="B17" i="58"/>
  <c r="A17" i="58"/>
  <c r="AG16" i="58"/>
  <c r="AE16" i="58"/>
  <c r="AB16" i="58"/>
  <c r="AA16" i="58"/>
  <c r="W16" i="58"/>
  <c r="V16" i="58"/>
  <c r="U16" i="58"/>
  <c r="T16" i="58"/>
  <c r="S16" i="58"/>
  <c r="R16" i="58"/>
  <c r="Q16" i="58"/>
  <c r="P16" i="58"/>
  <c r="O16" i="58"/>
  <c r="N16" i="58"/>
  <c r="M16" i="58"/>
  <c r="L16" i="58"/>
  <c r="K16" i="58"/>
  <c r="I16" i="58"/>
  <c r="H16" i="58"/>
  <c r="E16" i="58"/>
  <c r="D16" i="58"/>
  <c r="C16" i="58"/>
  <c r="B16" i="58"/>
  <c r="A16" i="58"/>
  <c r="AG15" i="58"/>
  <c r="AE15" i="58"/>
  <c r="AB15" i="58"/>
  <c r="AA15" i="58"/>
  <c r="W15" i="58"/>
  <c r="V15" i="58"/>
  <c r="U15" i="58"/>
  <c r="T15" i="58"/>
  <c r="S15" i="58"/>
  <c r="R15" i="58"/>
  <c r="Q15" i="58"/>
  <c r="P15" i="58"/>
  <c r="O15" i="58"/>
  <c r="N15" i="58"/>
  <c r="M15" i="58"/>
  <c r="L15" i="58"/>
  <c r="K15" i="58"/>
  <c r="I15" i="58"/>
  <c r="H15" i="58"/>
  <c r="E15" i="58"/>
  <c r="D15" i="58"/>
  <c r="C15" i="58"/>
  <c r="B15" i="58"/>
  <c r="A15" i="58"/>
  <c r="AF14" i="58"/>
  <c r="AF19" i="58"/>
  <c r="AE14" i="58"/>
  <c r="AB14" i="58"/>
  <c r="AA14" i="58"/>
  <c r="W14" i="58"/>
  <c r="V14" i="58"/>
  <c r="U14" i="58"/>
  <c r="T14" i="58"/>
  <c r="S14" i="58"/>
  <c r="R14" i="58"/>
  <c r="Q14" i="58"/>
  <c r="P14" i="58"/>
  <c r="O14" i="58"/>
  <c r="N14" i="58"/>
  <c r="M14" i="58"/>
  <c r="L14" i="58"/>
  <c r="K14" i="58"/>
  <c r="I14" i="58"/>
  <c r="H14" i="58"/>
  <c r="E14" i="58"/>
  <c r="D14" i="58"/>
  <c r="C14" i="58"/>
  <c r="B14" i="58"/>
  <c r="A14" i="58"/>
  <c r="AG13" i="58"/>
  <c r="AE13" i="58"/>
  <c r="AB13" i="58"/>
  <c r="AA13" i="58"/>
  <c r="W13" i="58"/>
  <c r="V13" i="58"/>
  <c r="U13" i="58"/>
  <c r="T13" i="58"/>
  <c r="S13" i="58"/>
  <c r="R13" i="58"/>
  <c r="Q13" i="58"/>
  <c r="P13" i="58"/>
  <c r="O13" i="58"/>
  <c r="N13" i="58"/>
  <c r="M13" i="58"/>
  <c r="L13" i="58"/>
  <c r="K13" i="58"/>
  <c r="I13" i="58"/>
  <c r="H13" i="58"/>
  <c r="E13" i="58"/>
  <c r="D13" i="58"/>
  <c r="C13" i="58"/>
  <c r="B13" i="58"/>
  <c r="A13" i="58"/>
  <c r="AG12" i="58"/>
  <c r="AE12" i="58"/>
  <c r="AB12" i="58"/>
  <c r="AA12" i="58"/>
  <c r="W12" i="58"/>
  <c r="V12" i="58"/>
  <c r="U12" i="58"/>
  <c r="T12" i="58"/>
  <c r="S12" i="58"/>
  <c r="R12" i="58"/>
  <c r="Q12" i="58"/>
  <c r="P12" i="58"/>
  <c r="O12" i="58"/>
  <c r="N12" i="58"/>
  <c r="M12" i="58"/>
  <c r="L12" i="58"/>
  <c r="K12" i="58"/>
  <c r="I12" i="58"/>
  <c r="H12" i="58"/>
  <c r="E12" i="58"/>
  <c r="D12" i="58"/>
  <c r="C12" i="58"/>
  <c r="B12" i="58"/>
  <c r="A12" i="58"/>
  <c r="AG11" i="58"/>
  <c r="AE11" i="58"/>
  <c r="AB11" i="58"/>
  <c r="AA11" i="58"/>
  <c r="W11" i="58"/>
  <c r="V11" i="58"/>
  <c r="U11" i="58"/>
  <c r="T11" i="58"/>
  <c r="S11" i="58"/>
  <c r="R11" i="58"/>
  <c r="Q11" i="58"/>
  <c r="P11" i="58"/>
  <c r="O11" i="58"/>
  <c r="N11" i="58"/>
  <c r="M11" i="58"/>
  <c r="L11" i="58"/>
  <c r="K11" i="58"/>
  <c r="I11" i="58"/>
  <c r="H11" i="58"/>
  <c r="E11" i="58"/>
  <c r="D11" i="58"/>
  <c r="C11" i="58"/>
  <c r="B11" i="58"/>
  <c r="A11" i="58"/>
  <c r="AF10" i="58"/>
  <c r="AF13" i="58" s="1"/>
  <c r="AE10" i="58"/>
  <c r="AB10" i="58"/>
  <c r="AA10" i="58"/>
  <c r="W10" i="58"/>
  <c r="V10" i="58"/>
  <c r="U10" i="58"/>
  <c r="T10" i="58"/>
  <c r="S10" i="58"/>
  <c r="R10" i="58"/>
  <c r="Q10" i="58"/>
  <c r="P10" i="58"/>
  <c r="O10" i="58"/>
  <c r="N10" i="58"/>
  <c r="M10" i="58"/>
  <c r="L10" i="58"/>
  <c r="K10" i="58"/>
  <c r="I10" i="58"/>
  <c r="H10" i="58"/>
  <c r="E10" i="58"/>
  <c r="D10" i="58"/>
  <c r="C10" i="58"/>
  <c r="B10" i="58"/>
  <c r="A10" i="58"/>
  <c r="AG9" i="58"/>
  <c r="AE9" i="58"/>
  <c r="AB9" i="58"/>
  <c r="AA9" i="58"/>
  <c r="W9" i="58"/>
  <c r="V9" i="58"/>
  <c r="U9" i="58"/>
  <c r="T9" i="58"/>
  <c r="S9" i="58"/>
  <c r="R9" i="58"/>
  <c r="Q9" i="58"/>
  <c r="P9" i="58"/>
  <c r="O9" i="58"/>
  <c r="N9" i="58"/>
  <c r="M9" i="58"/>
  <c r="L9" i="58"/>
  <c r="K9" i="58"/>
  <c r="I9" i="58"/>
  <c r="H9" i="58"/>
  <c r="E9" i="58"/>
  <c r="D9" i="58"/>
  <c r="C9" i="58"/>
  <c r="B9" i="58"/>
  <c r="A9" i="58"/>
  <c r="AG8" i="58"/>
  <c r="AE8" i="58"/>
  <c r="AB8" i="58"/>
  <c r="AA8" i="58"/>
  <c r="W8" i="58"/>
  <c r="V8" i="58"/>
  <c r="U8" i="58"/>
  <c r="T8" i="58"/>
  <c r="S8" i="58"/>
  <c r="R8" i="58"/>
  <c r="Q8" i="58"/>
  <c r="P8" i="58"/>
  <c r="O8" i="58"/>
  <c r="N8" i="58"/>
  <c r="M8" i="58"/>
  <c r="L8" i="58"/>
  <c r="K8" i="58"/>
  <c r="I8" i="58"/>
  <c r="H8" i="58"/>
  <c r="E8" i="58"/>
  <c r="D8" i="58"/>
  <c r="C8" i="58"/>
  <c r="B8" i="58"/>
  <c r="A8" i="58"/>
  <c r="AG7" i="58"/>
  <c r="AE7" i="58"/>
  <c r="AB7" i="58"/>
  <c r="AA7" i="58"/>
  <c r="W7" i="58"/>
  <c r="V7" i="58"/>
  <c r="U7" i="58"/>
  <c r="T7" i="58"/>
  <c r="S7" i="58"/>
  <c r="R7" i="58"/>
  <c r="Q7" i="58"/>
  <c r="P7" i="58"/>
  <c r="O7" i="58"/>
  <c r="N7" i="58"/>
  <c r="M7" i="58"/>
  <c r="L7" i="58"/>
  <c r="K7" i="58"/>
  <c r="I7" i="58"/>
  <c r="H7" i="58"/>
  <c r="E7" i="58"/>
  <c r="D7" i="58"/>
  <c r="C7" i="58"/>
  <c r="B7" i="58"/>
  <c r="A7" i="58"/>
  <c r="AF6" i="58"/>
  <c r="AF7" i="58" s="1"/>
  <c r="AF9" i="58"/>
  <c r="AE6" i="58"/>
  <c r="AB6" i="58"/>
  <c r="AA6" i="58"/>
  <c r="W6" i="58"/>
  <c r="V6" i="58"/>
  <c r="U6" i="58"/>
  <c r="T6" i="58"/>
  <c r="S6" i="58"/>
  <c r="R6" i="58"/>
  <c r="Q6" i="58"/>
  <c r="P6" i="58"/>
  <c r="O6" i="58"/>
  <c r="N6" i="58"/>
  <c r="M6" i="58"/>
  <c r="L6" i="58"/>
  <c r="K6" i="58"/>
  <c r="I6" i="58"/>
  <c r="H6" i="58"/>
  <c r="E6" i="58"/>
  <c r="D6" i="58"/>
  <c r="C6" i="58"/>
  <c r="B6" i="58"/>
  <c r="A6" i="58"/>
  <c r="AG5" i="58"/>
  <c r="AE5" i="58"/>
  <c r="AB5" i="58"/>
  <c r="AA5" i="58"/>
  <c r="W5" i="58"/>
  <c r="V5" i="58"/>
  <c r="U5" i="58"/>
  <c r="T5" i="58"/>
  <c r="S5" i="58"/>
  <c r="R5" i="58"/>
  <c r="Q5" i="58"/>
  <c r="P5" i="58"/>
  <c r="O5" i="58"/>
  <c r="N5" i="58"/>
  <c r="M5" i="58"/>
  <c r="L5" i="58"/>
  <c r="K5" i="58"/>
  <c r="I5" i="58"/>
  <c r="H5" i="58"/>
  <c r="E5" i="58"/>
  <c r="D5" i="58"/>
  <c r="C5" i="58"/>
  <c r="B5" i="58"/>
  <c r="A5" i="58"/>
  <c r="AG4" i="58"/>
  <c r="AF4" i="58"/>
  <c r="AE4" i="58"/>
  <c r="AB4" i="58"/>
  <c r="AA4" i="58"/>
  <c r="W4" i="58"/>
  <c r="V4" i="58"/>
  <c r="U4" i="58"/>
  <c r="T4" i="58"/>
  <c r="S4" i="58"/>
  <c r="R4" i="58"/>
  <c r="Q4" i="58"/>
  <c r="P4" i="58"/>
  <c r="O4" i="58"/>
  <c r="N4" i="58"/>
  <c r="M4" i="58"/>
  <c r="L4" i="58"/>
  <c r="K4" i="58"/>
  <c r="I4" i="58"/>
  <c r="H4" i="58"/>
  <c r="E4" i="58"/>
  <c r="D4" i="58"/>
  <c r="C4" i="58"/>
  <c r="B4" i="58"/>
  <c r="A4" i="58"/>
  <c r="AG3" i="58"/>
  <c r="AE3" i="58"/>
  <c r="AB3" i="58"/>
  <c r="AA3" i="58"/>
  <c r="W3" i="58"/>
  <c r="V3" i="58"/>
  <c r="U3" i="58"/>
  <c r="T3" i="58"/>
  <c r="S3" i="58"/>
  <c r="R3" i="58"/>
  <c r="Q3" i="58"/>
  <c r="P3" i="58"/>
  <c r="O3" i="58"/>
  <c r="N3" i="58"/>
  <c r="M3" i="58"/>
  <c r="L3" i="58"/>
  <c r="K3" i="58"/>
  <c r="I3" i="58"/>
  <c r="H3" i="58"/>
  <c r="E3" i="58"/>
  <c r="D3" i="58"/>
  <c r="C3" i="58"/>
  <c r="B3" i="58"/>
  <c r="A3" i="58"/>
  <c r="AF2" i="58"/>
  <c r="AF3" i="58" s="1"/>
  <c r="AE2" i="58"/>
  <c r="AB2" i="58"/>
  <c r="AA2" i="58"/>
  <c r="W2" i="58"/>
  <c r="V2" i="58"/>
  <c r="U2" i="58"/>
  <c r="T2" i="58"/>
  <c r="S2" i="58"/>
  <c r="R2" i="58"/>
  <c r="Q2" i="58"/>
  <c r="P2" i="58"/>
  <c r="O2" i="58"/>
  <c r="N2" i="58"/>
  <c r="M2" i="58"/>
  <c r="L2" i="58"/>
  <c r="K2" i="58"/>
  <c r="I2" i="58"/>
  <c r="H2" i="58"/>
  <c r="E2" i="58"/>
  <c r="D2" i="58"/>
  <c r="C2" i="58"/>
  <c r="B2" i="58"/>
  <c r="A2" i="58"/>
  <c r="AG31" i="57"/>
  <c r="AE31" i="57"/>
  <c r="AD31" i="57"/>
  <c r="AC31" i="57"/>
  <c r="AB31" i="57"/>
  <c r="AA31" i="57"/>
  <c r="W31" i="57"/>
  <c r="V31" i="57"/>
  <c r="U31" i="57"/>
  <c r="T31" i="57"/>
  <c r="S31" i="57"/>
  <c r="R31" i="57"/>
  <c r="Q31" i="57"/>
  <c r="P31" i="57"/>
  <c r="O31" i="57"/>
  <c r="N31" i="57"/>
  <c r="M31" i="57"/>
  <c r="L31" i="57"/>
  <c r="K31" i="57"/>
  <c r="I31" i="57"/>
  <c r="H31" i="57"/>
  <c r="E31" i="57"/>
  <c r="D31" i="57"/>
  <c r="C31" i="57"/>
  <c r="B31" i="57"/>
  <c r="A31" i="57"/>
  <c r="AG30" i="57"/>
  <c r="AE30" i="57"/>
  <c r="AD30" i="57"/>
  <c r="AC30" i="57"/>
  <c r="AB30" i="57"/>
  <c r="AA30" i="57"/>
  <c r="W30" i="57"/>
  <c r="V30" i="57"/>
  <c r="U30" i="57"/>
  <c r="T30" i="57"/>
  <c r="S30" i="57"/>
  <c r="R30" i="57"/>
  <c r="Q30" i="57"/>
  <c r="P30" i="57"/>
  <c r="O30" i="57"/>
  <c r="N30" i="57"/>
  <c r="M30" i="57"/>
  <c r="L30" i="57"/>
  <c r="K30" i="57"/>
  <c r="I30" i="57"/>
  <c r="H30" i="57"/>
  <c r="E30" i="57"/>
  <c r="D30" i="57"/>
  <c r="C30" i="57"/>
  <c r="B30" i="57"/>
  <c r="A30" i="57"/>
  <c r="AG29" i="57"/>
  <c r="AE29" i="57"/>
  <c r="AD29" i="57"/>
  <c r="AC29" i="57"/>
  <c r="AB29" i="57"/>
  <c r="AA29" i="57"/>
  <c r="W29" i="57"/>
  <c r="V29" i="57"/>
  <c r="U29" i="57"/>
  <c r="T29" i="57"/>
  <c r="S29" i="57"/>
  <c r="R29" i="57"/>
  <c r="Q29" i="57"/>
  <c r="P29" i="57"/>
  <c r="O29" i="57"/>
  <c r="N29" i="57"/>
  <c r="M29" i="57"/>
  <c r="L29" i="57"/>
  <c r="K29" i="57"/>
  <c r="I29" i="57"/>
  <c r="H29" i="57"/>
  <c r="E29" i="57"/>
  <c r="D29" i="57"/>
  <c r="C29" i="57"/>
  <c r="B29" i="57"/>
  <c r="A29" i="57"/>
  <c r="AG28" i="57"/>
  <c r="AE28" i="57"/>
  <c r="AD28" i="57"/>
  <c r="AC28" i="57"/>
  <c r="AB28" i="57"/>
  <c r="AA28" i="57"/>
  <c r="W28" i="57"/>
  <c r="V28" i="57"/>
  <c r="U28" i="57"/>
  <c r="T28" i="57"/>
  <c r="S28" i="57"/>
  <c r="R28" i="57"/>
  <c r="Q28" i="57"/>
  <c r="P28" i="57"/>
  <c r="O28" i="57"/>
  <c r="N28" i="57"/>
  <c r="M28" i="57"/>
  <c r="L28" i="57"/>
  <c r="K28" i="57"/>
  <c r="I28" i="57"/>
  <c r="H28" i="57"/>
  <c r="E28" i="57"/>
  <c r="D28" i="57"/>
  <c r="C28" i="57"/>
  <c r="B28" i="57"/>
  <c r="A28" i="57"/>
  <c r="AG27" i="57"/>
  <c r="AE27" i="57"/>
  <c r="AD27" i="57"/>
  <c r="AC27" i="57"/>
  <c r="AB27" i="57"/>
  <c r="AA27" i="57"/>
  <c r="W27" i="57"/>
  <c r="V27" i="57"/>
  <c r="U27" i="57"/>
  <c r="T27" i="57"/>
  <c r="S27" i="57"/>
  <c r="R27" i="57"/>
  <c r="Q27" i="57"/>
  <c r="P27" i="57"/>
  <c r="O27" i="57"/>
  <c r="N27" i="57"/>
  <c r="M27" i="57"/>
  <c r="L27" i="57"/>
  <c r="K27" i="57"/>
  <c r="I27" i="57"/>
  <c r="H27" i="57"/>
  <c r="E27" i="57"/>
  <c r="D27" i="57"/>
  <c r="C27" i="57"/>
  <c r="B27" i="57"/>
  <c r="A27" i="57"/>
  <c r="AG26" i="57"/>
  <c r="AE26" i="57"/>
  <c r="AD26" i="57"/>
  <c r="AC26" i="57"/>
  <c r="AB26" i="57"/>
  <c r="AA26" i="57"/>
  <c r="W26" i="57"/>
  <c r="V26" i="57"/>
  <c r="U26" i="57"/>
  <c r="T26" i="57"/>
  <c r="S26" i="57"/>
  <c r="R26" i="57"/>
  <c r="Q26" i="57"/>
  <c r="P26" i="57"/>
  <c r="O26" i="57"/>
  <c r="N26" i="57"/>
  <c r="M26" i="57"/>
  <c r="L26" i="57"/>
  <c r="K26" i="57"/>
  <c r="I26" i="57"/>
  <c r="H26" i="57"/>
  <c r="E26" i="57"/>
  <c r="D26" i="57"/>
  <c r="C26" i="57"/>
  <c r="B26" i="57"/>
  <c r="A26" i="57"/>
  <c r="AG25" i="57"/>
  <c r="AE25" i="57"/>
  <c r="AD25" i="57"/>
  <c r="AC25" i="57"/>
  <c r="AB25" i="57"/>
  <c r="AA25" i="57"/>
  <c r="W25" i="57"/>
  <c r="V25" i="57"/>
  <c r="U25" i="57"/>
  <c r="T25" i="57"/>
  <c r="S25" i="57"/>
  <c r="R25" i="57"/>
  <c r="Q25" i="57"/>
  <c r="P25" i="57"/>
  <c r="O25" i="57"/>
  <c r="N25" i="57"/>
  <c r="M25" i="57"/>
  <c r="L25" i="57"/>
  <c r="K25" i="57"/>
  <c r="I25" i="57"/>
  <c r="H25" i="57"/>
  <c r="E25" i="57"/>
  <c r="D25" i="57"/>
  <c r="C25" i="57"/>
  <c r="B25" i="57"/>
  <c r="A25" i="57"/>
  <c r="AG24" i="57"/>
  <c r="AE24" i="57"/>
  <c r="AD24" i="57"/>
  <c r="AC24" i="57"/>
  <c r="AB24" i="57"/>
  <c r="AA24" i="57"/>
  <c r="W24" i="57"/>
  <c r="V24" i="57"/>
  <c r="U24" i="57"/>
  <c r="T24" i="57"/>
  <c r="S24" i="57"/>
  <c r="R24" i="57"/>
  <c r="Q24" i="57"/>
  <c r="P24" i="57"/>
  <c r="O24" i="57"/>
  <c r="N24" i="57"/>
  <c r="M24" i="57"/>
  <c r="L24" i="57"/>
  <c r="K24" i="57"/>
  <c r="I24" i="57"/>
  <c r="H24" i="57"/>
  <c r="E24" i="57"/>
  <c r="D24" i="57"/>
  <c r="C24" i="57"/>
  <c r="B24" i="57"/>
  <c r="A24" i="57"/>
  <c r="AG23" i="57"/>
  <c r="AE23" i="57"/>
  <c r="AD23" i="57"/>
  <c r="AC23" i="57"/>
  <c r="AB23" i="57"/>
  <c r="AA23" i="57"/>
  <c r="W23" i="57"/>
  <c r="V23" i="57"/>
  <c r="U23" i="57"/>
  <c r="T23" i="57"/>
  <c r="S23" i="57"/>
  <c r="R23" i="57"/>
  <c r="Q23" i="57"/>
  <c r="P23" i="57"/>
  <c r="O23" i="57"/>
  <c r="N23" i="57"/>
  <c r="M23" i="57"/>
  <c r="L23" i="57"/>
  <c r="K23" i="57"/>
  <c r="I23" i="57"/>
  <c r="H23" i="57"/>
  <c r="E23" i="57"/>
  <c r="D23" i="57"/>
  <c r="C23" i="57"/>
  <c r="B23" i="57"/>
  <c r="A23" i="57"/>
  <c r="AG22" i="57"/>
  <c r="AE22" i="57"/>
  <c r="AD22" i="57"/>
  <c r="AC22" i="57"/>
  <c r="AB22" i="57"/>
  <c r="AA22" i="57"/>
  <c r="W22" i="57"/>
  <c r="V22" i="57"/>
  <c r="U22" i="57"/>
  <c r="T22" i="57"/>
  <c r="S22" i="57"/>
  <c r="R22" i="57"/>
  <c r="Q22" i="57"/>
  <c r="P22" i="57"/>
  <c r="O22" i="57"/>
  <c r="N22" i="57"/>
  <c r="M22" i="57"/>
  <c r="L22" i="57"/>
  <c r="K22" i="57"/>
  <c r="I22" i="57"/>
  <c r="H22" i="57"/>
  <c r="E22" i="57"/>
  <c r="D22" i="57"/>
  <c r="C22" i="57"/>
  <c r="B22" i="57"/>
  <c r="A22" i="57"/>
  <c r="AG21" i="57"/>
  <c r="AE21" i="57"/>
  <c r="AD21" i="57"/>
  <c r="AC21" i="57"/>
  <c r="AB21" i="57"/>
  <c r="AA21" i="57"/>
  <c r="W21" i="57"/>
  <c r="V21" i="57"/>
  <c r="U21" i="57"/>
  <c r="T21" i="57"/>
  <c r="S21" i="57"/>
  <c r="R21" i="57"/>
  <c r="Q21" i="57"/>
  <c r="P21" i="57"/>
  <c r="O21" i="57"/>
  <c r="N21" i="57"/>
  <c r="M21" i="57"/>
  <c r="L21" i="57"/>
  <c r="K21" i="57"/>
  <c r="I21" i="57"/>
  <c r="H21" i="57"/>
  <c r="E21" i="57"/>
  <c r="D21" i="57"/>
  <c r="C21" i="57"/>
  <c r="B21" i="57"/>
  <c r="A21" i="57"/>
  <c r="AG20" i="57"/>
  <c r="AE20" i="57"/>
  <c r="AD20" i="57"/>
  <c r="AC20" i="57"/>
  <c r="AB20" i="57"/>
  <c r="AA20" i="57"/>
  <c r="W20" i="57"/>
  <c r="V20" i="57"/>
  <c r="U20" i="57"/>
  <c r="T20" i="57"/>
  <c r="S20" i="57"/>
  <c r="R20" i="57"/>
  <c r="Q20" i="57"/>
  <c r="P20" i="57"/>
  <c r="O20" i="57"/>
  <c r="N20" i="57"/>
  <c r="M20" i="57"/>
  <c r="L20" i="57"/>
  <c r="K20" i="57"/>
  <c r="I20" i="57"/>
  <c r="H20" i="57"/>
  <c r="E20" i="57"/>
  <c r="D20" i="57"/>
  <c r="C20" i="57"/>
  <c r="B20" i="57"/>
  <c r="A20" i="57"/>
  <c r="AG19" i="57"/>
  <c r="AE19" i="57"/>
  <c r="AD19" i="57"/>
  <c r="AC19" i="57"/>
  <c r="AB19" i="57"/>
  <c r="AA19" i="57"/>
  <c r="W19" i="57"/>
  <c r="V19" i="57"/>
  <c r="U19" i="57"/>
  <c r="T19" i="57"/>
  <c r="S19" i="57"/>
  <c r="R19" i="57"/>
  <c r="Q19" i="57"/>
  <c r="P19" i="57"/>
  <c r="O19" i="57"/>
  <c r="N19" i="57"/>
  <c r="M19" i="57"/>
  <c r="L19" i="57"/>
  <c r="K19" i="57"/>
  <c r="I19" i="57"/>
  <c r="H19" i="57"/>
  <c r="E19" i="57"/>
  <c r="D19" i="57"/>
  <c r="C19" i="57"/>
  <c r="B19" i="57"/>
  <c r="A19" i="57"/>
  <c r="AG18" i="57"/>
  <c r="AE18" i="57"/>
  <c r="AD18" i="57"/>
  <c r="AC18" i="57"/>
  <c r="AB18" i="57"/>
  <c r="AA18" i="57"/>
  <c r="W18" i="57"/>
  <c r="V18" i="57"/>
  <c r="U18" i="57"/>
  <c r="T18" i="57"/>
  <c r="S18" i="57"/>
  <c r="R18" i="57"/>
  <c r="Q18" i="57"/>
  <c r="P18" i="57"/>
  <c r="O18" i="57"/>
  <c r="N18" i="57"/>
  <c r="M18" i="57"/>
  <c r="L18" i="57"/>
  <c r="K18" i="57"/>
  <c r="I18" i="57"/>
  <c r="H18" i="57"/>
  <c r="E18" i="57"/>
  <c r="D18" i="57"/>
  <c r="C18" i="57"/>
  <c r="B18" i="57"/>
  <c r="A18" i="57"/>
  <c r="AG17" i="57"/>
  <c r="AE17" i="57"/>
  <c r="AD17" i="57"/>
  <c r="AC17" i="57"/>
  <c r="AB17" i="57"/>
  <c r="AA17" i="57"/>
  <c r="W17" i="57"/>
  <c r="V17" i="57"/>
  <c r="U17" i="57"/>
  <c r="T17" i="57"/>
  <c r="S17" i="57"/>
  <c r="R17" i="57"/>
  <c r="Q17" i="57"/>
  <c r="P17" i="57"/>
  <c r="O17" i="57"/>
  <c r="N17" i="57"/>
  <c r="M17" i="57"/>
  <c r="L17" i="57"/>
  <c r="K17" i="57"/>
  <c r="I17" i="57"/>
  <c r="H17" i="57"/>
  <c r="E17" i="57"/>
  <c r="D17" i="57"/>
  <c r="C17" i="57"/>
  <c r="B17" i="57"/>
  <c r="A17" i="57"/>
  <c r="AG16" i="57"/>
  <c r="AE16" i="57"/>
  <c r="AD16" i="57"/>
  <c r="AC16" i="57"/>
  <c r="AB16" i="57"/>
  <c r="AA16" i="57"/>
  <c r="W16" i="57"/>
  <c r="V16" i="57"/>
  <c r="U16" i="57"/>
  <c r="T16" i="57"/>
  <c r="S16" i="57"/>
  <c r="R16" i="57"/>
  <c r="Q16" i="57"/>
  <c r="P16" i="57"/>
  <c r="O16" i="57"/>
  <c r="N16" i="57"/>
  <c r="M16" i="57"/>
  <c r="L16" i="57"/>
  <c r="K16" i="57"/>
  <c r="I16" i="57"/>
  <c r="H16" i="57"/>
  <c r="E16" i="57"/>
  <c r="D16" i="57"/>
  <c r="C16" i="57"/>
  <c r="B16" i="57"/>
  <c r="A16" i="57"/>
  <c r="AG15" i="57"/>
  <c r="AE15" i="57"/>
  <c r="AD15" i="57"/>
  <c r="AC15" i="57"/>
  <c r="AB15" i="57"/>
  <c r="AA15" i="57"/>
  <c r="W15" i="57"/>
  <c r="V15" i="57"/>
  <c r="U15" i="57"/>
  <c r="T15" i="57"/>
  <c r="S15" i="57"/>
  <c r="R15" i="57"/>
  <c r="Q15" i="57"/>
  <c r="P15" i="57"/>
  <c r="O15" i="57"/>
  <c r="N15" i="57"/>
  <c r="M15" i="57"/>
  <c r="L15" i="57"/>
  <c r="K15" i="57"/>
  <c r="I15" i="57"/>
  <c r="H15" i="57"/>
  <c r="E15" i="57"/>
  <c r="D15" i="57"/>
  <c r="C15" i="57"/>
  <c r="B15" i="57"/>
  <c r="A15" i="57"/>
  <c r="AG14" i="57"/>
  <c r="AE14" i="57"/>
  <c r="AD14" i="57"/>
  <c r="AC14" i="57"/>
  <c r="AB14" i="57"/>
  <c r="AA14" i="57"/>
  <c r="W14" i="57"/>
  <c r="V14" i="57"/>
  <c r="U14" i="57"/>
  <c r="T14" i="57"/>
  <c r="S14" i="57"/>
  <c r="R14" i="57"/>
  <c r="Q14" i="57"/>
  <c r="P14" i="57"/>
  <c r="O14" i="57"/>
  <c r="N14" i="57"/>
  <c r="M14" i="57"/>
  <c r="L14" i="57"/>
  <c r="K14" i="57"/>
  <c r="I14" i="57"/>
  <c r="H14" i="57"/>
  <c r="E14" i="57"/>
  <c r="D14" i="57"/>
  <c r="C14" i="57"/>
  <c r="B14" i="57"/>
  <c r="A14" i="57"/>
  <c r="AG13" i="57"/>
  <c r="AE13" i="57"/>
  <c r="AD13" i="57"/>
  <c r="AC13" i="57"/>
  <c r="AB13" i="57"/>
  <c r="AA13" i="57"/>
  <c r="W13" i="57"/>
  <c r="V13" i="57"/>
  <c r="U13" i="57"/>
  <c r="T13" i="57"/>
  <c r="S13" i="57"/>
  <c r="R13" i="57"/>
  <c r="Q13" i="57"/>
  <c r="P13" i="57"/>
  <c r="O13" i="57"/>
  <c r="N13" i="57"/>
  <c r="M13" i="57"/>
  <c r="L13" i="57"/>
  <c r="K13" i="57"/>
  <c r="I13" i="57"/>
  <c r="H13" i="57"/>
  <c r="E13" i="57"/>
  <c r="D13" i="57"/>
  <c r="C13" i="57"/>
  <c r="B13" i="57"/>
  <c r="A13" i="57"/>
  <c r="AG12" i="57"/>
  <c r="AE12" i="57"/>
  <c r="AD12" i="57"/>
  <c r="AC12" i="57"/>
  <c r="AB12" i="57"/>
  <c r="AA12" i="57"/>
  <c r="W12" i="57"/>
  <c r="V12" i="57"/>
  <c r="U12" i="57"/>
  <c r="T12" i="57"/>
  <c r="S12" i="57"/>
  <c r="R12" i="57"/>
  <c r="Q12" i="57"/>
  <c r="P12" i="57"/>
  <c r="O12" i="57"/>
  <c r="N12" i="57"/>
  <c r="M12" i="57"/>
  <c r="L12" i="57"/>
  <c r="K12" i="57"/>
  <c r="I12" i="57"/>
  <c r="H12" i="57"/>
  <c r="E12" i="57"/>
  <c r="D12" i="57"/>
  <c r="C12" i="57"/>
  <c r="B12" i="57"/>
  <c r="A12" i="57"/>
  <c r="AG11" i="57"/>
  <c r="AE11" i="57"/>
  <c r="AD11" i="57"/>
  <c r="AC11" i="57"/>
  <c r="AB11" i="57"/>
  <c r="AA11" i="57"/>
  <c r="W11" i="57"/>
  <c r="V11" i="57"/>
  <c r="U11" i="57"/>
  <c r="T11" i="57"/>
  <c r="S11" i="57"/>
  <c r="R11" i="57"/>
  <c r="Q11" i="57"/>
  <c r="P11" i="57"/>
  <c r="O11" i="57"/>
  <c r="N11" i="57"/>
  <c r="M11" i="57"/>
  <c r="L11" i="57"/>
  <c r="K11" i="57"/>
  <c r="I11" i="57"/>
  <c r="H11" i="57"/>
  <c r="E11" i="57"/>
  <c r="D11" i="57"/>
  <c r="C11" i="57"/>
  <c r="B11" i="57"/>
  <c r="A11" i="57"/>
  <c r="AG10" i="57"/>
  <c r="AE10" i="57"/>
  <c r="AD10" i="57"/>
  <c r="AC10" i="57"/>
  <c r="AB10" i="57"/>
  <c r="AA10" i="57"/>
  <c r="W10" i="57"/>
  <c r="V10" i="57"/>
  <c r="U10" i="57"/>
  <c r="T10" i="57"/>
  <c r="S10" i="57"/>
  <c r="R10" i="57"/>
  <c r="Q10" i="57"/>
  <c r="P10" i="57"/>
  <c r="O10" i="57"/>
  <c r="N10" i="57"/>
  <c r="M10" i="57"/>
  <c r="L10" i="57"/>
  <c r="K10" i="57"/>
  <c r="I10" i="57"/>
  <c r="H10" i="57"/>
  <c r="E10" i="57"/>
  <c r="D10" i="57"/>
  <c r="C10" i="57"/>
  <c r="B10" i="57"/>
  <c r="A10" i="57"/>
  <c r="AG9" i="57"/>
  <c r="AE9" i="57"/>
  <c r="AD9" i="57"/>
  <c r="AC9" i="57"/>
  <c r="AB9" i="57"/>
  <c r="AA9" i="57"/>
  <c r="W9" i="57"/>
  <c r="V9" i="57"/>
  <c r="U9" i="57"/>
  <c r="T9" i="57"/>
  <c r="S9" i="57"/>
  <c r="R9" i="57"/>
  <c r="Q9" i="57"/>
  <c r="P9" i="57"/>
  <c r="O9" i="57"/>
  <c r="N9" i="57"/>
  <c r="M9" i="57"/>
  <c r="L9" i="57"/>
  <c r="K9" i="57"/>
  <c r="I9" i="57"/>
  <c r="H9" i="57"/>
  <c r="E9" i="57"/>
  <c r="D9" i="57"/>
  <c r="C9" i="57"/>
  <c r="B9" i="57"/>
  <c r="A9" i="57"/>
  <c r="AG8" i="57"/>
  <c r="AE8" i="57"/>
  <c r="AD8" i="57"/>
  <c r="AC8" i="57"/>
  <c r="AB8" i="57"/>
  <c r="AA8" i="57"/>
  <c r="W8" i="57"/>
  <c r="V8" i="57"/>
  <c r="U8" i="57"/>
  <c r="T8" i="57"/>
  <c r="S8" i="57"/>
  <c r="R8" i="57"/>
  <c r="Q8" i="57"/>
  <c r="P8" i="57"/>
  <c r="O8" i="57"/>
  <c r="N8" i="57"/>
  <c r="M8" i="57"/>
  <c r="L8" i="57"/>
  <c r="K8" i="57"/>
  <c r="I8" i="57"/>
  <c r="H8" i="57"/>
  <c r="E8" i="57"/>
  <c r="D8" i="57"/>
  <c r="C8" i="57"/>
  <c r="B8" i="57"/>
  <c r="A8" i="57"/>
  <c r="AG7" i="57"/>
  <c r="AE7" i="57"/>
  <c r="AD7" i="57"/>
  <c r="AC7" i="57"/>
  <c r="AB7" i="57"/>
  <c r="AA7" i="57"/>
  <c r="W7" i="57"/>
  <c r="V7" i="57"/>
  <c r="U7" i="57"/>
  <c r="T7" i="57"/>
  <c r="S7" i="57"/>
  <c r="R7" i="57"/>
  <c r="Q7" i="57"/>
  <c r="P7" i="57"/>
  <c r="O7" i="57"/>
  <c r="N7" i="57"/>
  <c r="M7" i="57"/>
  <c r="L7" i="57"/>
  <c r="K7" i="57"/>
  <c r="I7" i="57"/>
  <c r="H7" i="57"/>
  <c r="E7" i="57"/>
  <c r="D7" i="57"/>
  <c r="C7" i="57"/>
  <c r="B7" i="57"/>
  <c r="A7" i="57"/>
  <c r="AG6" i="57"/>
  <c r="AE6" i="57"/>
  <c r="AD6" i="57"/>
  <c r="AC6" i="57"/>
  <c r="AB6" i="57"/>
  <c r="AA6" i="57"/>
  <c r="W6" i="57"/>
  <c r="V6" i="57"/>
  <c r="U6" i="57"/>
  <c r="T6" i="57"/>
  <c r="S6" i="57"/>
  <c r="R6" i="57"/>
  <c r="Q6" i="57"/>
  <c r="P6" i="57"/>
  <c r="O6" i="57"/>
  <c r="N6" i="57"/>
  <c r="M6" i="57"/>
  <c r="L6" i="57"/>
  <c r="K6" i="57"/>
  <c r="I6" i="57"/>
  <c r="H6" i="57"/>
  <c r="E6" i="57"/>
  <c r="D6" i="57"/>
  <c r="C6" i="57"/>
  <c r="B6" i="57"/>
  <c r="A6" i="57"/>
  <c r="AG5" i="57"/>
  <c r="AE5" i="57"/>
  <c r="AD5" i="57"/>
  <c r="AC5" i="57"/>
  <c r="AB5" i="57"/>
  <c r="AA5" i="57"/>
  <c r="W5" i="57"/>
  <c r="V5" i="57"/>
  <c r="U5" i="57"/>
  <c r="T5" i="57"/>
  <c r="S5" i="57"/>
  <c r="R5" i="57"/>
  <c r="Q5" i="57"/>
  <c r="P5" i="57"/>
  <c r="O5" i="57"/>
  <c r="N5" i="57"/>
  <c r="M5" i="57"/>
  <c r="L5" i="57"/>
  <c r="K5" i="57"/>
  <c r="I5" i="57"/>
  <c r="H5" i="57"/>
  <c r="E5" i="57"/>
  <c r="D5" i="57"/>
  <c r="C5" i="57"/>
  <c r="B5" i="57"/>
  <c r="A5" i="57"/>
  <c r="AG4" i="57"/>
  <c r="AE4" i="57"/>
  <c r="AD4" i="57"/>
  <c r="AC4" i="57"/>
  <c r="AB4" i="57"/>
  <c r="AA4" i="57"/>
  <c r="W4" i="57"/>
  <c r="V4" i="57"/>
  <c r="U4" i="57"/>
  <c r="T4" i="57"/>
  <c r="S4" i="57"/>
  <c r="R4" i="57"/>
  <c r="Q4" i="57"/>
  <c r="P4" i="57"/>
  <c r="O4" i="57"/>
  <c r="N4" i="57"/>
  <c r="M4" i="57"/>
  <c r="L4" i="57"/>
  <c r="K4" i="57"/>
  <c r="I4" i="57"/>
  <c r="H4" i="57"/>
  <c r="E4" i="57"/>
  <c r="D4" i="57"/>
  <c r="C4" i="57"/>
  <c r="B4" i="57"/>
  <c r="A4" i="57"/>
  <c r="AG3" i="57"/>
  <c r="AE3" i="57"/>
  <c r="AD3" i="57"/>
  <c r="AC3" i="57"/>
  <c r="AB3" i="57"/>
  <c r="AA3" i="57"/>
  <c r="W3" i="57"/>
  <c r="V3" i="57"/>
  <c r="U3" i="57"/>
  <c r="T3" i="57"/>
  <c r="S3" i="57"/>
  <c r="R3" i="57"/>
  <c r="Q3" i="57"/>
  <c r="P3" i="57"/>
  <c r="O3" i="57"/>
  <c r="N3" i="57"/>
  <c r="M3" i="57"/>
  <c r="L3" i="57"/>
  <c r="K3" i="57"/>
  <c r="I3" i="57"/>
  <c r="H3" i="57"/>
  <c r="E3" i="57"/>
  <c r="D3" i="57"/>
  <c r="C3" i="57"/>
  <c r="B3" i="57"/>
  <c r="A3" i="57"/>
  <c r="AG2" i="57"/>
  <c r="AE2" i="57"/>
  <c r="AD2" i="57"/>
  <c r="AC2" i="57"/>
  <c r="AB2" i="57"/>
  <c r="AA2" i="57"/>
  <c r="W2" i="57"/>
  <c r="V2" i="57"/>
  <c r="U2" i="57"/>
  <c r="T2" i="57"/>
  <c r="S2" i="57"/>
  <c r="R2" i="57"/>
  <c r="Q2" i="57"/>
  <c r="P2" i="57"/>
  <c r="O2" i="57"/>
  <c r="N2" i="57"/>
  <c r="M2" i="57"/>
  <c r="L2" i="57"/>
  <c r="K2" i="57"/>
  <c r="I2" i="57"/>
  <c r="H2" i="57"/>
  <c r="E2" i="57"/>
  <c r="D2" i="57"/>
  <c r="C2" i="57"/>
  <c r="B2" i="57"/>
  <c r="A2" i="57"/>
  <c r="BT2" i="56"/>
  <c r="BS2" i="56"/>
  <c r="BR2" i="56"/>
  <c r="BQ2" i="56"/>
  <c r="BP2" i="56"/>
  <c r="BO2" i="56"/>
  <c r="BN2" i="56"/>
  <c r="BM2" i="56"/>
  <c r="BL2" i="56"/>
  <c r="BK2" i="56"/>
  <c r="BJ2" i="56"/>
  <c r="BI2" i="56"/>
  <c r="BH2" i="56"/>
  <c r="BG2" i="56"/>
  <c r="BF2" i="56"/>
  <c r="BE2" i="56"/>
  <c r="BD2" i="56"/>
  <c r="BC2" i="56"/>
  <c r="BB2" i="56"/>
  <c r="BA2" i="56"/>
  <c r="AZ2" i="56"/>
  <c r="AY2" i="56"/>
  <c r="AX2" i="56"/>
  <c r="AW2" i="56"/>
  <c r="AV2" i="56"/>
  <c r="AU2" i="56"/>
  <c r="AT2" i="56"/>
  <c r="AS2" i="56"/>
  <c r="AR2" i="56"/>
  <c r="AQ2" i="56"/>
  <c r="AP2" i="56"/>
  <c r="AO2" i="56"/>
  <c r="AN2" i="56"/>
  <c r="AM2" i="56"/>
  <c r="AL2" i="56"/>
  <c r="AK2" i="56"/>
  <c r="AJ2" i="56"/>
  <c r="AI2" i="56"/>
  <c r="AH2" i="56"/>
  <c r="AG2" i="56"/>
  <c r="AF2" i="56"/>
  <c r="AE2" i="56"/>
  <c r="AD2" i="56"/>
  <c r="AC2" i="56"/>
  <c r="AB2" i="56"/>
  <c r="AA2" i="56"/>
  <c r="W2" i="56"/>
  <c r="V2" i="56"/>
  <c r="U2" i="56"/>
  <c r="T2" i="56"/>
  <c r="S2" i="56"/>
  <c r="R2" i="56"/>
  <c r="Q2" i="56"/>
  <c r="P2" i="56"/>
  <c r="O2" i="56"/>
  <c r="N2" i="56"/>
  <c r="M2" i="56"/>
  <c r="L2" i="56"/>
  <c r="K2" i="56"/>
  <c r="I2" i="56"/>
  <c r="H2" i="56"/>
  <c r="E2" i="56"/>
  <c r="D2" i="56"/>
  <c r="C2" i="56"/>
  <c r="B2" i="56"/>
  <c r="A2" i="56"/>
  <c r="AG7" i="4"/>
  <c r="AF7" i="4"/>
  <c r="AE7" i="4"/>
  <c r="AD7" i="4"/>
  <c r="AB7" i="4"/>
  <c r="AA7" i="4"/>
  <c r="W7" i="4"/>
  <c r="V7" i="4"/>
  <c r="U7" i="4"/>
  <c r="T7" i="4"/>
  <c r="S7" i="4"/>
  <c r="R7" i="4"/>
  <c r="Q7" i="4"/>
  <c r="P7" i="4"/>
  <c r="O7" i="4"/>
  <c r="N7" i="4"/>
  <c r="M7" i="4"/>
  <c r="L7" i="4"/>
  <c r="K7" i="4"/>
  <c r="I7" i="4"/>
  <c r="H7" i="4"/>
  <c r="E7" i="4"/>
  <c r="D7" i="4"/>
  <c r="C7" i="4"/>
  <c r="B7" i="4"/>
  <c r="A7" i="4"/>
  <c r="AG6" i="4"/>
  <c r="AF6" i="4"/>
  <c r="AE6" i="4"/>
  <c r="AD6" i="4"/>
  <c r="AB6" i="4"/>
  <c r="AA6" i="4"/>
  <c r="W6" i="4"/>
  <c r="V6" i="4"/>
  <c r="U6" i="4"/>
  <c r="T6" i="4"/>
  <c r="S6" i="4"/>
  <c r="R6" i="4"/>
  <c r="Q6" i="4"/>
  <c r="P6" i="4"/>
  <c r="O6" i="4"/>
  <c r="N6" i="4"/>
  <c r="M6" i="4"/>
  <c r="L6" i="4"/>
  <c r="K6" i="4"/>
  <c r="I6" i="4"/>
  <c r="H6" i="4"/>
  <c r="E6" i="4"/>
  <c r="D6" i="4"/>
  <c r="C6" i="4"/>
  <c r="B6" i="4"/>
  <c r="A6" i="4"/>
  <c r="AG5" i="4"/>
  <c r="AF5" i="4"/>
  <c r="AE5" i="4"/>
  <c r="AD5" i="4"/>
  <c r="AB5" i="4"/>
  <c r="AA5" i="4"/>
  <c r="W5" i="4"/>
  <c r="V5" i="4"/>
  <c r="U5" i="4"/>
  <c r="T5" i="4"/>
  <c r="S5" i="4"/>
  <c r="R5" i="4"/>
  <c r="Q5" i="4"/>
  <c r="P5" i="4"/>
  <c r="O5" i="4"/>
  <c r="N5" i="4"/>
  <c r="M5" i="4"/>
  <c r="L5" i="4"/>
  <c r="K5" i="4"/>
  <c r="I5" i="4"/>
  <c r="H5" i="4"/>
  <c r="E5" i="4"/>
  <c r="D5" i="4"/>
  <c r="C5" i="4"/>
  <c r="B5" i="4"/>
  <c r="A5" i="4"/>
  <c r="AG4" i="4"/>
  <c r="AF4" i="4"/>
  <c r="AE4" i="4"/>
  <c r="AD4" i="4"/>
  <c r="AB4" i="4"/>
  <c r="AA4" i="4"/>
  <c r="W4" i="4"/>
  <c r="V4" i="4"/>
  <c r="U4" i="4"/>
  <c r="T4" i="4"/>
  <c r="S4" i="4"/>
  <c r="R4" i="4"/>
  <c r="Q4" i="4"/>
  <c r="P4" i="4"/>
  <c r="O4" i="4"/>
  <c r="N4" i="4"/>
  <c r="M4" i="4"/>
  <c r="L4" i="4"/>
  <c r="K4" i="4"/>
  <c r="I4" i="4"/>
  <c r="H4" i="4"/>
  <c r="E4" i="4"/>
  <c r="D4" i="4"/>
  <c r="C4" i="4"/>
  <c r="B4" i="4"/>
  <c r="A4" i="4"/>
  <c r="AG3" i="4"/>
  <c r="AF3" i="4"/>
  <c r="AE3" i="4"/>
  <c r="AD3" i="4"/>
  <c r="AB3" i="4"/>
  <c r="AA3" i="4"/>
  <c r="W3" i="4"/>
  <c r="V3" i="4"/>
  <c r="U3" i="4"/>
  <c r="T3" i="4"/>
  <c r="S3" i="4"/>
  <c r="R3" i="4"/>
  <c r="Q3" i="4"/>
  <c r="P3" i="4"/>
  <c r="O3" i="4"/>
  <c r="N3" i="4"/>
  <c r="M3" i="4"/>
  <c r="L3" i="4"/>
  <c r="K3" i="4"/>
  <c r="I3" i="4"/>
  <c r="H3" i="4"/>
  <c r="E3" i="4"/>
  <c r="D3" i="4"/>
  <c r="C3" i="4"/>
  <c r="B3" i="4"/>
  <c r="A3" i="4"/>
  <c r="AG2" i="4"/>
  <c r="AF2" i="4"/>
  <c r="AE2" i="4"/>
  <c r="AD2" i="4"/>
  <c r="AB2" i="4"/>
  <c r="AA2" i="4"/>
  <c r="W2" i="4"/>
  <c r="V2" i="4"/>
  <c r="U2" i="4"/>
  <c r="T2" i="4"/>
  <c r="S2" i="4"/>
  <c r="R2" i="4"/>
  <c r="Q2" i="4"/>
  <c r="P2" i="4"/>
  <c r="O2" i="4"/>
  <c r="N2" i="4"/>
  <c r="M2" i="4"/>
  <c r="L2" i="4"/>
  <c r="K2" i="4"/>
  <c r="I2" i="4"/>
  <c r="H2" i="4"/>
  <c r="E2" i="4"/>
  <c r="D2" i="4"/>
  <c r="C2" i="4"/>
  <c r="B2" i="4"/>
  <c r="A2" i="4"/>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W2" i="5"/>
  <c r="V2" i="5"/>
  <c r="U2" i="5"/>
  <c r="T2" i="5"/>
  <c r="S2" i="5"/>
  <c r="R2" i="5"/>
  <c r="Q2" i="5"/>
  <c r="P2" i="5"/>
  <c r="O2" i="5"/>
  <c r="N2" i="5"/>
  <c r="M2" i="5"/>
  <c r="L2" i="5"/>
  <c r="K2" i="5"/>
  <c r="I2" i="5"/>
  <c r="H2" i="5"/>
  <c r="E2" i="5"/>
  <c r="D2" i="5"/>
  <c r="C2" i="5"/>
  <c r="B2" i="5"/>
  <c r="A2" i="5"/>
  <c r="AF21" i="6"/>
  <c r="AE21" i="6"/>
  <c r="AD21" i="6"/>
  <c r="AC21" i="6"/>
  <c r="AB21" i="6"/>
  <c r="W21" i="6"/>
  <c r="V21" i="6"/>
  <c r="U21" i="6"/>
  <c r="T21" i="6"/>
  <c r="S21" i="6"/>
  <c r="R21" i="6"/>
  <c r="Q21" i="6"/>
  <c r="P21" i="6"/>
  <c r="O21" i="6"/>
  <c r="N21" i="6"/>
  <c r="M21" i="6"/>
  <c r="L21" i="6"/>
  <c r="K21" i="6"/>
  <c r="I21" i="6"/>
  <c r="H21" i="6"/>
  <c r="E21" i="6"/>
  <c r="D21" i="6"/>
  <c r="C21" i="6"/>
  <c r="B21" i="6"/>
  <c r="A21" i="6"/>
  <c r="AF20" i="6"/>
  <c r="AE20" i="6"/>
  <c r="AD20" i="6"/>
  <c r="AC20" i="6"/>
  <c r="AB20" i="6"/>
  <c r="W20" i="6"/>
  <c r="V20" i="6"/>
  <c r="U20" i="6"/>
  <c r="T20" i="6"/>
  <c r="S20" i="6"/>
  <c r="R20" i="6"/>
  <c r="Q20" i="6"/>
  <c r="P20" i="6"/>
  <c r="O20" i="6"/>
  <c r="N20" i="6"/>
  <c r="M20" i="6"/>
  <c r="L20" i="6"/>
  <c r="K20" i="6"/>
  <c r="I20" i="6"/>
  <c r="H20" i="6"/>
  <c r="E20" i="6"/>
  <c r="D20" i="6"/>
  <c r="C20" i="6"/>
  <c r="B20" i="6"/>
  <c r="A20" i="6"/>
  <c r="AF19" i="6"/>
  <c r="AE19" i="6"/>
  <c r="AD19" i="6"/>
  <c r="AC19" i="6"/>
  <c r="AB19" i="6"/>
  <c r="W19" i="6"/>
  <c r="V19" i="6"/>
  <c r="U19" i="6"/>
  <c r="T19" i="6"/>
  <c r="S19" i="6"/>
  <c r="R19" i="6"/>
  <c r="Q19" i="6"/>
  <c r="P19" i="6"/>
  <c r="O19" i="6"/>
  <c r="N19" i="6"/>
  <c r="M19" i="6"/>
  <c r="L19" i="6"/>
  <c r="K19" i="6"/>
  <c r="I19" i="6"/>
  <c r="H19" i="6"/>
  <c r="E19" i="6"/>
  <c r="D19" i="6"/>
  <c r="C19" i="6"/>
  <c r="B19" i="6"/>
  <c r="A19" i="6"/>
  <c r="AF18" i="6"/>
  <c r="AE18" i="6"/>
  <c r="AD18" i="6"/>
  <c r="AC18" i="6"/>
  <c r="AB18" i="6"/>
  <c r="W18" i="6"/>
  <c r="V18" i="6"/>
  <c r="U18" i="6"/>
  <c r="T18" i="6"/>
  <c r="S18" i="6"/>
  <c r="R18" i="6"/>
  <c r="Q18" i="6"/>
  <c r="P18" i="6"/>
  <c r="O18" i="6"/>
  <c r="N18" i="6"/>
  <c r="M18" i="6"/>
  <c r="L18" i="6"/>
  <c r="K18" i="6"/>
  <c r="I18" i="6"/>
  <c r="H18" i="6"/>
  <c r="E18" i="6"/>
  <c r="D18" i="6"/>
  <c r="C18" i="6"/>
  <c r="B18" i="6"/>
  <c r="A18" i="6"/>
  <c r="AF17" i="6"/>
  <c r="AE17" i="6"/>
  <c r="AD17" i="6"/>
  <c r="AC17" i="6"/>
  <c r="AB17" i="6"/>
  <c r="W17" i="6"/>
  <c r="V17" i="6"/>
  <c r="U17" i="6"/>
  <c r="T17" i="6"/>
  <c r="S17" i="6"/>
  <c r="R17" i="6"/>
  <c r="Q17" i="6"/>
  <c r="P17" i="6"/>
  <c r="O17" i="6"/>
  <c r="N17" i="6"/>
  <c r="M17" i="6"/>
  <c r="L17" i="6"/>
  <c r="K17" i="6"/>
  <c r="I17" i="6"/>
  <c r="H17" i="6"/>
  <c r="E17" i="6"/>
  <c r="D17" i="6"/>
  <c r="C17" i="6"/>
  <c r="B17" i="6"/>
  <c r="A17" i="6"/>
  <c r="AF16" i="6"/>
  <c r="AE16" i="6"/>
  <c r="AD16" i="6"/>
  <c r="AC16" i="6"/>
  <c r="AB16" i="6"/>
  <c r="W16" i="6"/>
  <c r="V16" i="6"/>
  <c r="U16" i="6"/>
  <c r="T16" i="6"/>
  <c r="S16" i="6"/>
  <c r="R16" i="6"/>
  <c r="Q16" i="6"/>
  <c r="P16" i="6"/>
  <c r="O16" i="6"/>
  <c r="N16" i="6"/>
  <c r="M16" i="6"/>
  <c r="L16" i="6"/>
  <c r="K16" i="6"/>
  <c r="I16" i="6"/>
  <c r="H16" i="6"/>
  <c r="E16" i="6"/>
  <c r="D16" i="6"/>
  <c r="C16" i="6"/>
  <c r="B16" i="6"/>
  <c r="A16" i="6"/>
  <c r="AF15" i="6"/>
  <c r="AE15" i="6"/>
  <c r="AD15" i="6"/>
  <c r="AC15" i="6"/>
  <c r="AB15" i="6"/>
  <c r="W15" i="6"/>
  <c r="V15" i="6"/>
  <c r="U15" i="6"/>
  <c r="T15" i="6"/>
  <c r="S15" i="6"/>
  <c r="R15" i="6"/>
  <c r="Q15" i="6"/>
  <c r="P15" i="6"/>
  <c r="O15" i="6"/>
  <c r="N15" i="6"/>
  <c r="M15" i="6"/>
  <c r="L15" i="6"/>
  <c r="K15" i="6"/>
  <c r="I15" i="6"/>
  <c r="H15" i="6"/>
  <c r="E15" i="6"/>
  <c r="D15" i="6"/>
  <c r="C15" i="6"/>
  <c r="B15" i="6"/>
  <c r="A15" i="6"/>
  <c r="AF14" i="6"/>
  <c r="AE14" i="6"/>
  <c r="AD14" i="6"/>
  <c r="AC14" i="6"/>
  <c r="AB14" i="6"/>
  <c r="W14" i="6"/>
  <c r="V14" i="6"/>
  <c r="U14" i="6"/>
  <c r="T14" i="6"/>
  <c r="S14" i="6"/>
  <c r="R14" i="6"/>
  <c r="Q14" i="6"/>
  <c r="P14" i="6"/>
  <c r="O14" i="6"/>
  <c r="N14" i="6"/>
  <c r="M14" i="6"/>
  <c r="L14" i="6"/>
  <c r="K14" i="6"/>
  <c r="I14" i="6"/>
  <c r="H14" i="6"/>
  <c r="E14" i="6"/>
  <c r="D14" i="6"/>
  <c r="C14" i="6"/>
  <c r="B14" i="6"/>
  <c r="A14" i="6"/>
  <c r="AF13" i="6"/>
  <c r="AE13" i="6"/>
  <c r="AD13" i="6"/>
  <c r="AC13" i="6"/>
  <c r="AB13" i="6"/>
  <c r="W13" i="6"/>
  <c r="V13" i="6"/>
  <c r="U13" i="6"/>
  <c r="T13" i="6"/>
  <c r="S13" i="6"/>
  <c r="R13" i="6"/>
  <c r="Q13" i="6"/>
  <c r="P13" i="6"/>
  <c r="O13" i="6"/>
  <c r="N13" i="6"/>
  <c r="M13" i="6"/>
  <c r="L13" i="6"/>
  <c r="K13" i="6"/>
  <c r="I13" i="6"/>
  <c r="H13" i="6"/>
  <c r="E13" i="6"/>
  <c r="D13" i="6"/>
  <c r="C13" i="6"/>
  <c r="B13" i="6"/>
  <c r="A13" i="6"/>
  <c r="AF12" i="6"/>
  <c r="AE12" i="6"/>
  <c r="AD12" i="6"/>
  <c r="AC12" i="6"/>
  <c r="AB12" i="6"/>
  <c r="W12" i="6"/>
  <c r="V12" i="6"/>
  <c r="U12" i="6"/>
  <c r="T12" i="6"/>
  <c r="S12" i="6"/>
  <c r="R12" i="6"/>
  <c r="Q12" i="6"/>
  <c r="P12" i="6"/>
  <c r="O12" i="6"/>
  <c r="N12" i="6"/>
  <c r="M12" i="6"/>
  <c r="L12" i="6"/>
  <c r="K12" i="6"/>
  <c r="I12" i="6"/>
  <c r="H12" i="6"/>
  <c r="E12" i="6"/>
  <c r="D12" i="6"/>
  <c r="C12" i="6"/>
  <c r="B12" i="6"/>
  <c r="A12" i="6"/>
  <c r="AF11" i="6"/>
  <c r="AE11" i="6"/>
  <c r="AD11" i="6"/>
  <c r="AC11" i="6"/>
  <c r="AB11" i="6"/>
  <c r="W11" i="6"/>
  <c r="V11" i="6"/>
  <c r="U11" i="6"/>
  <c r="T11" i="6"/>
  <c r="S11" i="6"/>
  <c r="R11" i="6"/>
  <c r="Q11" i="6"/>
  <c r="P11" i="6"/>
  <c r="O11" i="6"/>
  <c r="N11" i="6"/>
  <c r="M11" i="6"/>
  <c r="L11" i="6"/>
  <c r="K11" i="6"/>
  <c r="I11" i="6"/>
  <c r="H11" i="6"/>
  <c r="E11" i="6"/>
  <c r="D11" i="6"/>
  <c r="C11" i="6"/>
  <c r="B11" i="6"/>
  <c r="A11" i="6"/>
  <c r="AF10" i="6"/>
  <c r="AE10" i="6"/>
  <c r="AD10" i="6"/>
  <c r="AC10" i="6"/>
  <c r="AB10" i="6"/>
  <c r="W10" i="6"/>
  <c r="V10" i="6"/>
  <c r="U10" i="6"/>
  <c r="T10" i="6"/>
  <c r="S10" i="6"/>
  <c r="R10" i="6"/>
  <c r="Q10" i="6"/>
  <c r="P10" i="6"/>
  <c r="O10" i="6"/>
  <c r="N10" i="6"/>
  <c r="M10" i="6"/>
  <c r="L10" i="6"/>
  <c r="K10" i="6"/>
  <c r="I10" i="6"/>
  <c r="H10" i="6"/>
  <c r="E10" i="6"/>
  <c r="D10" i="6"/>
  <c r="C10" i="6"/>
  <c r="B10" i="6"/>
  <c r="A10" i="6"/>
  <c r="AF9" i="6"/>
  <c r="AE9" i="6"/>
  <c r="AD9" i="6"/>
  <c r="AC9" i="6"/>
  <c r="AB9" i="6"/>
  <c r="W9" i="6"/>
  <c r="V9" i="6"/>
  <c r="U9" i="6"/>
  <c r="T9" i="6"/>
  <c r="S9" i="6"/>
  <c r="R9" i="6"/>
  <c r="Q9" i="6"/>
  <c r="P9" i="6"/>
  <c r="O9" i="6"/>
  <c r="N9" i="6"/>
  <c r="M9" i="6"/>
  <c r="L9" i="6"/>
  <c r="K9" i="6"/>
  <c r="I9" i="6"/>
  <c r="H9" i="6"/>
  <c r="E9" i="6"/>
  <c r="D9" i="6"/>
  <c r="C9" i="6"/>
  <c r="B9" i="6"/>
  <c r="A9" i="6"/>
  <c r="AF8" i="6"/>
  <c r="AE8" i="6"/>
  <c r="AD8" i="6"/>
  <c r="AC8" i="6"/>
  <c r="AB8" i="6"/>
  <c r="W8" i="6"/>
  <c r="V8" i="6"/>
  <c r="U8" i="6"/>
  <c r="T8" i="6"/>
  <c r="S8" i="6"/>
  <c r="R8" i="6"/>
  <c r="Q8" i="6"/>
  <c r="P8" i="6"/>
  <c r="O8" i="6"/>
  <c r="N8" i="6"/>
  <c r="M8" i="6"/>
  <c r="L8" i="6"/>
  <c r="K8" i="6"/>
  <c r="I8" i="6"/>
  <c r="H8" i="6"/>
  <c r="E8" i="6"/>
  <c r="D8" i="6"/>
  <c r="C8" i="6"/>
  <c r="B8" i="6"/>
  <c r="A8" i="6"/>
  <c r="AF7" i="6"/>
  <c r="AE7" i="6"/>
  <c r="AD7" i="6"/>
  <c r="AC7" i="6"/>
  <c r="AB7" i="6"/>
  <c r="W7" i="6"/>
  <c r="V7" i="6"/>
  <c r="U7" i="6"/>
  <c r="T7" i="6"/>
  <c r="S7" i="6"/>
  <c r="R7" i="6"/>
  <c r="Q7" i="6"/>
  <c r="P7" i="6"/>
  <c r="O7" i="6"/>
  <c r="N7" i="6"/>
  <c r="M7" i="6"/>
  <c r="L7" i="6"/>
  <c r="K7" i="6"/>
  <c r="I7" i="6"/>
  <c r="H7" i="6"/>
  <c r="E7" i="6"/>
  <c r="D7" i="6"/>
  <c r="C7" i="6"/>
  <c r="B7" i="6"/>
  <c r="A7" i="6"/>
  <c r="AF6" i="6"/>
  <c r="AE6" i="6"/>
  <c r="AD6" i="6"/>
  <c r="AC6" i="6"/>
  <c r="AB6" i="6"/>
  <c r="W6" i="6"/>
  <c r="V6" i="6"/>
  <c r="U6" i="6"/>
  <c r="T6" i="6"/>
  <c r="S6" i="6"/>
  <c r="R6" i="6"/>
  <c r="Q6" i="6"/>
  <c r="P6" i="6"/>
  <c r="O6" i="6"/>
  <c r="N6" i="6"/>
  <c r="M6" i="6"/>
  <c r="L6" i="6"/>
  <c r="K6" i="6"/>
  <c r="I6" i="6"/>
  <c r="H6" i="6"/>
  <c r="E6" i="6"/>
  <c r="D6" i="6"/>
  <c r="C6" i="6"/>
  <c r="B6" i="6"/>
  <c r="A6" i="6"/>
  <c r="AF5" i="6"/>
  <c r="AE5" i="6"/>
  <c r="AD5" i="6"/>
  <c r="AC5" i="6"/>
  <c r="AB5" i="6"/>
  <c r="W5" i="6"/>
  <c r="V5" i="6"/>
  <c r="U5" i="6"/>
  <c r="T5" i="6"/>
  <c r="S5" i="6"/>
  <c r="R5" i="6"/>
  <c r="Q5" i="6"/>
  <c r="P5" i="6"/>
  <c r="O5" i="6"/>
  <c r="N5" i="6"/>
  <c r="M5" i="6"/>
  <c r="L5" i="6"/>
  <c r="K5" i="6"/>
  <c r="I5" i="6"/>
  <c r="H5" i="6"/>
  <c r="E5" i="6"/>
  <c r="D5" i="6"/>
  <c r="C5" i="6"/>
  <c r="B5" i="6"/>
  <c r="A5" i="6"/>
  <c r="AF4" i="6"/>
  <c r="AE4" i="6"/>
  <c r="AD4" i="6"/>
  <c r="AC4" i="6"/>
  <c r="AB4" i="6"/>
  <c r="W4" i="6"/>
  <c r="V4" i="6"/>
  <c r="U4" i="6"/>
  <c r="T4" i="6"/>
  <c r="S4" i="6"/>
  <c r="R4" i="6"/>
  <c r="Q4" i="6"/>
  <c r="P4" i="6"/>
  <c r="O4" i="6"/>
  <c r="N4" i="6"/>
  <c r="M4" i="6"/>
  <c r="L4" i="6"/>
  <c r="K4" i="6"/>
  <c r="I4" i="6"/>
  <c r="H4" i="6"/>
  <c r="E4" i="6"/>
  <c r="D4" i="6"/>
  <c r="C4" i="6"/>
  <c r="B4" i="6"/>
  <c r="A4" i="6"/>
  <c r="AF3" i="6"/>
  <c r="AE3" i="6"/>
  <c r="AD3" i="6"/>
  <c r="AC3" i="6"/>
  <c r="AB3" i="6"/>
  <c r="W3" i="6"/>
  <c r="V3" i="6"/>
  <c r="U3" i="6"/>
  <c r="T3" i="6"/>
  <c r="S3" i="6"/>
  <c r="R3" i="6"/>
  <c r="Q3" i="6"/>
  <c r="P3" i="6"/>
  <c r="O3" i="6"/>
  <c r="N3" i="6"/>
  <c r="M3" i="6"/>
  <c r="L3" i="6"/>
  <c r="K3" i="6"/>
  <c r="I3" i="6"/>
  <c r="H3" i="6"/>
  <c r="E3" i="6"/>
  <c r="D3" i="6"/>
  <c r="C3" i="6"/>
  <c r="B3" i="6"/>
  <c r="A3" i="6"/>
  <c r="AF2" i="6"/>
  <c r="AE2" i="6"/>
  <c r="AD2" i="6"/>
  <c r="AC2" i="6"/>
  <c r="AB2" i="6"/>
  <c r="W2" i="6"/>
  <c r="V2" i="6"/>
  <c r="U2" i="6"/>
  <c r="T2" i="6"/>
  <c r="S2" i="6"/>
  <c r="R2" i="6"/>
  <c r="Q2" i="6"/>
  <c r="P2" i="6"/>
  <c r="O2" i="6"/>
  <c r="N2" i="6"/>
  <c r="M2" i="6"/>
  <c r="L2" i="6"/>
  <c r="K2" i="6"/>
  <c r="I2" i="6"/>
  <c r="H2" i="6"/>
  <c r="E2" i="6"/>
  <c r="D2" i="6"/>
  <c r="C2" i="6"/>
  <c r="B2" i="6"/>
  <c r="A2" i="6"/>
  <c r="AE37" i="7"/>
  <c r="AB37" i="7"/>
  <c r="AA37" i="7"/>
  <c r="W37" i="7"/>
  <c r="V37" i="7"/>
  <c r="U37" i="7"/>
  <c r="T37" i="7"/>
  <c r="S37" i="7"/>
  <c r="R37" i="7"/>
  <c r="Q37" i="7"/>
  <c r="P37" i="7"/>
  <c r="O37" i="7"/>
  <c r="N37" i="7"/>
  <c r="M37" i="7"/>
  <c r="L37" i="7"/>
  <c r="K37" i="7"/>
  <c r="I37" i="7"/>
  <c r="H37" i="7"/>
  <c r="E37" i="7"/>
  <c r="D37" i="7"/>
  <c r="C37" i="7"/>
  <c r="B37" i="7"/>
  <c r="A37" i="7"/>
  <c r="AE36" i="7"/>
  <c r="AB36" i="7"/>
  <c r="AA36" i="7"/>
  <c r="W36" i="7"/>
  <c r="V36" i="7"/>
  <c r="U36" i="7"/>
  <c r="T36" i="7"/>
  <c r="S36" i="7"/>
  <c r="R36" i="7"/>
  <c r="Q36" i="7"/>
  <c r="P36" i="7"/>
  <c r="O36" i="7"/>
  <c r="N36" i="7"/>
  <c r="M36" i="7"/>
  <c r="L36" i="7"/>
  <c r="K36" i="7"/>
  <c r="I36" i="7"/>
  <c r="H36" i="7"/>
  <c r="E36" i="7"/>
  <c r="D36" i="7"/>
  <c r="C36" i="7"/>
  <c r="B36" i="7"/>
  <c r="A36" i="7"/>
  <c r="AE35" i="7"/>
  <c r="AB35" i="7"/>
  <c r="AA35" i="7"/>
  <c r="W35" i="7"/>
  <c r="V35" i="7"/>
  <c r="U35" i="7"/>
  <c r="T35" i="7"/>
  <c r="S35" i="7"/>
  <c r="R35" i="7"/>
  <c r="Q35" i="7"/>
  <c r="P35" i="7"/>
  <c r="O35" i="7"/>
  <c r="N35" i="7"/>
  <c r="M35" i="7"/>
  <c r="L35" i="7"/>
  <c r="K35" i="7"/>
  <c r="I35" i="7"/>
  <c r="H35" i="7"/>
  <c r="E35" i="7"/>
  <c r="D35" i="7"/>
  <c r="C35" i="7"/>
  <c r="B35" i="7"/>
  <c r="A35" i="7"/>
  <c r="AE34" i="7"/>
  <c r="AB34" i="7"/>
  <c r="AA34" i="7"/>
  <c r="W34" i="7"/>
  <c r="V34" i="7"/>
  <c r="U34" i="7"/>
  <c r="T34" i="7"/>
  <c r="S34" i="7"/>
  <c r="R34" i="7"/>
  <c r="Q34" i="7"/>
  <c r="P34" i="7"/>
  <c r="O34" i="7"/>
  <c r="N34" i="7"/>
  <c r="M34" i="7"/>
  <c r="L34" i="7"/>
  <c r="K34" i="7"/>
  <c r="I34" i="7"/>
  <c r="H34" i="7"/>
  <c r="E34" i="7"/>
  <c r="D34" i="7"/>
  <c r="C34" i="7"/>
  <c r="B34" i="7"/>
  <c r="A34" i="7"/>
  <c r="AG33" i="7"/>
  <c r="AF33" i="7" s="1"/>
  <c r="AE33" i="7"/>
  <c r="AB33" i="7"/>
  <c r="AA33" i="7"/>
  <c r="W33" i="7"/>
  <c r="V33" i="7"/>
  <c r="U33" i="7"/>
  <c r="T33" i="7"/>
  <c r="S33" i="7"/>
  <c r="R33" i="7"/>
  <c r="Q33" i="7"/>
  <c r="P33" i="7"/>
  <c r="O33" i="7"/>
  <c r="N33" i="7"/>
  <c r="M33" i="7"/>
  <c r="L33" i="7"/>
  <c r="K33" i="7"/>
  <c r="I33" i="7"/>
  <c r="H33" i="7"/>
  <c r="E33" i="7"/>
  <c r="D33" i="7"/>
  <c r="C33" i="7"/>
  <c r="B33" i="7"/>
  <c r="A33" i="7"/>
  <c r="AG32" i="7"/>
  <c r="AF32" i="7"/>
  <c r="AE32" i="7"/>
  <c r="AB32" i="7"/>
  <c r="AA32" i="7"/>
  <c r="W32" i="7"/>
  <c r="V32" i="7"/>
  <c r="U32" i="7"/>
  <c r="T32" i="7"/>
  <c r="S32" i="7"/>
  <c r="R32" i="7"/>
  <c r="Q32" i="7"/>
  <c r="P32" i="7"/>
  <c r="O32" i="7"/>
  <c r="N32" i="7"/>
  <c r="M32" i="7"/>
  <c r="L32" i="7"/>
  <c r="K32" i="7"/>
  <c r="I32" i="7"/>
  <c r="H32" i="7"/>
  <c r="E32" i="7"/>
  <c r="D32" i="7"/>
  <c r="C32" i="7"/>
  <c r="B32" i="7"/>
  <c r="A32" i="7"/>
  <c r="AG31" i="7"/>
  <c r="AF31" i="7"/>
  <c r="AE31" i="7"/>
  <c r="AB31" i="7"/>
  <c r="AA31" i="7"/>
  <c r="W31" i="7"/>
  <c r="V31" i="7"/>
  <c r="U31" i="7"/>
  <c r="T31" i="7"/>
  <c r="S31" i="7"/>
  <c r="R31" i="7"/>
  <c r="Q31" i="7"/>
  <c r="P31" i="7"/>
  <c r="O31" i="7"/>
  <c r="N31" i="7"/>
  <c r="M31" i="7"/>
  <c r="L31" i="7"/>
  <c r="K31" i="7"/>
  <c r="I31" i="7"/>
  <c r="H31" i="7"/>
  <c r="E31" i="7"/>
  <c r="D31" i="7"/>
  <c r="C31" i="7"/>
  <c r="B31" i="7"/>
  <c r="A31" i="7"/>
  <c r="AF30" i="7"/>
  <c r="AE30" i="7"/>
  <c r="AB30" i="7"/>
  <c r="AA30" i="7"/>
  <c r="W30" i="7"/>
  <c r="V30" i="7"/>
  <c r="U30" i="7"/>
  <c r="T30" i="7"/>
  <c r="S30" i="7"/>
  <c r="R30" i="7"/>
  <c r="Q30" i="7"/>
  <c r="P30" i="7"/>
  <c r="O30" i="7"/>
  <c r="N30" i="7"/>
  <c r="M30" i="7"/>
  <c r="L30" i="7"/>
  <c r="K30" i="7"/>
  <c r="I30" i="7"/>
  <c r="H30" i="7"/>
  <c r="E30" i="7"/>
  <c r="D30" i="7"/>
  <c r="C30" i="7"/>
  <c r="B30" i="7"/>
  <c r="A30" i="7"/>
  <c r="AG29" i="7"/>
  <c r="AF29" i="7" s="1"/>
  <c r="AF37" i="7" s="1"/>
  <c r="AE29" i="7"/>
  <c r="AB29" i="7"/>
  <c r="AA29" i="7"/>
  <c r="W29" i="7"/>
  <c r="V29" i="7"/>
  <c r="U29" i="7"/>
  <c r="T29" i="7"/>
  <c r="S29" i="7"/>
  <c r="R29" i="7"/>
  <c r="Q29" i="7"/>
  <c r="P29" i="7"/>
  <c r="O29" i="7"/>
  <c r="N29" i="7"/>
  <c r="M29" i="7"/>
  <c r="L29" i="7"/>
  <c r="K29" i="7"/>
  <c r="I29" i="7"/>
  <c r="H29" i="7"/>
  <c r="E29" i="7"/>
  <c r="D29" i="7"/>
  <c r="C29" i="7"/>
  <c r="B29" i="7"/>
  <c r="A29" i="7"/>
  <c r="AG28" i="7"/>
  <c r="AF28" i="7"/>
  <c r="AE28" i="7"/>
  <c r="AB28" i="7"/>
  <c r="AA28" i="7"/>
  <c r="W28" i="7"/>
  <c r="V28" i="7"/>
  <c r="U28" i="7"/>
  <c r="T28" i="7"/>
  <c r="S28" i="7"/>
  <c r="R28" i="7"/>
  <c r="Q28" i="7"/>
  <c r="P28" i="7"/>
  <c r="O28" i="7"/>
  <c r="N28" i="7"/>
  <c r="M28" i="7"/>
  <c r="L28" i="7"/>
  <c r="K28" i="7"/>
  <c r="I28" i="7"/>
  <c r="H28" i="7"/>
  <c r="E28" i="7"/>
  <c r="D28" i="7"/>
  <c r="C28" i="7"/>
  <c r="B28" i="7"/>
  <c r="A28" i="7"/>
  <c r="AG27" i="7"/>
  <c r="AF27" i="7" s="1"/>
  <c r="AE27" i="7"/>
  <c r="AB27" i="7"/>
  <c r="AA27" i="7"/>
  <c r="W27" i="7"/>
  <c r="V27" i="7"/>
  <c r="U27" i="7"/>
  <c r="T27" i="7"/>
  <c r="S27" i="7"/>
  <c r="R27" i="7"/>
  <c r="Q27" i="7"/>
  <c r="P27" i="7"/>
  <c r="O27" i="7"/>
  <c r="N27" i="7"/>
  <c r="M27" i="7"/>
  <c r="L27" i="7"/>
  <c r="K27" i="7"/>
  <c r="I27" i="7"/>
  <c r="H27" i="7"/>
  <c r="E27" i="7"/>
  <c r="D27" i="7"/>
  <c r="C27" i="7"/>
  <c r="B27" i="7"/>
  <c r="A27" i="7"/>
  <c r="AF26" i="7"/>
  <c r="AE26" i="7"/>
  <c r="AB26" i="7"/>
  <c r="AA26" i="7"/>
  <c r="W26" i="7"/>
  <c r="V26" i="7"/>
  <c r="U26" i="7"/>
  <c r="T26" i="7"/>
  <c r="S26" i="7"/>
  <c r="R26" i="7"/>
  <c r="Q26" i="7"/>
  <c r="P26" i="7"/>
  <c r="O26" i="7"/>
  <c r="N26" i="7"/>
  <c r="M26" i="7"/>
  <c r="L26" i="7"/>
  <c r="K26" i="7"/>
  <c r="I26" i="7"/>
  <c r="H26" i="7"/>
  <c r="E26" i="7"/>
  <c r="D26" i="7"/>
  <c r="C26" i="7"/>
  <c r="B26" i="7"/>
  <c r="A26" i="7"/>
  <c r="AE25" i="7"/>
  <c r="AB25" i="7"/>
  <c r="AA25" i="7"/>
  <c r="W25" i="7"/>
  <c r="V25" i="7"/>
  <c r="U25" i="7"/>
  <c r="T25" i="7"/>
  <c r="S25" i="7"/>
  <c r="R25" i="7"/>
  <c r="Q25" i="7"/>
  <c r="P25" i="7"/>
  <c r="O25" i="7"/>
  <c r="N25" i="7"/>
  <c r="M25" i="7"/>
  <c r="L25" i="7"/>
  <c r="K25" i="7"/>
  <c r="I25" i="7"/>
  <c r="H25" i="7"/>
  <c r="E25" i="7"/>
  <c r="D25" i="7"/>
  <c r="C25" i="7"/>
  <c r="B25" i="7"/>
  <c r="A25" i="7"/>
  <c r="AE24" i="7"/>
  <c r="AB24" i="7"/>
  <c r="AA24" i="7"/>
  <c r="W24" i="7"/>
  <c r="V24" i="7"/>
  <c r="U24" i="7"/>
  <c r="T24" i="7"/>
  <c r="S24" i="7"/>
  <c r="R24" i="7"/>
  <c r="Q24" i="7"/>
  <c r="P24" i="7"/>
  <c r="O24" i="7"/>
  <c r="N24" i="7"/>
  <c r="M24" i="7"/>
  <c r="L24" i="7"/>
  <c r="K24" i="7"/>
  <c r="I24" i="7"/>
  <c r="H24" i="7"/>
  <c r="E24" i="7"/>
  <c r="D24" i="7"/>
  <c r="C24" i="7"/>
  <c r="B24" i="7"/>
  <c r="A24" i="7"/>
  <c r="AE23" i="7"/>
  <c r="AB23" i="7"/>
  <c r="AA23" i="7"/>
  <c r="W23" i="7"/>
  <c r="V23" i="7"/>
  <c r="U23" i="7"/>
  <c r="T23" i="7"/>
  <c r="S23" i="7"/>
  <c r="R23" i="7"/>
  <c r="Q23" i="7"/>
  <c r="P23" i="7"/>
  <c r="O23" i="7"/>
  <c r="N23" i="7"/>
  <c r="M23" i="7"/>
  <c r="L23" i="7"/>
  <c r="K23" i="7"/>
  <c r="I23" i="7"/>
  <c r="H23" i="7"/>
  <c r="E23" i="7"/>
  <c r="D23" i="7"/>
  <c r="C23" i="7"/>
  <c r="B23" i="7"/>
  <c r="A23" i="7"/>
  <c r="AE22" i="7"/>
  <c r="AB22" i="7"/>
  <c r="AA22" i="7"/>
  <c r="W22" i="7"/>
  <c r="V22" i="7"/>
  <c r="U22" i="7"/>
  <c r="T22" i="7"/>
  <c r="S22" i="7"/>
  <c r="R22" i="7"/>
  <c r="Q22" i="7"/>
  <c r="P22" i="7"/>
  <c r="O22" i="7"/>
  <c r="N22" i="7"/>
  <c r="M22" i="7"/>
  <c r="L22" i="7"/>
  <c r="K22" i="7"/>
  <c r="I22" i="7"/>
  <c r="H22" i="7"/>
  <c r="E22" i="7"/>
  <c r="D22" i="7"/>
  <c r="C22" i="7"/>
  <c r="B22" i="7"/>
  <c r="A22" i="7"/>
  <c r="AG21" i="7"/>
  <c r="AE21" i="7"/>
  <c r="AB21" i="7"/>
  <c r="AA21" i="7"/>
  <c r="W21" i="7"/>
  <c r="V21" i="7"/>
  <c r="U21" i="7"/>
  <c r="T21" i="7"/>
  <c r="S21" i="7"/>
  <c r="R21" i="7"/>
  <c r="Q21" i="7"/>
  <c r="P21" i="7"/>
  <c r="O21" i="7"/>
  <c r="N21" i="7"/>
  <c r="M21" i="7"/>
  <c r="L21" i="7"/>
  <c r="K21" i="7"/>
  <c r="I21" i="7"/>
  <c r="H21" i="7"/>
  <c r="E21" i="7"/>
  <c r="D21" i="7"/>
  <c r="C21" i="7"/>
  <c r="B21" i="7"/>
  <c r="A21" i="7"/>
  <c r="AG20" i="7"/>
  <c r="AE20" i="7"/>
  <c r="AB20" i="7"/>
  <c r="AA20" i="7"/>
  <c r="W20" i="7"/>
  <c r="V20" i="7"/>
  <c r="U20" i="7"/>
  <c r="T20" i="7"/>
  <c r="S20" i="7"/>
  <c r="R20" i="7"/>
  <c r="Q20" i="7"/>
  <c r="P20" i="7"/>
  <c r="O20" i="7"/>
  <c r="N20" i="7"/>
  <c r="M20" i="7"/>
  <c r="L20" i="7"/>
  <c r="K20" i="7"/>
  <c r="I20" i="7"/>
  <c r="H20" i="7"/>
  <c r="E20" i="7"/>
  <c r="D20" i="7"/>
  <c r="C20" i="7"/>
  <c r="B20" i="7"/>
  <c r="A20" i="7"/>
  <c r="AG19" i="7"/>
  <c r="AF19" i="7"/>
  <c r="AE19" i="7"/>
  <c r="AB19" i="7"/>
  <c r="AA19" i="7"/>
  <c r="W19" i="7"/>
  <c r="V19" i="7"/>
  <c r="U19" i="7"/>
  <c r="T19" i="7"/>
  <c r="S19" i="7"/>
  <c r="R19" i="7"/>
  <c r="Q19" i="7"/>
  <c r="P19" i="7"/>
  <c r="O19" i="7"/>
  <c r="N19" i="7"/>
  <c r="M19" i="7"/>
  <c r="L19" i="7"/>
  <c r="K19" i="7"/>
  <c r="I19" i="7"/>
  <c r="H19" i="7"/>
  <c r="E19" i="7"/>
  <c r="D19" i="7"/>
  <c r="C19" i="7"/>
  <c r="B19" i="7"/>
  <c r="A19" i="7"/>
  <c r="AF18" i="7"/>
  <c r="AF20" i="7"/>
  <c r="AF24" i="7" s="1"/>
  <c r="AE18" i="7"/>
  <c r="AB18" i="7"/>
  <c r="AA18" i="7"/>
  <c r="W18" i="7"/>
  <c r="V18" i="7"/>
  <c r="U18" i="7"/>
  <c r="T18" i="7"/>
  <c r="S18" i="7"/>
  <c r="R18" i="7"/>
  <c r="Q18" i="7"/>
  <c r="P18" i="7"/>
  <c r="O18" i="7"/>
  <c r="N18" i="7"/>
  <c r="M18" i="7"/>
  <c r="L18" i="7"/>
  <c r="K18" i="7"/>
  <c r="I18" i="7"/>
  <c r="H18" i="7"/>
  <c r="E18" i="7"/>
  <c r="D18" i="7"/>
  <c r="C18" i="7"/>
  <c r="B18" i="7"/>
  <c r="A18" i="7"/>
  <c r="AG17" i="7"/>
  <c r="AF17" i="7" s="1"/>
  <c r="AE17" i="7"/>
  <c r="AB17" i="7"/>
  <c r="AA17" i="7"/>
  <c r="W17" i="7"/>
  <c r="V17" i="7"/>
  <c r="U17" i="7"/>
  <c r="T17" i="7"/>
  <c r="S17" i="7"/>
  <c r="R17" i="7"/>
  <c r="Q17" i="7"/>
  <c r="P17" i="7"/>
  <c r="O17" i="7"/>
  <c r="N17" i="7"/>
  <c r="M17" i="7"/>
  <c r="L17" i="7"/>
  <c r="K17" i="7"/>
  <c r="I17" i="7"/>
  <c r="H17" i="7"/>
  <c r="E17" i="7"/>
  <c r="D17" i="7"/>
  <c r="C17" i="7"/>
  <c r="B17" i="7"/>
  <c r="A17" i="7"/>
  <c r="AG16" i="7"/>
  <c r="AF16" i="7"/>
  <c r="AE16" i="7"/>
  <c r="AB16" i="7"/>
  <c r="AA16" i="7"/>
  <c r="W16" i="7"/>
  <c r="V16" i="7"/>
  <c r="U16" i="7"/>
  <c r="T16" i="7"/>
  <c r="S16" i="7"/>
  <c r="R16" i="7"/>
  <c r="Q16" i="7"/>
  <c r="P16" i="7"/>
  <c r="O16" i="7"/>
  <c r="N16" i="7"/>
  <c r="M16" i="7"/>
  <c r="L16" i="7"/>
  <c r="K16" i="7"/>
  <c r="I16" i="7"/>
  <c r="H16" i="7"/>
  <c r="E16" i="7"/>
  <c r="D16" i="7"/>
  <c r="C16" i="7"/>
  <c r="B16" i="7"/>
  <c r="A16" i="7"/>
  <c r="AG15" i="7"/>
  <c r="AF15" i="7" s="1"/>
  <c r="AF23" i="7" s="1"/>
  <c r="AE15" i="7"/>
  <c r="AB15" i="7"/>
  <c r="AA15" i="7"/>
  <c r="W15" i="7"/>
  <c r="V15" i="7"/>
  <c r="U15" i="7"/>
  <c r="T15" i="7"/>
  <c r="S15" i="7"/>
  <c r="R15" i="7"/>
  <c r="Q15" i="7"/>
  <c r="P15" i="7"/>
  <c r="O15" i="7"/>
  <c r="N15" i="7"/>
  <c r="M15" i="7"/>
  <c r="L15" i="7"/>
  <c r="K15" i="7"/>
  <c r="I15" i="7"/>
  <c r="H15" i="7"/>
  <c r="E15" i="7"/>
  <c r="D15" i="7"/>
  <c r="C15" i="7"/>
  <c r="B15" i="7"/>
  <c r="A15" i="7"/>
  <c r="AF14" i="7"/>
  <c r="AE14" i="7"/>
  <c r="AB14" i="7"/>
  <c r="AA14" i="7"/>
  <c r="W14" i="7"/>
  <c r="V14" i="7"/>
  <c r="U14" i="7"/>
  <c r="T14" i="7"/>
  <c r="S14" i="7"/>
  <c r="R14" i="7"/>
  <c r="Q14" i="7"/>
  <c r="P14" i="7"/>
  <c r="O14" i="7"/>
  <c r="N14" i="7"/>
  <c r="M14" i="7"/>
  <c r="L14" i="7"/>
  <c r="K14" i="7"/>
  <c r="I14" i="7"/>
  <c r="H14" i="7"/>
  <c r="E14" i="7"/>
  <c r="D14" i="7"/>
  <c r="C14" i="7"/>
  <c r="B14" i="7"/>
  <c r="A14" i="7"/>
  <c r="AE13" i="7"/>
  <c r="AB13" i="7"/>
  <c r="AA13" i="7"/>
  <c r="W13" i="7"/>
  <c r="V13" i="7"/>
  <c r="U13" i="7"/>
  <c r="T13" i="7"/>
  <c r="S13" i="7"/>
  <c r="R13" i="7"/>
  <c r="Q13" i="7"/>
  <c r="P13" i="7"/>
  <c r="O13" i="7"/>
  <c r="N13" i="7"/>
  <c r="M13" i="7"/>
  <c r="L13" i="7"/>
  <c r="K13" i="7"/>
  <c r="I13" i="7"/>
  <c r="H13" i="7"/>
  <c r="E13" i="7"/>
  <c r="D13" i="7"/>
  <c r="C13" i="7"/>
  <c r="B13" i="7"/>
  <c r="A13" i="7"/>
  <c r="AE12" i="7"/>
  <c r="AB12" i="7"/>
  <c r="AA12" i="7"/>
  <c r="W12" i="7"/>
  <c r="V12" i="7"/>
  <c r="U12" i="7"/>
  <c r="T12" i="7"/>
  <c r="S12" i="7"/>
  <c r="R12" i="7"/>
  <c r="Q12" i="7"/>
  <c r="P12" i="7"/>
  <c r="O12" i="7"/>
  <c r="N12" i="7"/>
  <c r="M12" i="7"/>
  <c r="L12" i="7"/>
  <c r="K12" i="7"/>
  <c r="I12" i="7"/>
  <c r="H12" i="7"/>
  <c r="E12" i="7"/>
  <c r="D12" i="7"/>
  <c r="C12" i="7"/>
  <c r="B12" i="7"/>
  <c r="A12" i="7"/>
  <c r="AE11" i="7"/>
  <c r="AB11" i="7"/>
  <c r="AA11" i="7"/>
  <c r="W11" i="7"/>
  <c r="V11" i="7"/>
  <c r="U11" i="7"/>
  <c r="T11" i="7"/>
  <c r="S11" i="7"/>
  <c r="R11" i="7"/>
  <c r="Q11" i="7"/>
  <c r="P11" i="7"/>
  <c r="O11" i="7"/>
  <c r="N11" i="7"/>
  <c r="M11" i="7"/>
  <c r="L11" i="7"/>
  <c r="K11" i="7"/>
  <c r="I11" i="7"/>
  <c r="H11" i="7"/>
  <c r="E11" i="7"/>
  <c r="D11" i="7"/>
  <c r="C11" i="7"/>
  <c r="B11" i="7"/>
  <c r="A11" i="7"/>
  <c r="AE10" i="7"/>
  <c r="AB10" i="7"/>
  <c r="AA10" i="7"/>
  <c r="W10" i="7"/>
  <c r="V10" i="7"/>
  <c r="U10" i="7"/>
  <c r="T10" i="7"/>
  <c r="S10" i="7"/>
  <c r="R10" i="7"/>
  <c r="Q10" i="7"/>
  <c r="P10" i="7"/>
  <c r="O10" i="7"/>
  <c r="N10" i="7"/>
  <c r="M10" i="7"/>
  <c r="L10" i="7"/>
  <c r="K10" i="7"/>
  <c r="I10" i="7"/>
  <c r="H10" i="7"/>
  <c r="E10" i="7"/>
  <c r="D10" i="7"/>
  <c r="C10" i="7"/>
  <c r="B10" i="7"/>
  <c r="A10" i="7"/>
  <c r="AG9" i="7"/>
  <c r="AF9" i="7"/>
  <c r="AE9" i="7"/>
  <c r="AB9" i="7"/>
  <c r="AA9" i="7"/>
  <c r="W9" i="7"/>
  <c r="V9" i="7"/>
  <c r="U9" i="7"/>
  <c r="T9" i="7"/>
  <c r="S9" i="7"/>
  <c r="R9" i="7"/>
  <c r="Q9" i="7"/>
  <c r="P9" i="7"/>
  <c r="O9" i="7"/>
  <c r="N9" i="7"/>
  <c r="M9" i="7"/>
  <c r="L9" i="7"/>
  <c r="K9" i="7"/>
  <c r="I9" i="7"/>
  <c r="H9" i="7"/>
  <c r="E9" i="7"/>
  <c r="D9" i="7"/>
  <c r="C9" i="7"/>
  <c r="B9" i="7"/>
  <c r="A9" i="7"/>
  <c r="AG8" i="7"/>
  <c r="AF8" i="7"/>
  <c r="AE8" i="7"/>
  <c r="AB8" i="7"/>
  <c r="AA8" i="7"/>
  <c r="W8" i="7"/>
  <c r="V8" i="7"/>
  <c r="U8" i="7"/>
  <c r="T8" i="7"/>
  <c r="S8" i="7"/>
  <c r="R8" i="7"/>
  <c r="Q8" i="7"/>
  <c r="P8" i="7"/>
  <c r="O8" i="7"/>
  <c r="N8" i="7"/>
  <c r="M8" i="7"/>
  <c r="L8" i="7"/>
  <c r="K8" i="7"/>
  <c r="I8" i="7"/>
  <c r="H8" i="7"/>
  <c r="E8" i="7"/>
  <c r="D8" i="7"/>
  <c r="C8" i="7"/>
  <c r="B8" i="7"/>
  <c r="A8" i="7"/>
  <c r="AG7" i="7"/>
  <c r="AF7" i="7"/>
  <c r="AF11" i="7" s="1"/>
  <c r="AE7" i="7"/>
  <c r="AB7" i="7"/>
  <c r="AA7" i="7"/>
  <c r="W7" i="7"/>
  <c r="V7" i="7"/>
  <c r="U7" i="7"/>
  <c r="T7" i="7"/>
  <c r="S7" i="7"/>
  <c r="R7" i="7"/>
  <c r="Q7" i="7"/>
  <c r="P7" i="7"/>
  <c r="O7" i="7"/>
  <c r="N7" i="7"/>
  <c r="M7" i="7"/>
  <c r="L7" i="7"/>
  <c r="K7" i="7"/>
  <c r="I7" i="7"/>
  <c r="H7" i="7"/>
  <c r="E7" i="7"/>
  <c r="D7" i="7"/>
  <c r="C7" i="7"/>
  <c r="B7" i="7"/>
  <c r="A7" i="7"/>
  <c r="AF6" i="7"/>
  <c r="AE6" i="7"/>
  <c r="AB6" i="7"/>
  <c r="AA6" i="7"/>
  <c r="W6" i="7"/>
  <c r="V6" i="7"/>
  <c r="U6" i="7"/>
  <c r="T6" i="7"/>
  <c r="S6" i="7"/>
  <c r="R6" i="7"/>
  <c r="Q6" i="7"/>
  <c r="P6" i="7"/>
  <c r="O6" i="7"/>
  <c r="N6" i="7"/>
  <c r="M6" i="7"/>
  <c r="L6" i="7"/>
  <c r="K6" i="7"/>
  <c r="I6" i="7"/>
  <c r="H6" i="7"/>
  <c r="E6" i="7"/>
  <c r="D6" i="7"/>
  <c r="C6" i="7"/>
  <c r="B6" i="7"/>
  <c r="A6" i="7"/>
  <c r="AG5" i="7"/>
  <c r="AF5" i="7" s="1"/>
  <c r="AF13" i="7" s="1"/>
  <c r="AE5" i="7"/>
  <c r="AB5" i="7"/>
  <c r="AA5" i="7"/>
  <c r="W5" i="7"/>
  <c r="V5" i="7"/>
  <c r="U5" i="7"/>
  <c r="T5" i="7"/>
  <c r="S5" i="7"/>
  <c r="R5" i="7"/>
  <c r="Q5" i="7"/>
  <c r="P5" i="7"/>
  <c r="O5" i="7"/>
  <c r="N5" i="7"/>
  <c r="M5" i="7"/>
  <c r="L5" i="7"/>
  <c r="K5" i="7"/>
  <c r="I5" i="7"/>
  <c r="H5" i="7"/>
  <c r="E5" i="7"/>
  <c r="D5" i="7"/>
  <c r="C5" i="7"/>
  <c r="B5" i="7"/>
  <c r="A5" i="7"/>
  <c r="AG4" i="7"/>
  <c r="AF4" i="7" s="1"/>
  <c r="AF12" i="7" s="1"/>
  <c r="AE4" i="7"/>
  <c r="AB4" i="7"/>
  <c r="AA4" i="7"/>
  <c r="W4" i="7"/>
  <c r="V4" i="7"/>
  <c r="U4" i="7"/>
  <c r="T4" i="7"/>
  <c r="S4" i="7"/>
  <c r="R4" i="7"/>
  <c r="Q4" i="7"/>
  <c r="P4" i="7"/>
  <c r="O4" i="7"/>
  <c r="N4" i="7"/>
  <c r="M4" i="7"/>
  <c r="L4" i="7"/>
  <c r="K4" i="7"/>
  <c r="I4" i="7"/>
  <c r="H4" i="7"/>
  <c r="E4" i="7"/>
  <c r="D4" i="7"/>
  <c r="C4" i="7"/>
  <c r="B4" i="7"/>
  <c r="A4" i="7"/>
  <c r="AG3" i="7"/>
  <c r="AF3" i="7"/>
  <c r="AE3" i="7"/>
  <c r="AB3" i="7"/>
  <c r="AA3" i="7"/>
  <c r="W3" i="7"/>
  <c r="V3" i="7"/>
  <c r="U3" i="7"/>
  <c r="T3" i="7"/>
  <c r="S3" i="7"/>
  <c r="R3" i="7"/>
  <c r="Q3" i="7"/>
  <c r="P3" i="7"/>
  <c r="O3" i="7"/>
  <c r="N3" i="7"/>
  <c r="M3" i="7"/>
  <c r="L3" i="7"/>
  <c r="K3" i="7"/>
  <c r="I3" i="7"/>
  <c r="H3" i="7"/>
  <c r="E3" i="7"/>
  <c r="D3" i="7"/>
  <c r="C3" i="7"/>
  <c r="B3" i="7"/>
  <c r="A3" i="7"/>
  <c r="AF2" i="7"/>
  <c r="AE2" i="7"/>
  <c r="AB2" i="7"/>
  <c r="AA2" i="7"/>
  <c r="W2" i="7"/>
  <c r="V2" i="7"/>
  <c r="U2" i="7"/>
  <c r="T2" i="7"/>
  <c r="S2" i="7"/>
  <c r="R2" i="7"/>
  <c r="Q2" i="7"/>
  <c r="P2" i="7"/>
  <c r="O2" i="7"/>
  <c r="N2" i="7"/>
  <c r="M2" i="7"/>
  <c r="L2" i="7"/>
  <c r="K2" i="7"/>
  <c r="I2" i="7"/>
  <c r="H2" i="7"/>
  <c r="E2" i="7"/>
  <c r="D2" i="7"/>
  <c r="C2" i="7"/>
  <c r="B2" i="7"/>
  <c r="A2" i="7"/>
  <c r="AG16" i="8"/>
  <c r="AF16" i="8"/>
  <c r="AE16" i="8"/>
  <c r="AD16" i="8"/>
  <c r="AC16" i="8"/>
  <c r="AB16" i="8"/>
  <c r="W16" i="8"/>
  <c r="V16" i="8"/>
  <c r="U16" i="8"/>
  <c r="T16" i="8"/>
  <c r="S16" i="8"/>
  <c r="R16" i="8"/>
  <c r="Q16" i="8"/>
  <c r="P16" i="8"/>
  <c r="O16" i="8"/>
  <c r="N16" i="8"/>
  <c r="M16" i="8"/>
  <c r="L16" i="8"/>
  <c r="K16" i="8"/>
  <c r="I16" i="8"/>
  <c r="H16" i="8"/>
  <c r="E16" i="8"/>
  <c r="D16" i="8"/>
  <c r="C16" i="8"/>
  <c r="B16" i="8"/>
  <c r="A16" i="8"/>
  <c r="AG15" i="8"/>
  <c r="AF15" i="8"/>
  <c r="AE15" i="8"/>
  <c r="AD15" i="8"/>
  <c r="AC15" i="8"/>
  <c r="AB15" i="8"/>
  <c r="W15" i="8"/>
  <c r="V15" i="8"/>
  <c r="U15" i="8"/>
  <c r="T15" i="8"/>
  <c r="S15" i="8"/>
  <c r="R15" i="8"/>
  <c r="Q15" i="8"/>
  <c r="P15" i="8"/>
  <c r="O15" i="8"/>
  <c r="N15" i="8"/>
  <c r="M15" i="8"/>
  <c r="L15" i="8"/>
  <c r="K15" i="8"/>
  <c r="I15" i="8"/>
  <c r="H15" i="8"/>
  <c r="E15" i="8"/>
  <c r="D15" i="8"/>
  <c r="C15" i="8"/>
  <c r="B15" i="8"/>
  <c r="A15" i="8"/>
  <c r="AG14" i="8"/>
  <c r="AF14" i="8"/>
  <c r="AE14" i="8"/>
  <c r="AD14" i="8"/>
  <c r="AC14" i="8"/>
  <c r="AB14" i="8"/>
  <c r="W14" i="8"/>
  <c r="V14" i="8"/>
  <c r="U14" i="8"/>
  <c r="T14" i="8"/>
  <c r="S14" i="8"/>
  <c r="R14" i="8"/>
  <c r="Q14" i="8"/>
  <c r="P14" i="8"/>
  <c r="O14" i="8"/>
  <c r="N14" i="8"/>
  <c r="M14" i="8"/>
  <c r="L14" i="8"/>
  <c r="K14" i="8"/>
  <c r="I14" i="8"/>
  <c r="H14" i="8"/>
  <c r="E14" i="8"/>
  <c r="D14" i="8"/>
  <c r="C14" i="8"/>
  <c r="B14" i="8"/>
  <c r="A14" i="8"/>
  <c r="AG13" i="8"/>
  <c r="AF13" i="8"/>
  <c r="AE13" i="8"/>
  <c r="AD13" i="8"/>
  <c r="AC13" i="8"/>
  <c r="AB13" i="8"/>
  <c r="W13" i="8"/>
  <c r="V13" i="8"/>
  <c r="U13" i="8"/>
  <c r="T13" i="8"/>
  <c r="S13" i="8"/>
  <c r="R13" i="8"/>
  <c r="Q13" i="8"/>
  <c r="P13" i="8"/>
  <c r="O13" i="8"/>
  <c r="N13" i="8"/>
  <c r="M13" i="8"/>
  <c r="L13" i="8"/>
  <c r="K13" i="8"/>
  <c r="I13" i="8"/>
  <c r="H13" i="8"/>
  <c r="E13" i="8"/>
  <c r="D13" i="8"/>
  <c r="C13" i="8"/>
  <c r="B13" i="8"/>
  <c r="A13" i="8"/>
  <c r="AG12" i="8"/>
  <c r="AF12" i="8"/>
  <c r="AE12" i="8"/>
  <c r="AD12" i="8"/>
  <c r="AC12" i="8"/>
  <c r="AB12" i="8"/>
  <c r="W12" i="8"/>
  <c r="V12" i="8"/>
  <c r="U12" i="8"/>
  <c r="T12" i="8"/>
  <c r="S12" i="8"/>
  <c r="R12" i="8"/>
  <c r="Q12" i="8"/>
  <c r="P12" i="8"/>
  <c r="O12" i="8"/>
  <c r="N12" i="8"/>
  <c r="M12" i="8"/>
  <c r="L12" i="8"/>
  <c r="K12" i="8"/>
  <c r="I12" i="8"/>
  <c r="H12" i="8"/>
  <c r="E12" i="8"/>
  <c r="D12" i="8"/>
  <c r="C12" i="8"/>
  <c r="B12" i="8"/>
  <c r="A12" i="8"/>
  <c r="AG11" i="8"/>
  <c r="AF11" i="8"/>
  <c r="AE11" i="8"/>
  <c r="AD11" i="8"/>
  <c r="AC11" i="8"/>
  <c r="AB11" i="8"/>
  <c r="W11" i="8"/>
  <c r="V11" i="8"/>
  <c r="U11" i="8"/>
  <c r="T11" i="8"/>
  <c r="S11" i="8"/>
  <c r="R11" i="8"/>
  <c r="Q11" i="8"/>
  <c r="P11" i="8"/>
  <c r="O11" i="8"/>
  <c r="N11" i="8"/>
  <c r="M11" i="8"/>
  <c r="L11" i="8"/>
  <c r="K11" i="8"/>
  <c r="I11" i="8"/>
  <c r="H11" i="8"/>
  <c r="E11" i="8"/>
  <c r="D11" i="8"/>
  <c r="C11" i="8"/>
  <c r="B11" i="8"/>
  <c r="A11" i="8"/>
  <c r="AG10" i="8"/>
  <c r="AF10" i="8"/>
  <c r="AE10" i="8"/>
  <c r="AD10" i="8"/>
  <c r="AC10" i="8"/>
  <c r="AB10" i="8"/>
  <c r="W10" i="8"/>
  <c r="V10" i="8"/>
  <c r="U10" i="8"/>
  <c r="T10" i="8"/>
  <c r="S10" i="8"/>
  <c r="R10" i="8"/>
  <c r="Q10" i="8"/>
  <c r="P10" i="8"/>
  <c r="O10" i="8"/>
  <c r="N10" i="8"/>
  <c r="M10" i="8"/>
  <c r="L10" i="8"/>
  <c r="K10" i="8"/>
  <c r="I10" i="8"/>
  <c r="H10" i="8"/>
  <c r="E10" i="8"/>
  <c r="D10" i="8"/>
  <c r="C10" i="8"/>
  <c r="B10" i="8"/>
  <c r="A10" i="8"/>
  <c r="AG9" i="8"/>
  <c r="AF9" i="8"/>
  <c r="AE9" i="8"/>
  <c r="AD9" i="8"/>
  <c r="AC9" i="8"/>
  <c r="AB9" i="8"/>
  <c r="W9" i="8"/>
  <c r="V9" i="8"/>
  <c r="U9" i="8"/>
  <c r="T9" i="8"/>
  <c r="S9" i="8"/>
  <c r="R9" i="8"/>
  <c r="Q9" i="8"/>
  <c r="P9" i="8"/>
  <c r="O9" i="8"/>
  <c r="N9" i="8"/>
  <c r="M9" i="8"/>
  <c r="L9" i="8"/>
  <c r="K9" i="8"/>
  <c r="I9" i="8"/>
  <c r="H9" i="8"/>
  <c r="E9" i="8"/>
  <c r="D9" i="8"/>
  <c r="C9" i="8"/>
  <c r="B9" i="8"/>
  <c r="A9" i="8"/>
  <c r="AG8" i="8"/>
  <c r="AF8" i="8"/>
  <c r="AE8" i="8"/>
  <c r="AD8" i="8"/>
  <c r="AC8" i="8"/>
  <c r="AB8" i="8"/>
  <c r="W8" i="8"/>
  <c r="V8" i="8"/>
  <c r="U8" i="8"/>
  <c r="T8" i="8"/>
  <c r="S8" i="8"/>
  <c r="R8" i="8"/>
  <c r="Q8" i="8"/>
  <c r="P8" i="8"/>
  <c r="O8" i="8"/>
  <c r="N8" i="8"/>
  <c r="M8" i="8"/>
  <c r="L8" i="8"/>
  <c r="K8" i="8"/>
  <c r="I8" i="8"/>
  <c r="H8" i="8"/>
  <c r="E8" i="8"/>
  <c r="D8" i="8"/>
  <c r="C8" i="8"/>
  <c r="B8" i="8"/>
  <c r="A8" i="8"/>
  <c r="AG7" i="8"/>
  <c r="AF7" i="8"/>
  <c r="AE7" i="8"/>
  <c r="AD7" i="8"/>
  <c r="AC7" i="8"/>
  <c r="AB7" i="8"/>
  <c r="W7" i="8"/>
  <c r="V7" i="8"/>
  <c r="U7" i="8"/>
  <c r="T7" i="8"/>
  <c r="S7" i="8"/>
  <c r="R7" i="8"/>
  <c r="Q7" i="8"/>
  <c r="P7" i="8"/>
  <c r="O7" i="8"/>
  <c r="N7" i="8"/>
  <c r="M7" i="8"/>
  <c r="L7" i="8"/>
  <c r="K7" i="8"/>
  <c r="I7" i="8"/>
  <c r="H7" i="8"/>
  <c r="E7" i="8"/>
  <c r="D7" i="8"/>
  <c r="C7" i="8"/>
  <c r="B7" i="8"/>
  <c r="A7" i="8"/>
  <c r="AG6" i="8"/>
  <c r="AF6" i="8"/>
  <c r="AE6" i="8"/>
  <c r="AD6" i="8"/>
  <c r="AC6" i="8"/>
  <c r="AB6" i="8"/>
  <c r="W6" i="8"/>
  <c r="V6" i="8"/>
  <c r="U6" i="8"/>
  <c r="T6" i="8"/>
  <c r="S6" i="8"/>
  <c r="R6" i="8"/>
  <c r="Q6" i="8"/>
  <c r="P6" i="8"/>
  <c r="O6" i="8"/>
  <c r="N6" i="8"/>
  <c r="M6" i="8"/>
  <c r="L6" i="8"/>
  <c r="K6" i="8"/>
  <c r="I6" i="8"/>
  <c r="H6" i="8"/>
  <c r="E6" i="8"/>
  <c r="D6" i="8"/>
  <c r="C6" i="8"/>
  <c r="B6" i="8"/>
  <c r="A6" i="8"/>
  <c r="AG5" i="8"/>
  <c r="AF5" i="8"/>
  <c r="AE5" i="8"/>
  <c r="AD5" i="8"/>
  <c r="AC5" i="8"/>
  <c r="AB5" i="8"/>
  <c r="W5" i="8"/>
  <c r="V5" i="8"/>
  <c r="U5" i="8"/>
  <c r="T5" i="8"/>
  <c r="S5" i="8"/>
  <c r="R5" i="8"/>
  <c r="Q5" i="8"/>
  <c r="P5" i="8"/>
  <c r="O5" i="8"/>
  <c r="N5" i="8"/>
  <c r="M5" i="8"/>
  <c r="L5" i="8"/>
  <c r="K5" i="8"/>
  <c r="I5" i="8"/>
  <c r="H5" i="8"/>
  <c r="E5" i="8"/>
  <c r="D5" i="8"/>
  <c r="C5" i="8"/>
  <c r="B5" i="8"/>
  <c r="A5" i="8"/>
  <c r="AG4" i="8"/>
  <c r="AF4" i="8"/>
  <c r="AE4" i="8"/>
  <c r="AD4" i="8"/>
  <c r="AC4" i="8"/>
  <c r="AB4" i="8"/>
  <c r="W4" i="8"/>
  <c r="V4" i="8"/>
  <c r="U4" i="8"/>
  <c r="T4" i="8"/>
  <c r="S4" i="8"/>
  <c r="R4" i="8"/>
  <c r="Q4" i="8"/>
  <c r="P4" i="8"/>
  <c r="O4" i="8"/>
  <c r="N4" i="8"/>
  <c r="M4" i="8"/>
  <c r="L4" i="8"/>
  <c r="K4" i="8"/>
  <c r="I4" i="8"/>
  <c r="H4" i="8"/>
  <c r="E4" i="8"/>
  <c r="D4" i="8"/>
  <c r="C4" i="8"/>
  <c r="B4" i="8"/>
  <c r="A4" i="8"/>
  <c r="AG3" i="8"/>
  <c r="AF3" i="8"/>
  <c r="AE3" i="8"/>
  <c r="AD3" i="8"/>
  <c r="AC3" i="8"/>
  <c r="AB3" i="8"/>
  <c r="W3" i="8"/>
  <c r="V3" i="8"/>
  <c r="U3" i="8"/>
  <c r="T3" i="8"/>
  <c r="S3" i="8"/>
  <c r="R3" i="8"/>
  <c r="Q3" i="8"/>
  <c r="P3" i="8"/>
  <c r="O3" i="8"/>
  <c r="N3" i="8"/>
  <c r="M3" i="8"/>
  <c r="L3" i="8"/>
  <c r="K3" i="8"/>
  <c r="I3" i="8"/>
  <c r="H3" i="8"/>
  <c r="E3" i="8"/>
  <c r="D3" i="8"/>
  <c r="C3" i="8"/>
  <c r="B3" i="8"/>
  <c r="A3" i="8"/>
  <c r="AG2" i="8"/>
  <c r="AF2" i="8"/>
  <c r="AE2" i="8"/>
  <c r="AD2" i="8"/>
  <c r="AC2" i="8"/>
  <c r="AB2" i="8"/>
  <c r="W2" i="8"/>
  <c r="V2" i="8"/>
  <c r="U2" i="8"/>
  <c r="T2" i="8"/>
  <c r="S2" i="8"/>
  <c r="R2" i="8"/>
  <c r="Q2" i="8"/>
  <c r="P2" i="8"/>
  <c r="O2" i="8"/>
  <c r="N2" i="8"/>
  <c r="M2" i="8"/>
  <c r="L2" i="8"/>
  <c r="K2" i="8"/>
  <c r="I2" i="8"/>
  <c r="H2" i="8"/>
  <c r="E2" i="8"/>
  <c r="D2" i="8"/>
  <c r="C2" i="8"/>
  <c r="B2" i="8"/>
  <c r="A2" i="8"/>
  <c r="BG2" i="9"/>
  <c r="BF2" i="9"/>
  <c r="BE2" i="9"/>
  <c r="BD2" i="9"/>
  <c r="BC2" i="9"/>
  <c r="BB2" i="9"/>
  <c r="BA2" i="9"/>
  <c r="AZ2" i="9"/>
  <c r="AY2" i="9"/>
  <c r="AX2" i="9"/>
  <c r="AW2" i="9"/>
  <c r="AV2" i="9"/>
  <c r="AU2" i="9"/>
  <c r="AT2" i="9"/>
  <c r="AS2" i="9"/>
  <c r="AR2" i="9"/>
  <c r="AQ2" i="9"/>
  <c r="AP2" i="9"/>
  <c r="AO2" i="9"/>
  <c r="AN2" i="9"/>
  <c r="AM2" i="9"/>
  <c r="AL2" i="9"/>
  <c r="AK2" i="9"/>
  <c r="AJ2" i="9"/>
  <c r="AI2" i="9"/>
  <c r="AH2" i="9"/>
  <c r="AG2" i="9"/>
  <c r="AF2" i="9"/>
  <c r="AE2" i="9"/>
  <c r="AD2" i="9"/>
  <c r="AC2" i="9"/>
  <c r="AB2" i="9"/>
  <c r="AA2" i="9"/>
  <c r="W2" i="9"/>
  <c r="V2" i="9"/>
  <c r="U2" i="9"/>
  <c r="T2" i="9"/>
  <c r="S2" i="9"/>
  <c r="R2" i="9"/>
  <c r="Q2" i="9"/>
  <c r="P2" i="9"/>
  <c r="O2" i="9"/>
  <c r="N2" i="9"/>
  <c r="M2" i="9"/>
  <c r="L2" i="9"/>
  <c r="K2" i="9"/>
  <c r="I2" i="9"/>
  <c r="H2" i="9"/>
  <c r="E2" i="9"/>
  <c r="D2" i="9"/>
  <c r="C2" i="9"/>
  <c r="B2" i="9"/>
  <c r="A2" i="9"/>
  <c r="AN26" i="10"/>
  <c r="AM26" i="10"/>
  <c r="AL26" i="10"/>
  <c r="AK26" i="10"/>
  <c r="AJ26" i="10"/>
  <c r="AI26" i="10"/>
  <c r="AH26" i="10"/>
  <c r="AG26" i="10"/>
  <c r="AF26" i="10"/>
  <c r="AE26" i="10"/>
  <c r="AD26" i="10"/>
  <c r="AC26" i="10"/>
  <c r="AB26" i="10"/>
  <c r="W26" i="10"/>
  <c r="V26" i="10"/>
  <c r="U26" i="10"/>
  <c r="T26" i="10"/>
  <c r="S26" i="10"/>
  <c r="R26" i="10"/>
  <c r="Q26" i="10"/>
  <c r="P26" i="10"/>
  <c r="O26" i="10"/>
  <c r="N26" i="10"/>
  <c r="M26" i="10"/>
  <c r="L26" i="10"/>
  <c r="K26" i="10"/>
  <c r="I26" i="10"/>
  <c r="H26" i="10"/>
  <c r="E26" i="10"/>
  <c r="D26" i="10"/>
  <c r="C26" i="10"/>
  <c r="B26" i="10"/>
  <c r="A26" i="10"/>
  <c r="AN25" i="10"/>
  <c r="AM25" i="10"/>
  <c r="AL25" i="10"/>
  <c r="AK25" i="10"/>
  <c r="AJ25" i="10"/>
  <c r="AI25" i="10"/>
  <c r="AH25" i="10"/>
  <c r="AG25" i="10"/>
  <c r="AF25" i="10"/>
  <c r="AE25" i="10"/>
  <c r="AD25" i="10"/>
  <c r="AC25" i="10"/>
  <c r="AB25" i="10"/>
  <c r="W25" i="10"/>
  <c r="V25" i="10"/>
  <c r="U25" i="10"/>
  <c r="T25" i="10"/>
  <c r="S25" i="10"/>
  <c r="R25" i="10"/>
  <c r="Q25" i="10"/>
  <c r="P25" i="10"/>
  <c r="O25" i="10"/>
  <c r="N25" i="10"/>
  <c r="M25" i="10"/>
  <c r="L25" i="10"/>
  <c r="K25" i="10"/>
  <c r="I25" i="10"/>
  <c r="H25" i="10"/>
  <c r="E25" i="10"/>
  <c r="D25" i="10"/>
  <c r="C25" i="10"/>
  <c r="B25" i="10"/>
  <c r="A25" i="10"/>
  <c r="AN24" i="10"/>
  <c r="AM24" i="10"/>
  <c r="AL24" i="10"/>
  <c r="AK24" i="10"/>
  <c r="AJ24" i="10"/>
  <c r="AI24" i="10"/>
  <c r="AH24" i="10"/>
  <c r="AG24" i="10"/>
  <c r="AF24" i="10"/>
  <c r="AE24" i="10"/>
  <c r="AD24" i="10"/>
  <c r="AC24" i="10"/>
  <c r="AB24" i="10"/>
  <c r="W24" i="10"/>
  <c r="V24" i="10"/>
  <c r="U24" i="10"/>
  <c r="T24" i="10"/>
  <c r="S24" i="10"/>
  <c r="R24" i="10"/>
  <c r="Q24" i="10"/>
  <c r="P24" i="10"/>
  <c r="O24" i="10"/>
  <c r="N24" i="10"/>
  <c r="M24" i="10"/>
  <c r="L24" i="10"/>
  <c r="K24" i="10"/>
  <c r="I24" i="10"/>
  <c r="H24" i="10"/>
  <c r="E24" i="10"/>
  <c r="D24" i="10"/>
  <c r="C24" i="10"/>
  <c r="B24" i="10"/>
  <c r="A24" i="10"/>
  <c r="AN23" i="10"/>
  <c r="AM23" i="10"/>
  <c r="AL23" i="10"/>
  <c r="AK23" i="10"/>
  <c r="AJ23" i="10"/>
  <c r="AI23" i="10"/>
  <c r="AH23" i="10"/>
  <c r="AG23" i="10"/>
  <c r="AF23" i="10"/>
  <c r="AE23" i="10"/>
  <c r="AD23" i="10"/>
  <c r="AC23" i="10"/>
  <c r="AB23" i="10"/>
  <c r="W23" i="10"/>
  <c r="V23" i="10"/>
  <c r="U23" i="10"/>
  <c r="T23" i="10"/>
  <c r="S23" i="10"/>
  <c r="R23" i="10"/>
  <c r="Q23" i="10"/>
  <c r="P23" i="10"/>
  <c r="O23" i="10"/>
  <c r="N23" i="10"/>
  <c r="M23" i="10"/>
  <c r="L23" i="10"/>
  <c r="K23" i="10"/>
  <c r="I23" i="10"/>
  <c r="H23" i="10"/>
  <c r="E23" i="10"/>
  <c r="D23" i="10"/>
  <c r="C23" i="10"/>
  <c r="B23" i="10"/>
  <c r="A23" i="10"/>
  <c r="AN22" i="10"/>
  <c r="AM22" i="10"/>
  <c r="AL22" i="10"/>
  <c r="AK22" i="10"/>
  <c r="AJ22" i="10"/>
  <c r="AI22" i="10"/>
  <c r="AH22" i="10"/>
  <c r="AG22" i="10"/>
  <c r="AF22" i="10"/>
  <c r="AE22" i="10"/>
  <c r="AD22" i="10"/>
  <c r="AC22" i="10"/>
  <c r="AB22" i="10"/>
  <c r="W22" i="10"/>
  <c r="V22" i="10"/>
  <c r="U22" i="10"/>
  <c r="T22" i="10"/>
  <c r="S22" i="10"/>
  <c r="R22" i="10"/>
  <c r="Q22" i="10"/>
  <c r="P22" i="10"/>
  <c r="O22" i="10"/>
  <c r="N22" i="10"/>
  <c r="M22" i="10"/>
  <c r="L22" i="10"/>
  <c r="K22" i="10"/>
  <c r="I22" i="10"/>
  <c r="H22" i="10"/>
  <c r="E22" i="10"/>
  <c r="D22" i="10"/>
  <c r="C22" i="10"/>
  <c r="B22" i="10"/>
  <c r="A22" i="10"/>
  <c r="AN21" i="10"/>
  <c r="AM21" i="10"/>
  <c r="AL21" i="10"/>
  <c r="AK21" i="10"/>
  <c r="AJ21" i="10"/>
  <c r="AI21" i="10"/>
  <c r="AH21" i="10"/>
  <c r="AG21" i="10"/>
  <c r="AF21" i="10"/>
  <c r="AE21" i="10"/>
  <c r="AD21" i="10"/>
  <c r="AC21" i="10"/>
  <c r="AB21" i="10"/>
  <c r="W21" i="10"/>
  <c r="V21" i="10"/>
  <c r="U21" i="10"/>
  <c r="T21" i="10"/>
  <c r="S21" i="10"/>
  <c r="R21" i="10"/>
  <c r="Q21" i="10"/>
  <c r="P21" i="10"/>
  <c r="O21" i="10"/>
  <c r="N21" i="10"/>
  <c r="M21" i="10"/>
  <c r="L21" i="10"/>
  <c r="K21" i="10"/>
  <c r="I21" i="10"/>
  <c r="H21" i="10"/>
  <c r="E21" i="10"/>
  <c r="D21" i="10"/>
  <c r="C21" i="10"/>
  <c r="B21" i="10"/>
  <c r="A21" i="10"/>
  <c r="AN20" i="10"/>
  <c r="AM20" i="10"/>
  <c r="AL20" i="10"/>
  <c r="AK20" i="10"/>
  <c r="AJ20" i="10"/>
  <c r="AI20" i="10"/>
  <c r="AH20" i="10"/>
  <c r="AG20" i="10"/>
  <c r="AF20" i="10"/>
  <c r="AE20" i="10"/>
  <c r="AD20" i="10"/>
  <c r="AC20" i="10"/>
  <c r="AB20" i="10"/>
  <c r="W20" i="10"/>
  <c r="V20" i="10"/>
  <c r="U20" i="10"/>
  <c r="T20" i="10"/>
  <c r="S20" i="10"/>
  <c r="R20" i="10"/>
  <c r="Q20" i="10"/>
  <c r="P20" i="10"/>
  <c r="O20" i="10"/>
  <c r="N20" i="10"/>
  <c r="M20" i="10"/>
  <c r="L20" i="10"/>
  <c r="K20" i="10"/>
  <c r="I20" i="10"/>
  <c r="H20" i="10"/>
  <c r="E20" i="10"/>
  <c r="D20" i="10"/>
  <c r="C20" i="10"/>
  <c r="B20" i="10"/>
  <c r="A20" i="10"/>
  <c r="AN19" i="10"/>
  <c r="AM19" i="10"/>
  <c r="AL19" i="10"/>
  <c r="AK19" i="10"/>
  <c r="AJ19" i="10"/>
  <c r="AI19" i="10"/>
  <c r="AH19" i="10"/>
  <c r="AG19" i="10"/>
  <c r="AF19" i="10"/>
  <c r="AE19" i="10"/>
  <c r="AD19" i="10"/>
  <c r="AC19" i="10"/>
  <c r="AB19" i="10"/>
  <c r="W19" i="10"/>
  <c r="V19" i="10"/>
  <c r="U19" i="10"/>
  <c r="T19" i="10"/>
  <c r="S19" i="10"/>
  <c r="R19" i="10"/>
  <c r="Q19" i="10"/>
  <c r="P19" i="10"/>
  <c r="O19" i="10"/>
  <c r="N19" i="10"/>
  <c r="M19" i="10"/>
  <c r="L19" i="10"/>
  <c r="K19" i="10"/>
  <c r="I19" i="10"/>
  <c r="H19" i="10"/>
  <c r="E19" i="10"/>
  <c r="D19" i="10"/>
  <c r="C19" i="10"/>
  <c r="B19" i="10"/>
  <c r="A19" i="10"/>
  <c r="AN18" i="10"/>
  <c r="AM18" i="10"/>
  <c r="AL18" i="10"/>
  <c r="AK18" i="10"/>
  <c r="AJ18" i="10"/>
  <c r="AI18" i="10"/>
  <c r="AH18" i="10"/>
  <c r="AG18" i="10"/>
  <c r="AF18" i="10"/>
  <c r="AE18" i="10"/>
  <c r="AD18" i="10"/>
  <c r="AC18" i="10"/>
  <c r="AB18" i="10"/>
  <c r="W18" i="10"/>
  <c r="V18" i="10"/>
  <c r="U18" i="10"/>
  <c r="T18" i="10"/>
  <c r="S18" i="10"/>
  <c r="R18" i="10"/>
  <c r="Q18" i="10"/>
  <c r="P18" i="10"/>
  <c r="O18" i="10"/>
  <c r="N18" i="10"/>
  <c r="M18" i="10"/>
  <c r="L18" i="10"/>
  <c r="K18" i="10"/>
  <c r="I18" i="10"/>
  <c r="H18" i="10"/>
  <c r="E18" i="10"/>
  <c r="D18" i="10"/>
  <c r="C18" i="10"/>
  <c r="B18" i="10"/>
  <c r="A18" i="10"/>
  <c r="AN17" i="10"/>
  <c r="AM17" i="10"/>
  <c r="AL17" i="10"/>
  <c r="AK17" i="10"/>
  <c r="AJ17" i="10"/>
  <c r="AI17" i="10"/>
  <c r="AH17" i="10"/>
  <c r="AG17" i="10"/>
  <c r="AF17" i="10"/>
  <c r="AE17" i="10"/>
  <c r="AD17" i="10"/>
  <c r="AC17" i="10"/>
  <c r="AB17" i="10"/>
  <c r="W17" i="10"/>
  <c r="V17" i="10"/>
  <c r="U17" i="10"/>
  <c r="T17" i="10"/>
  <c r="S17" i="10"/>
  <c r="R17" i="10"/>
  <c r="Q17" i="10"/>
  <c r="P17" i="10"/>
  <c r="O17" i="10"/>
  <c r="N17" i="10"/>
  <c r="M17" i="10"/>
  <c r="L17" i="10"/>
  <c r="K17" i="10"/>
  <c r="I17" i="10"/>
  <c r="H17" i="10"/>
  <c r="E17" i="10"/>
  <c r="D17" i="10"/>
  <c r="C17" i="10"/>
  <c r="B17" i="10"/>
  <c r="A17" i="10"/>
  <c r="AN16" i="10"/>
  <c r="AM16" i="10"/>
  <c r="AL16" i="10"/>
  <c r="AK16" i="10"/>
  <c r="AJ16" i="10"/>
  <c r="AI16" i="10"/>
  <c r="AH16" i="10"/>
  <c r="AG16" i="10"/>
  <c r="AF16" i="10"/>
  <c r="AE16" i="10"/>
  <c r="AD16" i="10"/>
  <c r="AC16" i="10"/>
  <c r="AB16" i="10"/>
  <c r="W16" i="10"/>
  <c r="V16" i="10"/>
  <c r="U16" i="10"/>
  <c r="T16" i="10"/>
  <c r="S16" i="10"/>
  <c r="R16" i="10"/>
  <c r="Q16" i="10"/>
  <c r="P16" i="10"/>
  <c r="O16" i="10"/>
  <c r="N16" i="10"/>
  <c r="M16" i="10"/>
  <c r="L16" i="10"/>
  <c r="K16" i="10"/>
  <c r="I16" i="10"/>
  <c r="H16" i="10"/>
  <c r="E16" i="10"/>
  <c r="D16" i="10"/>
  <c r="C16" i="10"/>
  <c r="B16" i="10"/>
  <c r="A16" i="10"/>
  <c r="AN15" i="10"/>
  <c r="AM15" i="10"/>
  <c r="AL15" i="10"/>
  <c r="AK15" i="10"/>
  <c r="AJ15" i="10"/>
  <c r="AI15" i="10"/>
  <c r="AH15" i="10"/>
  <c r="AG15" i="10"/>
  <c r="AF15" i="10"/>
  <c r="AE15" i="10"/>
  <c r="AD15" i="10"/>
  <c r="AC15" i="10"/>
  <c r="AB15" i="10"/>
  <c r="W15" i="10"/>
  <c r="V15" i="10"/>
  <c r="U15" i="10"/>
  <c r="T15" i="10"/>
  <c r="S15" i="10"/>
  <c r="R15" i="10"/>
  <c r="Q15" i="10"/>
  <c r="P15" i="10"/>
  <c r="O15" i="10"/>
  <c r="N15" i="10"/>
  <c r="M15" i="10"/>
  <c r="L15" i="10"/>
  <c r="K15" i="10"/>
  <c r="I15" i="10"/>
  <c r="H15" i="10"/>
  <c r="E15" i="10"/>
  <c r="D15" i="10"/>
  <c r="C15" i="10"/>
  <c r="B15" i="10"/>
  <c r="A15" i="10"/>
  <c r="AN14" i="10"/>
  <c r="AM14" i="10"/>
  <c r="AL14" i="10"/>
  <c r="AK14" i="10"/>
  <c r="AJ14" i="10"/>
  <c r="AI14" i="10"/>
  <c r="AH14" i="10"/>
  <c r="AG14" i="10"/>
  <c r="AF14" i="10"/>
  <c r="AE14" i="10"/>
  <c r="AD14" i="10"/>
  <c r="AC14" i="10"/>
  <c r="AB14" i="10"/>
  <c r="W14" i="10"/>
  <c r="V14" i="10"/>
  <c r="U14" i="10"/>
  <c r="T14" i="10"/>
  <c r="S14" i="10"/>
  <c r="R14" i="10"/>
  <c r="Q14" i="10"/>
  <c r="P14" i="10"/>
  <c r="O14" i="10"/>
  <c r="N14" i="10"/>
  <c r="M14" i="10"/>
  <c r="L14" i="10"/>
  <c r="K14" i="10"/>
  <c r="I14" i="10"/>
  <c r="H14" i="10"/>
  <c r="E14" i="10"/>
  <c r="D14" i="10"/>
  <c r="C14" i="10"/>
  <c r="B14" i="10"/>
  <c r="A14" i="10"/>
  <c r="AN13" i="10"/>
  <c r="AM13" i="10"/>
  <c r="AL13" i="10"/>
  <c r="AK13" i="10"/>
  <c r="AJ13" i="10"/>
  <c r="AI13" i="10"/>
  <c r="AH13" i="10"/>
  <c r="AG13" i="10"/>
  <c r="AF13" i="10"/>
  <c r="AE13" i="10"/>
  <c r="AD13" i="10"/>
  <c r="AC13" i="10"/>
  <c r="AB13" i="10"/>
  <c r="W13" i="10"/>
  <c r="V13" i="10"/>
  <c r="U13" i="10"/>
  <c r="T13" i="10"/>
  <c r="S13" i="10"/>
  <c r="R13" i="10"/>
  <c r="Q13" i="10"/>
  <c r="P13" i="10"/>
  <c r="O13" i="10"/>
  <c r="N13" i="10"/>
  <c r="M13" i="10"/>
  <c r="L13" i="10"/>
  <c r="K13" i="10"/>
  <c r="I13" i="10"/>
  <c r="H13" i="10"/>
  <c r="E13" i="10"/>
  <c r="D13" i="10"/>
  <c r="C13" i="10"/>
  <c r="B13" i="10"/>
  <c r="A13" i="10"/>
  <c r="AN12" i="10"/>
  <c r="AM12" i="10"/>
  <c r="AL12" i="10"/>
  <c r="AK12" i="10"/>
  <c r="AJ12" i="10"/>
  <c r="AI12" i="10"/>
  <c r="AH12" i="10"/>
  <c r="AG12" i="10"/>
  <c r="AF12" i="10"/>
  <c r="AE12" i="10"/>
  <c r="AD12" i="10"/>
  <c r="AC12" i="10"/>
  <c r="AB12" i="10"/>
  <c r="W12" i="10"/>
  <c r="V12" i="10"/>
  <c r="U12" i="10"/>
  <c r="T12" i="10"/>
  <c r="S12" i="10"/>
  <c r="R12" i="10"/>
  <c r="Q12" i="10"/>
  <c r="P12" i="10"/>
  <c r="O12" i="10"/>
  <c r="N12" i="10"/>
  <c r="M12" i="10"/>
  <c r="L12" i="10"/>
  <c r="K12" i="10"/>
  <c r="I12" i="10"/>
  <c r="H12" i="10"/>
  <c r="E12" i="10"/>
  <c r="D12" i="10"/>
  <c r="C12" i="10"/>
  <c r="B12" i="10"/>
  <c r="A12" i="10"/>
  <c r="AN11" i="10"/>
  <c r="AM11" i="10"/>
  <c r="AL11" i="10"/>
  <c r="AK11" i="10"/>
  <c r="AJ11" i="10"/>
  <c r="AI11" i="10"/>
  <c r="AH11" i="10"/>
  <c r="AG11" i="10"/>
  <c r="AF11" i="10"/>
  <c r="AE11" i="10"/>
  <c r="AD11" i="10"/>
  <c r="AC11" i="10"/>
  <c r="AB11" i="10"/>
  <c r="W11" i="10"/>
  <c r="V11" i="10"/>
  <c r="U11" i="10"/>
  <c r="T11" i="10"/>
  <c r="S11" i="10"/>
  <c r="R11" i="10"/>
  <c r="Q11" i="10"/>
  <c r="P11" i="10"/>
  <c r="O11" i="10"/>
  <c r="N11" i="10"/>
  <c r="M11" i="10"/>
  <c r="L11" i="10"/>
  <c r="K11" i="10"/>
  <c r="I11" i="10"/>
  <c r="H11" i="10"/>
  <c r="E11" i="10"/>
  <c r="D11" i="10"/>
  <c r="C11" i="10"/>
  <c r="B11" i="10"/>
  <c r="A11" i="10"/>
  <c r="AN10" i="10"/>
  <c r="AM10" i="10"/>
  <c r="AL10" i="10"/>
  <c r="AK10" i="10"/>
  <c r="AJ10" i="10"/>
  <c r="AI10" i="10"/>
  <c r="AH10" i="10"/>
  <c r="AG10" i="10"/>
  <c r="AF10" i="10"/>
  <c r="AE10" i="10"/>
  <c r="AD10" i="10"/>
  <c r="AC10" i="10"/>
  <c r="AB10" i="10"/>
  <c r="W10" i="10"/>
  <c r="V10" i="10"/>
  <c r="U10" i="10"/>
  <c r="T10" i="10"/>
  <c r="S10" i="10"/>
  <c r="R10" i="10"/>
  <c r="Q10" i="10"/>
  <c r="P10" i="10"/>
  <c r="O10" i="10"/>
  <c r="N10" i="10"/>
  <c r="M10" i="10"/>
  <c r="L10" i="10"/>
  <c r="K10" i="10"/>
  <c r="I10" i="10"/>
  <c r="H10" i="10"/>
  <c r="E10" i="10"/>
  <c r="D10" i="10"/>
  <c r="C10" i="10"/>
  <c r="B10" i="10"/>
  <c r="A10" i="10"/>
  <c r="AN9" i="10"/>
  <c r="AM9" i="10"/>
  <c r="AL9" i="10"/>
  <c r="AK9" i="10"/>
  <c r="AJ9" i="10"/>
  <c r="AI9" i="10"/>
  <c r="AH9" i="10"/>
  <c r="AG9" i="10"/>
  <c r="AF9" i="10"/>
  <c r="AE9" i="10"/>
  <c r="AD9" i="10"/>
  <c r="AC9" i="10"/>
  <c r="AB9" i="10"/>
  <c r="W9" i="10"/>
  <c r="V9" i="10"/>
  <c r="U9" i="10"/>
  <c r="T9" i="10"/>
  <c r="S9" i="10"/>
  <c r="R9" i="10"/>
  <c r="Q9" i="10"/>
  <c r="P9" i="10"/>
  <c r="O9" i="10"/>
  <c r="N9" i="10"/>
  <c r="M9" i="10"/>
  <c r="L9" i="10"/>
  <c r="K9" i="10"/>
  <c r="I9" i="10"/>
  <c r="H9" i="10"/>
  <c r="E9" i="10"/>
  <c r="D9" i="10"/>
  <c r="C9" i="10"/>
  <c r="B9" i="10"/>
  <c r="A9" i="10"/>
  <c r="AN8" i="10"/>
  <c r="AM8" i="10"/>
  <c r="AL8" i="10"/>
  <c r="AK8" i="10"/>
  <c r="AJ8" i="10"/>
  <c r="AI8" i="10"/>
  <c r="AH8" i="10"/>
  <c r="AG8" i="10"/>
  <c r="AF8" i="10"/>
  <c r="AE8" i="10"/>
  <c r="AD8" i="10"/>
  <c r="AC8" i="10"/>
  <c r="AB8" i="10"/>
  <c r="W8" i="10"/>
  <c r="V8" i="10"/>
  <c r="U8" i="10"/>
  <c r="T8" i="10"/>
  <c r="S8" i="10"/>
  <c r="R8" i="10"/>
  <c r="Q8" i="10"/>
  <c r="P8" i="10"/>
  <c r="O8" i="10"/>
  <c r="N8" i="10"/>
  <c r="M8" i="10"/>
  <c r="L8" i="10"/>
  <c r="K8" i="10"/>
  <c r="I8" i="10"/>
  <c r="H8" i="10"/>
  <c r="E8" i="10"/>
  <c r="D8" i="10"/>
  <c r="C8" i="10"/>
  <c r="B8" i="10"/>
  <c r="A8" i="10"/>
  <c r="AN7" i="10"/>
  <c r="AM7" i="10"/>
  <c r="AL7" i="10"/>
  <c r="AK7" i="10"/>
  <c r="AJ7" i="10"/>
  <c r="AI7" i="10"/>
  <c r="AH7" i="10"/>
  <c r="AG7" i="10"/>
  <c r="AF7" i="10"/>
  <c r="AE7" i="10"/>
  <c r="AD7" i="10"/>
  <c r="AC7" i="10"/>
  <c r="AB7" i="10"/>
  <c r="W7" i="10"/>
  <c r="V7" i="10"/>
  <c r="U7" i="10"/>
  <c r="T7" i="10"/>
  <c r="S7" i="10"/>
  <c r="R7" i="10"/>
  <c r="Q7" i="10"/>
  <c r="P7" i="10"/>
  <c r="O7" i="10"/>
  <c r="N7" i="10"/>
  <c r="M7" i="10"/>
  <c r="L7" i="10"/>
  <c r="K7" i="10"/>
  <c r="I7" i="10"/>
  <c r="H7" i="10"/>
  <c r="E7" i="10"/>
  <c r="D7" i="10"/>
  <c r="C7" i="10"/>
  <c r="B7" i="10"/>
  <c r="A7" i="10"/>
  <c r="AN6" i="10"/>
  <c r="AM6" i="10"/>
  <c r="AL6" i="10"/>
  <c r="AK6" i="10"/>
  <c r="AJ6" i="10"/>
  <c r="AI6" i="10"/>
  <c r="AH6" i="10"/>
  <c r="AG6" i="10"/>
  <c r="AF6" i="10"/>
  <c r="AE6" i="10"/>
  <c r="AD6" i="10"/>
  <c r="AC6" i="10"/>
  <c r="AB6" i="10"/>
  <c r="W6" i="10"/>
  <c r="V6" i="10"/>
  <c r="U6" i="10"/>
  <c r="T6" i="10"/>
  <c r="S6" i="10"/>
  <c r="R6" i="10"/>
  <c r="Q6" i="10"/>
  <c r="P6" i="10"/>
  <c r="O6" i="10"/>
  <c r="N6" i="10"/>
  <c r="M6" i="10"/>
  <c r="L6" i="10"/>
  <c r="K6" i="10"/>
  <c r="I6" i="10"/>
  <c r="H6" i="10"/>
  <c r="E6" i="10"/>
  <c r="D6" i="10"/>
  <c r="C6" i="10"/>
  <c r="B6" i="10"/>
  <c r="A6" i="10"/>
  <c r="AN5" i="10"/>
  <c r="AM5" i="10"/>
  <c r="AL5" i="10"/>
  <c r="AK5" i="10"/>
  <c r="AJ5" i="10"/>
  <c r="AI5" i="10"/>
  <c r="AH5" i="10"/>
  <c r="AG5" i="10"/>
  <c r="AF5" i="10"/>
  <c r="AE5" i="10"/>
  <c r="AD5" i="10"/>
  <c r="AC5" i="10"/>
  <c r="AB5" i="10"/>
  <c r="W5" i="10"/>
  <c r="V5" i="10"/>
  <c r="U5" i="10"/>
  <c r="T5" i="10"/>
  <c r="S5" i="10"/>
  <c r="R5" i="10"/>
  <c r="Q5" i="10"/>
  <c r="P5" i="10"/>
  <c r="O5" i="10"/>
  <c r="N5" i="10"/>
  <c r="M5" i="10"/>
  <c r="L5" i="10"/>
  <c r="K5" i="10"/>
  <c r="I5" i="10"/>
  <c r="H5" i="10"/>
  <c r="E5" i="10"/>
  <c r="D5" i="10"/>
  <c r="C5" i="10"/>
  <c r="B5" i="10"/>
  <c r="A5" i="10"/>
  <c r="AN4" i="10"/>
  <c r="AM4" i="10"/>
  <c r="AL4" i="10"/>
  <c r="AK4" i="10"/>
  <c r="AJ4" i="10"/>
  <c r="AI4" i="10"/>
  <c r="AH4" i="10"/>
  <c r="AG4" i="10"/>
  <c r="AF4" i="10"/>
  <c r="AE4" i="10"/>
  <c r="AD4" i="10"/>
  <c r="AC4" i="10"/>
  <c r="AB4" i="10"/>
  <c r="W4" i="10"/>
  <c r="V4" i="10"/>
  <c r="U4" i="10"/>
  <c r="T4" i="10"/>
  <c r="S4" i="10"/>
  <c r="R4" i="10"/>
  <c r="Q4" i="10"/>
  <c r="P4" i="10"/>
  <c r="O4" i="10"/>
  <c r="N4" i="10"/>
  <c r="M4" i="10"/>
  <c r="L4" i="10"/>
  <c r="K4" i="10"/>
  <c r="I4" i="10"/>
  <c r="H4" i="10"/>
  <c r="E4" i="10"/>
  <c r="D4" i="10"/>
  <c r="C4" i="10"/>
  <c r="B4" i="10"/>
  <c r="A4" i="10"/>
  <c r="AN3" i="10"/>
  <c r="AM3" i="10"/>
  <c r="AL3" i="10"/>
  <c r="AK3" i="10"/>
  <c r="AJ3" i="10"/>
  <c r="AI3" i="10"/>
  <c r="AH3" i="10"/>
  <c r="AG3" i="10"/>
  <c r="AF3" i="10"/>
  <c r="AE3" i="10"/>
  <c r="AD3" i="10"/>
  <c r="AC3" i="10"/>
  <c r="AB3" i="10"/>
  <c r="W3" i="10"/>
  <c r="V3" i="10"/>
  <c r="U3" i="10"/>
  <c r="T3" i="10"/>
  <c r="S3" i="10"/>
  <c r="R3" i="10"/>
  <c r="Q3" i="10"/>
  <c r="P3" i="10"/>
  <c r="O3" i="10"/>
  <c r="N3" i="10"/>
  <c r="M3" i="10"/>
  <c r="L3" i="10"/>
  <c r="K3" i="10"/>
  <c r="I3" i="10"/>
  <c r="H3" i="10"/>
  <c r="E3" i="10"/>
  <c r="D3" i="10"/>
  <c r="C3" i="10"/>
  <c r="B3" i="10"/>
  <c r="A3" i="10"/>
  <c r="AN2" i="10"/>
  <c r="AM2" i="10"/>
  <c r="AL2" i="10"/>
  <c r="AK2" i="10"/>
  <c r="AJ2" i="10"/>
  <c r="AI2" i="10"/>
  <c r="AH2" i="10"/>
  <c r="AG2" i="10"/>
  <c r="AF2" i="10"/>
  <c r="AE2" i="10"/>
  <c r="AD2" i="10"/>
  <c r="AC2" i="10"/>
  <c r="AB2" i="10"/>
  <c r="W2" i="10"/>
  <c r="V2" i="10"/>
  <c r="U2" i="10"/>
  <c r="T2" i="10"/>
  <c r="S2" i="10"/>
  <c r="R2" i="10"/>
  <c r="Q2" i="10"/>
  <c r="P2" i="10"/>
  <c r="O2" i="10"/>
  <c r="N2" i="10"/>
  <c r="M2" i="10"/>
  <c r="L2" i="10"/>
  <c r="K2" i="10"/>
  <c r="I2" i="10"/>
  <c r="H2" i="10"/>
  <c r="E2" i="10"/>
  <c r="D2" i="10"/>
  <c r="C2" i="10"/>
  <c r="B2" i="10"/>
  <c r="A2" i="10"/>
  <c r="W76" i="11"/>
  <c r="V76" i="11"/>
  <c r="U76" i="11"/>
  <c r="T76" i="11"/>
  <c r="S76" i="11"/>
  <c r="R76" i="11"/>
  <c r="Q76" i="11"/>
  <c r="P76" i="11"/>
  <c r="O76" i="11"/>
  <c r="N76" i="11"/>
  <c r="M76" i="11"/>
  <c r="L76" i="11"/>
  <c r="K76" i="11"/>
  <c r="I76" i="11"/>
  <c r="H76" i="11"/>
  <c r="E76" i="11"/>
  <c r="D76" i="11"/>
  <c r="C76" i="11"/>
  <c r="B76" i="11"/>
  <c r="A76" i="11"/>
  <c r="W75" i="11"/>
  <c r="V75" i="11"/>
  <c r="U75" i="11"/>
  <c r="T75" i="11"/>
  <c r="S75" i="11"/>
  <c r="R75" i="11"/>
  <c r="Q75" i="11"/>
  <c r="P75" i="11"/>
  <c r="O75" i="11"/>
  <c r="N75" i="11"/>
  <c r="M75" i="11"/>
  <c r="L75" i="11"/>
  <c r="K75" i="11"/>
  <c r="I75" i="11"/>
  <c r="H75" i="11"/>
  <c r="E75" i="11"/>
  <c r="D75" i="11"/>
  <c r="C75" i="11"/>
  <c r="B75" i="11"/>
  <c r="A75" i="11"/>
  <c r="W74" i="11"/>
  <c r="V74" i="11"/>
  <c r="U74" i="11"/>
  <c r="T74" i="11"/>
  <c r="S74" i="11"/>
  <c r="R74" i="11"/>
  <c r="Q74" i="11"/>
  <c r="P74" i="11"/>
  <c r="O74" i="11"/>
  <c r="N74" i="11"/>
  <c r="M74" i="11"/>
  <c r="L74" i="11"/>
  <c r="K74" i="11"/>
  <c r="I74" i="11"/>
  <c r="H74" i="11"/>
  <c r="E74" i="11"/>
  <c r="D74" i="11"/>
  <c r="C74" i="11"/>
  <c r="B74" i="11"/>
  <c r="A74" i="11"/>
  <c r="W73" i="11"/>
  <c r="V73" i="11"/>
  <c r="U73" i="11"/>
  <c r="T73" i="11"/>
  <c r="S73" i="11"/>
  <c r="R73" i="11"/>
  <c r="Q73" i="11"/>
  <c r="P73" i="11"/>
  <c r="O73" i="11"/>
  <c r="N73" i="11"/>
  <c r="M73" i="11"/>
  <c r="L73" i="11"/>
  <c r="K73" i="11"/>
  <c r="I73" i="11"/>
  <c r="H73" i="11"/>
  <c r="E73" i="11"/>
  <c r="D73" i="11"/>
  <c r="C73" i="11"/>
  <c r="B73" i="11"/>
  <c r="A73" i="11"/>
  <c r="W72" i="11"/>
  <c r="V72" i="11"/>
  <c r="U72" i="11"/>
  <c r="T72" i="11"/>
  <c r="S72" i="11"/>
  <c r="R72" i="11"/>
  <c r="Q72" i="11"/>
  <c r="P72" i="11"/>
  <c r="O72" i="11"/>
  <c r="N72" i="11"/>
  <c r="M72" i="11"/>
  <c r="L72" i="11"/>
  <c r="K72" i="11"/>
  <c r="I72" i="11"/>
  <c r="H72" i="11"/>
  <c r="E72" i="11"/>
  <c r="D72" i="11"/>
  <c r="C72" i="11"/>
  <c r="B72" i="11"/>
  <c r="A72" i="11"/>
  <c r="W71" i="11"/>
  <c r="V71" i="11"/>
  <c r="U71" i="11"/>
  <c r="T71" i="11"/>
  <c r="S71" i="11"/>
  <c r="R71" i="11"/>
  <c r="Q71" i="11"/>
  <c r="P71" i="11"/>
  <c r="O71" i="11"/>
  <c r="N71" i="11"/>
  <c r="M71" i="11"/>
  <c r="L71" i="11"/>
  <c r="K71" i="11"/>
  <c r="I71" i="11"/>
  <c r="H71" i="11"/>
  <c r="E71" i="11"/>
  <c r="D71" i="11"/>
  <c r="C71" i="11"/>
  <c r="B71" i="11"/>
  <c r="A71" i="11"/>
  <c r="W70" i="11"/>
  <c r="V70" i="11"/>
  <c r="U70" i="11"/>
  <c r="T70" i="11"/>
  <c r="S70" i="11"/>
  <c r="R70" i="11"/>
  <c r="Q70" i="11"/>
  <c r="P70" i="11"/>
  <c r="O70" i="11"/>
  <c r="N70" i="11"/>
  <c r="M70" i="11"/>
  <c r="L70" i="11"/>
  <c r="K70" i="11"/>
  <c r="I70" i="11"/>
  <c r="H70" i="11"/>
  <c r="E70" i="11"/>
  <c r="D70" i="11"/>
  <c r="C70" i="11"/>
  <c r="B70" i="11"/>
  <c r="A70" i="11"/>
  <c r="W69" i="11"/>
  <c r="V69" i="11"/>
  <c r="U69" i="11"/>
  <c r="T69" i="11"/>
  <c r="S69" i="11"/>
  <c r="R69" i="11"/>
  <c r="Q69" i="11"/>
  <c r="P69" i="11"/>
  <c r="O69" i="11"/>
  <c r="N69" i="11"/>
  <c r="M69" i="11"/>
  <c r="L69" i="11"/>
  <c r="K69" i="11"/>
  <c r="I69" i="11"/>
  <c r="H69" i="11"/>
  <c r="E69" i="11"/>
  <c r="D69" i="11"/>
  <c r="C69" i="11"/>
  <c r="B69" i="11"/>
  <c r="A69" i="11"/>
  <c r="W68" i="11"/>
  <c r="V68" i="11"/>
  <c r="U68" i="11"/>
  <c r="T68" i="11"/>
  <c r="S68" i="11"/>
  <c r="R68" i="11"/>
  <c r="Q68" i="11"/>
  <c r="P68" i="11"/>
  <c r="O68" i="11"/>
  <c r="N68" i="11"/>
  <c r="M68" i="11"/>
  <c r="L68" i="11"/>
  <c r="K68" i="11"/>
  <c r="I68" i="11"/>
  <c r="H68" i="11"/>
  <c r="E68" i="11"/>
  <c r="D68" i="11"/>
  <c r="C68" i="11"/>
  <c r="B68" i="11"/>
  <c r="A68" i="11"/>
  <c r="W67" i="11"/>
  <c r="V67" i="11"/>
  <c r="U67" i="11"/>
  <c r="T67" i="11"/>
  <c r="S67" i="11"/>
  <c r="R67" i="11"/>
  <c r="Q67" i="11"/>
  <c r="P67" i="11"/>
  <c r="O67" i="11"/>
  <c r="N67" i="11"/>
  <c r="M67" i="11"/>
  <c r="L67" i="11"/>
  <c r="K67" i="11"/>
  <c r="I67" i="11"/>
  <c r="H67" i="11"/>
  <c r="E67" i="11"/>
  <c r="D67" i="11"/>
  <c r="C67" i="11"/>
  <c r="B67" i="11"/>
  <c r="A67" i="11"/>
  <c r="W66" i="11"/>
  <c r="V66" i="11"/>
  <c r="U66" i="11"/>
  <c r="T66" i="11"/>
  <c r="S66" i="11"/>
  <c r="R66" i="11"/>
  <c r="Q66" i="11"/>
  <c r="P66" i="11"/>
  <c r="O66" i="11"/>
  <c r="N66" i="11"/>
  <c r="M66" i="11"/>
  <c r="L66" i="11"/>
  <c r="K66" i="11"/>
  <c r="I66" i="11"/>
  <c r="H66" i="11"/>
  <c r="E66" i="11"/>
  <c r="D66" i="11"/>
  <c r="C66" i="11"/>
  <c r="B66" i="11"/>
  <c r="A66" i="11"/>
  <c r="W65" i="11"/>
  <c r="V65" i="11"/>
  <c r="U65" i="11"/>
  <c r="T65" i="11"/>
  <c r="S65" i="11"/>
  <c r="R65" i="11"/>
  <c r="Q65" i="11"/>
  <c r="P65" i="11"/>
  <c r="O65" i="11"/>
  <c r="N65" i="11"/>
  <c r="M65" i="11"/>
  <c r="L65" i="11"/>
  <c r="K65" i="11"/>
  <c r="I65" i="11"/>
  <c r="H65" i="11"/>
  <c r="E65" i="11"/>
  <c r="D65" i="11"/>
  <c r="C65" i="11"/>
  <c r="B65" i="11"/>
  <c r="A65" i="11"/>
  <c r="W64" i="11"/>
  <c r="V64" i="11"/>
  <c r="U64" i="11"/>
  <c r="T64" i="11"/>
  <c r="S64" i="11"/>
  <c r="R64" i="11"/>
  <c r="Q64" i="11"/>
  <c r="P64" i="11"/>
  <c r="O64" i="11"/>
  <c r="N64" i="11"/>
  <c r="M64" i="11"/>
  <c r="L64" i="11"/>
  <c r="K64" i="11"/>
  <c r="I64" i="11"/>
  <c r="H64" i="11"/>
  <c r="E64" i="11"/>
  <c r="D64" i="11"/>
  <c r="C64" i="11"/>
  <c r="B64" i="11"/>
  <c r="A64" i="11"/>
  <c r="W63" i="11"/>
  <c r="V63" i="11"/>
  <c r="U63" i="11"/>
  <c r="T63" i="11"/>
  <c r="S63" i="11"/>
  <c r="R63" i="11"/>
  <c r="Q63" i="11"/>
  <c r="P63" i="11"/>
  <c r="O63" i="11"/>
  <c r="N63" i="11"/>
  <c r="M63" i="11"/>
  <c r="L63" i="11"/>
  <c r="K63" i="11"/>
  <c r="I63" i="11"/>
  <c r="H63" i="11"/>
  <c r="E63" i="11"/>
  <c r="D63" i="11"/>
  <c r="C63" i="11"/>
  <c r="B63" i="11"/>
  <c r="A63" i="11"/>
  <c r="W62" i="11"/>
  <c r="V62" i="11"/>
  <c r="U62" i="11"/>
  <c r="T62" i="11"/>
  <c r="S62" i="11"/>
  <c r="R62" i="11"/>
  <c r="Q62" i="11"/>
  <c r="P62" i="11"/>
  <c r="O62" i="11"/>
  <c r="N62" i="11"/>
  <c r="M62" i="11"/>
  <c r="L62" i="11"/>
  <c r="K62" i="11"/>
  <c r="I62" i="11"/>
  <c r="H62" i="11"/>
  <c r="E62" i="11"/>
  <c r="D62" i="11"/>
  <c r="C62" i="11"/>
  <c r="B62" i="11"/>
  <c r="A62" i="11"/>
  <c r="W61" i="11"/>
  <c r="V61" i="11"/>
  <c r="U61" i="11"/>
  <c r="T61" i="11"/>
  <c r="S61" i="11"/>
  <c r="R61" i="11"/>
  <c r="Q61" i="11"/>
  <c r="P61" i="11"/>
  <c r="O61" i="11"/>
  <c r="N61" i="11"/>
  <c r="M61" i="11"/>
  <c r="L61" i="11"/>
  <c r="K61" i="11"/>
  <c r="I61" i="11"/>
  <c r="H61" i="11"/>
  <c r="E61" i="11"/>
  <c r="D61" i="11"/>
  <c r="C61" i="11"/>
  <c r="B61" i="11"/>
  <c r="A61" i="11"/>
  <c r="W60" i="11"/>
  <c r="V60" i="11"/>
  <c r="U60" i="11"/>
  <c r="T60" i="11"/>
  <c r="S60" i="11"/>
  <c r="R60" i="11"/>
  <c r="Q60" i="11"/>
  <c r="P60" i="11"/>
  <c r="O60" i="11"/>
  <c r="N60" i="11"/>
  <c r="M60" i="11"/>
  <c r="L60" i="11"/>
  <c r="K60" i="11"/>
  <c r="I60" i="11"/>
  <c r="H60" i="11"/>
  <c r="E60" i="11"/>
  <c r="D60" i="11"/>
  <c r="C60" i="11"/>
  <c r="B60" i="11"/>
  <c r="A60" i="11"/>
  <c r="W59" i="11"/>
  <c r="V59" i="11"/>
  <c r="U59" i="11"/>
  <c r="T59" i="11"/>
  <c r="S59" i="11"/>
  <c r="R59" i="11"/>
  <c r="Q59" i="11"/>
  <c r="P59" i="11"/>
  <c r="O59" i="11"/>
  <c r="N59" i="11"/>
  <c r="M59" i="11"/>
  <c r="L59" i="11"/>
  <c r="K59" i="11"/>
  <c r="I59" i="11"/>
  <c r="H59" i="11"/>
  <c r="E59" i="11"/>
  <c r="D59" i="11"/>
  <c r="C59" i="11"/>
  <c r="B59" i="11"/>
  <c r="A59" i="11"/>
  <c r="W58" i="11"/>
  <c r="V58" i="11"/>
  <c r="U58" i="11"/>
  <c r="T58" i="11"/>
  <c r="S58" i="11"/>
  <c r="R58" i="11"/>
  <c r="Q58" i="11"/>
  <c r="P58" i="11"/>
  <c r="O58" i="11"/>
  <c r="N58" i="11"/>
  <c r="M58" i="11"/>
  <c r="L58" i="11"/>
  <c r="K58" i="11"/>
  <c r="I58" i="11"/>
  <c r="H58" i="11"/>
  <c r="E58" i="11"/>
  <c r="D58" i="11"/>
  <c r="C58" i="11"/>
  <c r="B58" i="11"/>
  <c r="A58" i="11"/>
  <c r="W57" i="11"/>
  <c r="V57" i="11"/>
  <c r="U57" i="11"/>
  <c r="T57" i="11"/>
  <c r="S57" i="11"/>
  <c r="R57" i="11"/>
  <c r="Q57" i="11"/>
  <c r="P57" i="11"/>
  <c r="O57" i="11"/>
  <c r="N57" i="11"/>
  <c r="M57" i="11"/>
  <c r="L57" i="11"/>
  <c r="K57" i="11"/>
  <c r="I57" i="11"/>
  <c r="H57" i="11"/>
  <c r="E57" i="11"/>
  <c r="D57" i="11"/>
  <c r="C57" i="11"/>
  <c r="B57" i="11"/>
  <c r="A57" i="11"/>
  <c r="W56" i="11"/>
  <c r="V56" i="11"/>
  <c r="U56" i="11"/>
  <c r="T56" i="11"/>
  <c r="S56" i="11"/>
  <c r="R56" i="11"/>
  <c r="Q56" i="11"/>
  <c r="P56" i="11"/>
  <c r="O56" i="11"/>
  <c r="N56" i="11"/>
  <c r="M56" i="11"/>
  <c r="L56" i="11"/>
  <c r="K56" i="11"/>
  <c r="I56" i="11"/>
  <c r="H56" i="11"/>
  <c r="E56" i="11"/>
  <c r="D56" i="11"/>
  <c r="C56" i="11"/>
  <c r="B56" i="11"/>
  <c r="A56" i="11"/>
  <c r="W55" i="11"/>
  <c r="V55" i="11"/>
  <c r="U55" i="11"/>
  <c r="T55" i="11"/>
  <c r="S55" i="11"/>
  <c r="R55" i="11"/>
  <c r="Q55" i="11"/>
  <c r="P55" i="11"/>
  <c r="O55" i="11"/>
  <c r="N55" i="11"/>
  <c r="M55" i="11"/>
  <c r="L55" i="11"/>
  <c r="K55" i="11"/>
  <c r="I55" i="11"/>
  <c r="H55" i="11"/>
  <c r="E55" i="11"/>
  <c r="D55" i="11"/>
  <c r="C55" i="11"/>
  <c r="B55" i="11"/>
  <c r="A55" i="11"/>
  <c r="W54" i="11"/>
  <c r="V54" i="11"/>
  <c r="U54" i="11"/>
  <c r="T54" i="11"/>
  <c r="S54" i="11"/>
  <c r="R54" i="11"/>
  <c r="Q54" i="11"/>
  <c r="P54" i="11"/>
  <c r="O54" i="11"/>
  <c r="N54" i="11"/>
  <c r="M54" i="11"/>
  <c r="L54" i="11"/>
  <c r="K54" i="11"/>
  <c r="I54" i="11"/>
  <c r="H54" i="11"/>
  <c r="E54" i="11"/>
  <c r="D54" i="11"/>
  <c r="C54" i="11"/>
  <c r="B54" i="11"/>
  <c r="A54" i="11"/>
  <c r="W53" i="11"/>
  <c r="V53" i="11"/>
  <c r="U53" i="11"/>
  <c r="T53" i="11"/>
  <c r="S53" i="11"/>
  <c r="R53" i="11"/>
  <c r="Q53" i="11"/>
  <c r="P53" i="11"/>
  <c r="O53" i="11"/>
  <c r="N53" i="11"/>
  <c r="M53" i="11"/>
  <c r="L53" i="11"/>
  <c r="K53" i="11"/>
  <c r="I53" i="11"/>
  <c r="H53" i="11"/>
  <c r="E53" i="11"/>
  <c r="D53" i="11"/>
  <c r="C53" i="11"/>
  <c r="B53" i="11"/>
  <c r="A53" i="11"/>
  <c r="W52" i="11"/>
  <c r="V52" i="11"/>
  <c r="U52" i="11"/>
  <c r="T52" i="11"/>
  <c r="S52" i="11"/>
  <c r="R52" i="11"/>
  <c r="Q52" i="11"/>
  <c r="P52" i="11"/>
  <c r="O52" i="11"/>
  <c r="N52" i="11"/>
  <c r="M52" i="11"/>
  <c r="L52" i="11"/>
  <c r="K52" i="11"/>
  <c r="I52" i="11"/>
  <c r="H52" i="11"/>
  <c r="E52" i="11"/>
  <c r="D52" i="11"/>
  <c r="C52" i="11"/>
  <c r="B52" i="11"/>
  <c r="A52" i="11"/>
  <c r="W51" i="11"/>
  <c r="V51" i="11"/>
  <c r="U51" i="11"/>
  <c r="T51" i="11"/>
  <c r="S51" i="11"/>
  <c r="R51" i="11"/>
  <c r="Q51" i="11"/>
  <c r="P51" i="11"/>
  <c r="O51" i="11"/>
  <c r="N51" i="11"/>
  <c r="M51" i="11"/>
  <c r="L51" i="11"/>
  <c r="K51" i="11"/>
  <c r="I51" i="11"/>
  <c r="H51" i="11"/>
  <c r="E51" i="11"/>
  <c r="D51" i="11"/>
  <c r="C51" i="11"/>
  <c r="B51" i="11"/>
  <c r="A51" i="11"/>
  <c r="W50" i="11"/>
  <c r="V50" i="11"/>
  <c r="U50" i="11"/>
  <c r="T50" i="11"/>
  <c r="S50" i="11"/>
  <c r="R50" i="11"/>
  <c r="Q50" i="11"/>
  <c r="P50" i="11"/>
  <c r="O50" i="11"/>
  <c r="N50" i="11"/>
  <c r="M50" i="11"/>
  <c r="L50" i="11"/>
  <c r="K50" i="11"/>
  <c r="I50" i="11"/>
  <c r="H50" i="11"/>
  <c r="E50" i="11"/>
  <c r="D50" i="11"/>
  <c r="C50" i="11"/>
  <c r="B50" i="11"/>
  <c r="A50" i="11"/>
  <c r="W49" i="11"/>
  <c r="V49" i="11"/>
  <c r="U49" i="11"/>
  <c r="T49" i="11"/>
  <c r="S49" i="11"/>
  <c r="R49" i="11"/>
  <c r="Q49" i="11"/>
  <c r="P49" i="11"/>
  <c r="O49" i="11"/>
  <c r="N49" i="11"/>
  <c r="M49" i="11"/>
  <c r="L49" i="11"/>
  <c r="K49" i="11"/>
  <c r="I49" i="11"/>
  <c r="H49" i="11"/>
  <c r="E49" i="11"/>
  <c r="D49" i="11"/>
  <c r="C49" i="11"/>
  <c r="B49" i="11"/>
  <c r="A49" i="11"/>
  <c r="W48" i="11"/>
  <c r="V48" i="11"/>
  <c r="U48" i="11"/>
  <c r="T48" i="11"/>
  <c r="S48" i="11"/>
  <c r="R48" i="11"/>
  <c r="Q48" i="11"/>
  <c r="P48" i="11"/>
  <c r="O48" i="11"/>
  <c r="N48" i="11"/>
  <c r="M48" i="11"/>
  <c r="L48" i="11"/>
  <c r="K48" i="11"/>
  <c r="I48" i="11"/>
  <c r="H48" i="11"/>
  <c r="E48" i="11"/>
  <c r="D48" i="11"/>
  <c r="C48" i="11"/>
  <c r="B48" i="11"/>
  <c r="A48" i="11"/>
  <c r="W47" i="11"/>
  <c r="V47" i="11"/>
  <c r="U47" i="11"/>
  <c r="T47" i="11"/>
  <c r="S47" i="11"/>
  <c r="R47" i="11"/>
  <c r="Q47" i="11"/>
  <c r="P47" i="11"/>
  <c r="O47" i="11"/>
  <c r="N47" i="11"/>
  <c r="M47" i="11"/>
  <c r="L47" i="11"/>
  <c r="K47" i="11"/>
  <c r="I47" i="11"/>
  <c r="H47" i="11"/>
  <c r="E47" i="11"/>
  <c r="D47" i="11"/>
  <c r="C47" i="11"/>
  <c r="B47" i="11"/>
  <c r="A47" i="11"/>
  <c r="W46" i="11"/>
  <c r="V46" i="11"/>
  <c r="U46" i="11"/>
  <c r="T46" i="11"/>
  <c r="S46" i="11"/>
  <c r="R46" i="11"/>
  <c r="Q46" i="11"/>
  <c r="P46" i="11"/>
  <c r="O46" i="11"/>
  <c r="N46" i="11"/>
  <c r="M46" i="11"/>
  <c r="L46" i="11"/>
  <c r="K46" i="11"/>
  <c r="I46" i="11"/>
  <c r="H46" i="11"/>
  <c r="E46" i="11"/>
  <c r="D46" i="11"/>
  <c r="C46" i="11"/>
  <c r="B46" i="11"/>
  <c r="A46" i="11"/>
  <c r="W45" i="11"/>
  <c r="V45" i="11"/>
  <c r="U45" i="11"/>
  <c r="T45" i="11"/>
  <c r="S45" i="11"/>
  <c r="R45" i="11"/>
  <c r="Q45" i="11"/>
  <c r="P45" i="11"/>
  <c r="O45" i="11"/>
  <c r="N45" i="11"/>
  <c r="M45" i="11"/>
  <c r="L45" i="11"/>
  <c r="K45" i="11"/>
  <c r="I45" i="11"/>
  <c r="H45" i="11"/>
  <c r="E45" i="11"/>
  <c r="D45" i="11"/>
  <c r="C45" i="11"/>
  <c r="B45" i="11"/>
  <c r="A45" i="11"/>
  <c r="W44" i="11"/>
  <c r="V44" i="11"/>
  <c r="U44" i="11"/>
  <c r="T44" i="11"/>
  <c r="S44" i="11"/>
  <c r="R44" i="11"/>
  <c r="Q44" i="11"/>
  <c r="P44" i="11"/>
  <c r="O44" i="11"/>
  <c r="N44" i="11"/>
  <c r="M44" i="11"/>
  <c r="L44" i="11"/>
  <c r="K44" i="11"/>
  <c r="I44" i="11"/>
  <c r="H44" i="11"/>
  <c r="E44" i="11"/>
  <c r="D44" i="11"/>
  <c r="C44" i="11"/>
  <c r="B44" i="11"/>
  <c r="A44" i="11"/>
  <c r="W43" i="11"/>
  <c r="V43" i="11"/>
  <c r="U43" i="11"/>
  <c r="T43" i="11"/>
  <c r="S43" i="11"/>
  <c r="R43" i="11"/>
  <c r="Q43" i="11"/>
  <c r="P43" i="11"/>
  <c r="O43" i="11"/>
  <c r="N43" i="11"/>
  <c r="M43" i="11"/>
  <c r="L43" i="11"/>
  <c r="K43" i="11"/>
  <c r="I43" i="11"/>
  <c r="H43" i="11"/>
  <c r="E43" i="11"/>
  <c r="D43" i="11"/>
  <c r="C43" i="11"/>
  <c r="B43" i="11"/>
  <c r="A43" i="11"/>
  <c r="W42" i="11"/>
  <c r="V42" i="11"/>
  <c r="U42" i="11"/>
  <c r="T42" i="11"/>
  <c r="S42" i="11"/>
  <c r="R42" i="11"/>
  <c r="Q42" i="11"/>
  <c r="P42" i="11"/>
  <c r="O42" i="11"/>
  <c r="N42" i="11"/>
  <c r="M42" i="11"/>
  <c r="L42" i="11"/>
  <c r="K42" i="11"/>
  <c r="I42" i="11"/>
  <c r="H42" i="11"/>
  <c r="E42" i="11"/>
  <c r="D42" i="11"/>
  <c r="C42" i="11"/>
  <c r="B42" i="11"/>
  <c r="A42" i="11"/>
  <c r="W41" i="11"/>
  <c r="V41" i="11"/>
  <c r="U41" i="11"/>
  <c r="T41" i="11"/>
  <c r="S41" i="11"/>
  <c r="R41" i="11"/>
  <c r="Q41" i="11"/>
  <c r="P41" i="11"/>
  <c r="O41" i="11"/>
  <c r="N41" i="11"/>
  <c r="M41" i="11"/>
  <c r="L41" i="11"/>
  <c r="K41" i="11"/>
  <c r="I41" i="11"/>
  <c r="H41" i="11"/>
  <c r="E41" i="11"/>
  <c r="D41" i="11"/>
  <c r="C41" i="11"/>
  <c r="B41" i="11"/>
  <c r="A41" i="11"/>
  <c r="W40" i="11"/>
  <c r="V40" i="11"/>
  <c r="U40" i="11"/>
  <c r="T40" i="11"/>
  <c r="S40" i="11"/>
  <c r="R40" i="11"/>
  <c r="Q40" i="11"/>
  <c r="P40" i="11"/>
  <c r="O40" i="11"/>
  <c r="N40" i="11"/>
  <c r="M40" i="11"/>
  <c r="L40" i="11"/>
  <c r="K40" i="11"/>
  <c r="I40" i="11"/>
  <c r="H40" i="11"/>
  <c r="E40" i="11"/>
  <c r="D40" i="11"/>
  <c r="C40" i="11"/>
  <c r="B40" i="11"/>
  <c r="A40" i="11"/>
  <c r="W39" i="11"/>
  <c r="V39" i="11"/>
  <c r="U39" i="11"/>
  <c r="T39" i="11"/>
  <c r="S39" i="11"/>
  <c r="R39" i="11"/>
  <c r="Q39" i="11"/>
  <c r="P39" i="11"/>
  <c r="O39" i="11"/>
  <c r="N39" i="11"/>
  <c r="M39" i="11"/>
  <c r="L39" i="11"/>
  <c r="K39" i="11"/>
  <c r="I39" i="11"/>
  <c r="H39" i="11"/>
  <c r="E39" i="11"/>
  <c r="D39" i="11"/>
  <c r="C39" i="11"/>
  <c r="B39" i="11"/>
  <c r="A39" i="11"/>
  <c r="W38" i="11"/>
  <c r="V38" i="11"/>
  <c r="U38" i="11"/>
  <c r="T38" i="11"/>
  <c r="S38" i="11"/>
  <c r="R38" i="11"/>
  <c r="Q38" i="11"/>
  <c r="P38" i="11"/>
  <c r="O38" i="11"/>
  <c r="N38" i="11"/>
  <c r="M38" i="11"/>
  <c r="L38" i="11"/>
  <c r="K38" i="11"/>
  <c r="I38" i="11"/>
  <c r="H38" i="11"/>
  <c r="E38" i="11"/>
  <c r="D38" i="11"/>
  <c r="C38" i="11"/>
  <c r="B38" i="11"/>
  <c r="A38" i="11"/>
  <c r="W37" i="11"/>
  <c r="V37" i="11"/>
  <c r="U37" i="11"/>
  <c r="T37" i="11"/>
  <c r="S37" i="11"/>
  <c r="R37" i="11"/>
  <c r="Q37" i="11"/>
  <c r="P37" i="11"/>
  <c r="O37" i="11"/>
  <c r="N37" i="11"/>
  <c r="M37" i="11"/>
  <c r="L37" i="11"/>
  <c r="K37" i="11"/>
  <c r="I37" i="11"/>
  <c r="H37" i="11"/>
  <c r="E37" i="11"/>
  <c r="D37" i="11"/>
  <c r="C37" i="11"/>
  <c r="B37" i="11"/>
  <c r="A37" i="11"/>
  <c r="W36" i="11"/>
  <c r="V36" i="11"/>
  <c r="U36" i="11"/>
  <c r="T36" i="11"/>
  <c r="S36" i="11"/>
  <c r="R36" i="11"/>
  <c r="Q36" i="11"/>
  <c r="P36" i="11"/>
  <c r="O36" i="11"/>
  <c r="N36" i="11"/>
  <c r="M36" i="11"/>
  <c r="L36" i="11"/>
  <c r="K36" i="11"/>
  <c r="I36" i="11"/>
  <c r="H36" i="11"/>
  <c r="E36" i="11"/>
  <c r="D36" i="11"/>
  <c r="C36" i="11"/>
  <c r="B36" i="11"/>
  <c r="A36" i="11"/>
  <c r="W35" i="11"/>
  <c r="V35" i="11"/>
  <c r="U35" i="11"/>
  <c r="T35" i="11"/>
  <c r="S35" i="11"/>
  <c r="R35" i="11"/>
  <c r="Q35" i="11"/>
  <c r="P35" i="11"/>
  <c r="O35" i="11"/>
  <c r="N35" i="11"/>
  <c r="M35" i="11"/>
  <c r="L35" i="11"/>
  <c r="K35" i="11"/>
  <c r="I35" i="11"/>
  <c r="H35" i="11"/>
  <c r="E35" i="11"/>
  <c r="D35" i="11"/>
  <c r="C35" i="11"/>
  <c r="B35" i="11"/>
  <c r="A35" i="11"/>
  <c r="W34" i="11"/>
  <c r="V34" i="11"/>
  <c r="U34" i="11"/>
  <c r="T34" i="11"/>
  <c r="S34" i="11"/>
  <c r="R34" i="11"/>
  <c r="Q34" i="11"/>
  <c r="P34" i="11"/>
  <c r="O34" i="11"/>
  <c r="N34" i="11"/>
  <c r="M34" i="11"/>
  <c r="L34" i="11"/>
  <c r="K34" i="11"/>
  <c r="I34" i="11"/>
  <c r="H34" i="11"/>
  <c r="E34" i="11"/>
  <c r="D34" i="11"/>
  <c r="C34" i="11"/>
  <c r="B34" i="11"/>
  <c r="A34" i="11"/>
  <c r="W33" i="11"/>
  <c r="V33" i="11"/>
  <c r="U33" i="11"/>
  <c r="T33" i="11"/>
  <c r="S33" i="11"/>
  <c r="R33" i="11"/>
  <c r="Q33" i="11"/>
  <c r="P33" i="11"/>
  <c r="O33" i="11"/>
  <c r="N33" i="11"/>
  <c r="M33" i="11"/>
  <c r="L33" i="11"/>
  <c r="K33" i="11"/>
  <c r="I33" i="11"/>
  <c r="H33" i="11"/>
  <c r="E33" i="11"/>
  <c r="D33" i="11"/>
  <c r="C33" i="11"/>
  <c r="B33" i="11"/>
  <c r="A33" i="11"/>
  <c r="W32" i="11"/>
  <c r="V32" i="11"/>
  <c r="U32" i="11"/>
  <c r="T32" i="11"/>
  <c r="S32" i="11"/>
  <c r="R32" i="11"/>
  <c r="Q32" i="11"/>
  <c r="P32" i="11"/>
  <c r="O32" i="11"/>
  <c r="N32" i="11"/>
  <c r="M32" i="11"/>
  <c r="L32" i="11"/>
  <c r="K32" i="11"/>
  <c r="I32" i="11"/>
  <c r="H32" i="11"/>
  <c r="E32" i="11"/>
  <c r="D32" i="11"/>
  <c r="C32" i="11"/>
  <c r="B32" i="11"/>
  <c r="A32" i="11"/>
  <c r="W31" i="11"/>
  <c r="V31" i="11"/>
  <c r="U31" i="11"/>
  <c r="T31" i="11"/>
  <c r="S31" i="11"/>
  <c r="R31" i="11"/>
  <c r="Q31" i="11"/>
  <c r="P31" i="11"/>
  <c r="O31" i="11"/>
  <c r="N31" i="11"/>
  <c r="M31" i="11"/>
  <c r="L31" i="11"/>
  <c r="K31" i="11"/>
  <c r="I31" i="11"/>
  <c r="H31" i="11"/>
  <c r="E31" i="11"/>
  <c r="D31" i="11"/>
  <c r="C31" i="11"/>
  <c r="B31" i="11"/>
  <c r="A31" i="11"/>
  <c r="W30" i="11"/>
  <c r="V30" i="11"/>
  <c r="U30" i="11"/>
  <c r="T30" i="11"/>
  <c r="S30" i="11"/>
  <c r="R30" i="11"/>
  <c r="Q30" i="11"/>
  <c r="P30" i="11"/>
  <c r="O30" i="11"/>
  <c r="N30" i="11"/>
  <c r="M30" i="11"/>
  <c r="L30" i="11"/>
  <c r="K30" i="11"/>
  <c r="I30" i="11"/>
  <c r="H30" i="11"/>
  <c r="E30" i="11"/>
  <c r="D30" i="11"/>
  <c r="C30" i="11"/>
  <c r="B30" i="11"/>
  <c r="A30" i="11"/>
  <c r="W29" i="11"/>
  <c r="V29" i="11"/>
  <c r="U29" i="11"/>
  <c r="T29" i="11"/>
  <c r="S29" i="11"/>
  <c r="R29" i="11"/>
  <c r="Q29" i="11"/>
  <c r="P29" i="11"/>
  <c r="O29" i="11"/>
  <c r="N29" i="11"/>
  <c r="M29" i="11"/>
  <c r="L29" i="11"/>
  <c r="K29" i="11"/>
  <c r="I29" i="11"/>
  <c r="H29" i="11"/>
  <c r="E29" i="11"/>
  <c r="D29" i="11"/>
  <c r="C29" i="11"/>
  <c r="B29" i="11"/>
  <c r="A29" i="11"/>
  <c r="W28" i="11"/>
  <c r="V28" i="11"/>
  <c r="U28" i="11"/>
  <c r="T28" i="11"/>
  <c r="S28" i="11"/>
  <c r="R28" i="11"/>
  <c r="Q28" i="11"/>
  <c r="P28" i="11"/>
  <c r="O28" i="11"/>
  <c r="N28" i="11"/>
  <c r="M28" i="11"/>
  <c r="L28" i="11"/>
  <c r="K28" i="11"/>
  <c r="I28" i="11"/>
  <c r="H28" i="11"/>
  <c r="E28" i="11"/>
  <c r="D28" i="11"/>
  <c r="C28" i="11"/>
  <c r="B28" i="11"/>
  <c r="A28" i="11"/>
  <c r="W27" i="11"/>
  <c r="V27" i="11"/>
  <c r="U27" i="11"/>
  <c r="T27" i="11"/>
  <c r="S27" i="11"/>
  <c r="R27" i="11"/>
  <c r="Q27" i="11"/>
  <c r="P27" i="11"/>
  <c r="O27" i="11"/>
  <c r="N27" i="11"/>
  <c r="M27" i="11"/>
  <c r="L27" i="11"/>
  <c r="K27" i="11"/>
  <c r="I27" i="11"/>
  <c r="H27" i="11"/>
  <c r="E27" i="11"/>
  <c r="D27" i="11"/>
  <c r="C27" i="11"/>
  <c r="B27" i="11"/>
  <c r="A27" i="11"/>
  <c r="W26" i="11"/>
  <c r="V26" i="11"/>
  <c r="U26" i="11"/>
  <c r="T26" i="11"/>
  <c r="S26" i="11"/>
  <c r="R26" i="11"/>
  <c r="Q26" i="11"/>
  <c r="P26" i="11"/>
  <c r="O26" i="11"/>
  <c r="N26" i="11"/>
  <c r="M26" i="11"/>
  <c r="L26" i="11"/>
  <c r="K26" i="11"/>
  <c r="I26" i="11"/>
  <c r="H26" i="11"/>
  <c r="E26" i="11"/>
  <c r="D26" i="11"/>
  <c r="C26" i="11"/>
  <c r="B26" i="11"/>
  <c r="A26" i="11"/>
  <c r="W25" i="11"/>
  <c r="V25" i="11"/>
  <c r="U25" i="11"/>
  <c r="T25" i="11"/>
  <c r="S25" i="11"/>
  <c r="R25" i="11"/>
  <c r="Q25" i="11"/>
  <c r="P25" i="11"/>
  <c r="O25" i="11"/>
  <c r="N25" i="11"/>
  <c r="M25" i="11"/>
  <c r="L25" i="11"/>
  <c r="K25" i="11"/>
  <c r="I25" i="11"/>
  <c r="H25" i="11"/>
  <c r="E25" i="11"/>
  <c r="D25" i="11"/>
  <c r="C25" i="11"/>
  <c r="B25" i="11"/>
  <c r="A25" i="11"/>
  <c r="W24" i="11"/>
  <c r="V24" i="11"/>
  <c r="U24" i="11"/>
  <c r="T24" i="11"/>
  <c r="S24" i="11"/>
  <c r="R24" i="11"/>
  <c r="Q24" i="11"/>
  <c r="P24" i="11"/>
  <c r="O24" i="11"/>
  <c r="N24" i="11"/>
  <c r="M24" i="11"/>
  <c r="L24" i="11"/>
  <c r="K24" i="11"/>
  <c r="I24" i="11"/>
  <c r="H24" i="11"/>
  <c r="E24" i="11"/>
  <c r="D24" i="11"/>
  <c r="C24" i="11"/>
  <c r="B24" i="11"/>
  <c r="A24" i="11"/>
  <c r="W23" i="11"/>
  <c r="V23" i="11"/>
  <c r="U23" i="11"/>
  <c r="T23" i="11"/>
  <c r="S23" i="11"/>
  <c r="R23" i="11"/>
  <c r="Q23" i="11"/>
  <c r="P23" i="11"/>
  <c r="O23" i="11"/>
  <c r="N23" i="11"/>
  <c r="M23" i="11"/>
  <c r="L23" i="11"/>
  <c r="K23" i="11"/>
  <c r="I23" i="11"/>
  <c r="H23" i="11"/>
  <c r="E23" i="11"/>
  <c r="D23" i="11"/>
  <c r="C23" i="11"/>
  <c r="B23" i="11"/>
  <c r="A23" i="11"/>
  <c r="W22" i="11"/>
  <c r="V22" i="11"/>
  <c r="U22" i="11"/>
  <c r="T22" i="11"/>
  <c r="S22" i="11"/>
  <c r="R22" i="11"/>
  <c r="Q22" i="11"/>
  <c r="P22" i="11"/>
  <c r="O22" i="11"/>
  <c r="N22" i="11"/>
  <c r="M22" i="11"/>
  <c r="L22" i="11"/>
  <c r="K22" i="11"/>
  <c r="I22" i="11"/>
  <c r="H22" i="11"/>
  <c r="E22" i="11"/>
  <c r="D22" i="11"/>
  <c r="C22" i="11"/>
  <c r="B22" i="11"/>
  <c r="A22" i="11"/>
  <c r="W21" i="11"/>
  <c r="V21" i="11"/>
  <c r="U21" i="11"/>
  <c r="T21" i="11"/>
  <c r="S21" i="11"/>
  <c r="R21" i="11"/>
  <c r="Q21" i="11"/>
  <c r="P21" i="11"/>
  <c r="O21" i="11"/>
  <c r="N21" i="11"/>
  <c r="M21" i="11"/>
  <c r="L21" i="11"/>
  <c r="K21" i="11"/>
  <c r="I21" i="11"/>
  <c r="H21" i="11"/>
  <c r="E21" i="11"/>
  <c r="D21" i="11"/>
  <c r="C21" i="11"/>
  <c r="B21" i="11"/>
  <c r="A21" i="11"/>
  <c r="W20" i="11"/>
  <c r="V20" i="11"/>
  <c r="U20" i="11"/>
  <c r="T20" i="11"/>
  <c r="S20" i="11"/>
  <c r="R20" i="11"/>
  <c r="Q20" i="11"/>
  <c r="P20" i="11"/>
  <c r="O20" i="11"/>
  <c r="N20" i="11"/>
  <c r="M20" i="11"/>
  <c r="L20" i="11"/>
  <c r="K20" i="11"/>
  <c r="I20" i="11"/>
  <c r="H20" i="11"/>
  <c r="E20" i="11"/>
  <c r="D20" i="11"/>
  <c r="C20" i="11"/>
  <c r="B20" i="11"/>
  <c r="A20" i="11"/>
  <c r="W19" i="11"/>
  <c r="V19" i="11"/>
  <c r="U19" i="11"/>
  <c r="T19" i="11"/>
  <c r="S19" i="11"/>
  <c r="R19" i="11"/>
  <c r="Q19" i="11"/>
  <c r="P19" i="11"/>
  <c r="O19" i="11"/>
  <c r="N19" i="11"/>
  <c r="M19" i="11"/>
  <c r="L19" i="11"/>
  <c r="K19" i="11"/>
  <c r="I19" i="11"/>
  <c r="H19" i="11"/>
  <c r="E19" i="11"/>
  <c r="D19" i="11"/>
  <c r="C19" i="11"/>
  <c r="B19" i="11"/>
  <c r="A19" i="11"/>
  <c r="W18" i="11"/>
  <c r="V18" i="11"/>
  <c r="U18" i="11"/>
  <c r="T18" i="11"/>
  <c r="S18" i="11"/>
  <c r="R18" i="11"/>
  <c r="Q18" i="11"/>
  <c r="P18" i="11"/>
  <c r="O18" i="11"/>
  <c r="N18" i="11"/>
  <c r="M18" i="11"/>
  <c r="L18" i="11"/>
  <c r="K18" i="11"/>
  <c r="I18" i="11"/>
  <c r="H18" i="11"/>
  <c r="E18" i="11"/>
  <c r="D18" i="11"/>
  <c r="C18" i="11"/>
  <c r="B18" i="11"/>
  <c r="A18" i="11"/>
  <c r="W17" i="11"/>
  <c r="V17" i="11"/>
  <c r="U17" i="11"/>
  <c r="T17" i="11"/>
  <c r="S17" i="11"/>
  <c r="R17" i="11"/>
  <c r="Q17" i="11"/>
  <c r="P17" i="11"/>
  <c r="O17" i="11"/>
  <c r="N17" i="11"/>
  <c r="M17" i="11"/>
  <c r="L17" i="11"/>
  <c r="K17" i="11"/>
  <c r="I17" i="11"/>
  <c r="H17" i="11"/>
  <c r="E17" i="11"/>
  <c r="D17" i="11"/>
  <c r="C17" i="11"/>
  <c r="B17" i="11"/>
  <c r="A17" i="11"/>
  <c r="W16" i="11"/>
  <c r="V16" i="11"/>
  <c r="U16" i="11"/>
  <c r="T16" i="11"/>
  <c r="S16" i="11"/>
  <c r="R16" i="11"/>
  <c r="Q16" i="11"/>
  <c r="P16" i="11"/>
  <c r="O16" i="11"/>
  <c r="N16" i="11"/>
  <c r="M16" i="11"/>
  <c r="L16" i="11"/>
  <c r="K16" i="11"/>
  <c r="I16" i="11"/>
  <c r="H16" i="11"/>
  <c r="E16" i="11"/>
  <c r="D16" i="11"/>
  <c r="C16" i="11"/>
  <c r="B16" i="11"/>
  <c r="A16" i="11"/>
  <c r="W15" i="11"/>
  <c r="V15" i="11"/>
  <c r="U15" i="11"/>
  <c r="T15" i="11"/>
  <c r="S15" i="11"/>
  <c r="R15" i="11"/>
  <c r="Q15" i="11"/>
  <c r="P15" i="11"/>
  <c r="O15" i="11"/>
  <c r="N15" i="11"/>
  <c r="M15" i="11"/>
  <c r="L15" i="11"/>
  <c r="K15" i="11"/>
  <c r="I15" i="11"/>
  <c r="H15" i="11"/>
  <c r="E15" i="11"/>
  <c r="D15" i="11"/>
  <c r="C15" i="11"/>
  <c r="B15" i="11"/>
  <c r="A15" i="11"/>
  <c r="W14" i="11"/>
  <c r="V14" i="11"/>
  <c r="U14" i="11"/>
  <c r="T14" i="11"/>
  <c r="S14" i="11"/>
  <c r="R14" i="11"/>
  <c r="Q14" i="11"/>
  <c r="P14" i="11"/>
  <c r="O14" i="11"/>
  <c r="N14" i="11"/>
  <c r="M14" i="11"/>
  <c r="L14" i="11"/>
  <c r="K14" i="11"/>
  <c r="I14" i="11"/>
  <c r="H14" i="11"/>
  <c r="E14" i="11"/>
  <c r="D14" i="11"/>
  <c r="C14" i="11"/>
  <c r="B14" i="11"/>
  <c r="A14" i="11"/>
  <c r="W13" i="11"/>
  <c r="V13" i="11"/>
  <c r="U13" i="11"/>
  <c r="T13" i="11"/>
  <c r="S13" i="11"/>
  <c r="R13" i="11"/>
  <c r="Q13" i="11"/>
  <c r="P13" i="11"/>
  <c r="O13" i="11"/>
  <c r="N13" i="11"/>
  <c r="M13" i="11"/>
  <c r="L13" i="11"/>
  <c r="K13" i="11"/>
  <c r="I13" i="11"/>
  <c r="H13" i="11"/>
  <c r="E13" i="11"/>
  <c r="D13" i="11"/>
  <c r="C13" i="11"/>
  <c r="B13" i="11"/>
  <c r="A13" i="11"/>
  <c r="W12" i="11"/>
  <c r="V12" i="11"/>
  <c r="U12" i="11"/>
  <c r="T12" i="11"/>
  <c r="S12" i="11"/>
  <c r="R12" i="11"/>
  <c r="Q12" i="11"/>
  <c r="P12" i="11"/>
  <c r="O12" i="11"/>
  <c r="N12" i="11"/>
  <c r="M12" i="11"/>
  <c r="L12" i="11"/>
  <c r="K12" i="11"/>
  <c r="I12" i="11"/>
  <c r="H12" i="11"/>
  <c r="E12" i="11"/>
  <c r="D12" i="11"/>
  <c r="C12" i="11"/>
  <c r="B12" i="11"/>
  <c r="A12" i="11"/>
  <c r="W11" i="11"/>
  <c r="V11" i="11"/>
  <c r="U11" i="11"/>
  <c r="T11" i="11"/>
  <c r="S11" i="11"/>
  <c r="R11" i="11"/>
  <c r="Q11" i="11"/>
  <c r="P11" i="11"/>
  <c r="O11" i="11"/>
  <c r="N11" i="11"/>
  <c r="M11" i="11"/>
  <c r="L11" i="11"/>
  <c r="K11" i="11"/>
  <c r="I11" i="11"/>
  <c r="H11" i="11"/>
  <c r="E11" i="11"/>
  <c r="D11" i="11"/>
  <c r="C11" i="11"/>
  <c r="B11" i="11"/>
  <c r="A11" i="11"/>
  <c r="W10" i="11"/>
  <c r="V10" i="11"/>
  <c r="U10" i="11"/>
  <c r="T10" i="11"/>
  <c r="S10" i="11"/>
  <c r="R10" i="11"/>
  <c r="Q10" i="11"/>
  <c r="P10" i="11"/>
  <c r="O10" i="11"/>
  <c r="N10" i="11"/>
  <c r="M10" i="11"/>
  <c r="L10" i="11"/>
  <c r="K10" i="11"/>
  <c r="I10" i="11"/>
  <c r="H10" i="11"/>
  <c r="E10" i="11"/>
  <c r="D10" i="11"/>
  <c r="C10" i="11"/>
  <c r="B10" i="11"/>
  <c r="A10" i="11"/>
  <c r="W9" i="11"/>
  <c r="V9" i="11"/>
  <c r="U9" i="11"/>
  <c r="T9" i="11"/>
  <c r="S9" i="11"/>
  <c r="R9" i="11"/>
  <c r="Q9" i="11"/>
  <c r="P9" i="11"/>
  <c r="O9" i="11"/>
  <c r="N9" i="11"/>
  <c r="M9" i="11"/>
  <c r="L9" i="11"/>
  <c r="K9" i="11"/>
  <c r="I9" i="11"/>
  <c r="H9" i="11"/>
  <c r="E9" i="11"/>
  <c r="D9" i="11"/>
  <c r="C9" i="11"/>
  <c r="B9" i="11"/>
  <c r="A9" i="11"/>
  <c r="W8" i="11"/>
  <c r="V8" i="11"/>
  <c r="U8" i="11"/>
  <c r="T8" i="11"/>
  <c r="S8" i="11"/>
  <c r="R8" i="11"/>
  <c r="Q8" i="11"/>
  <c r="P8" i="11"/>
  <c r="O8" i="11"/>
  <c r="N8" i="11"/>
  <c r="M8" i="11"/>
  <c r="L8" i="11"/>
  <c r="K8" i="11"/>
  <c r="I8" i="11"/>
  <c r="H8" i="11"/>
  <c r="E8" i="11"/>
  <c r="D8" i="11"/>
  <c r="C8" i="11"/>
  <c r="B8" i="11"/>
  <c r="A8" i="11"/>
  <c r="W7" i="11"/>
  <c r="V7" i="11"/>
  <c r="U7" i="11"/>
  <c r="T7" i="11"/>
  <c r="S7" i="11"/>
  <c r="R7" i="11"/>
  <c r="Q7" i="11"/>
  <c r="P7" i="11"/>
  <c r="O7" i="11"/>
  <c r="N7" i="11"/>
  <c r="M7" i="11"/>
  <c r="L7" i="11"/>
  <c r="K7" i="11"/>
  <c r="I7" i="11"/>
  <c r="H7" i="11"/>
  <c r="E7" i="11"/>
  <c r="D7" i="11"/>
  <c r="C7" i="11"/>
  <c r="B7" i="11"/>
  <c r="A7" i="11"/>
  <c r="W6" i="11"/>
  <c r="V6" i="11"/>
  <c r="U6" i="11"/>
  <c r="T6" i="11"/>
  <c r="S6" i="11"/>
  <c r="R6" i="11"/>
  <c r="Q6" i="11"/>
  <c r="P6" i="11"/>
  <c r="O6" i="11"/>
  <c r="N6" i="11"/>
  <c r="M6" i="11"/>
  <c r="L6" i="11"/>
  <c r="K6" i="11"/>
  <c r="I6" i="11"/>
  <c r="H6" i="11"/>
  <c r="E6" i="11"/>
  <c r="D6" i="11"/>
  <c r="C6" i="11"/>
  <c r="B6" i="11"/>
  <c r="A6" i="11"/>
  <c r="W5" i="11"/>
  <c r="V5" i="11"/>
  <c r="U5" i="11"/>
  <c r="T5" i="11"/>
  <c r="S5" i="11"/>
  <c r="R5" i="11"/>
  <c r="Q5" i="11"/>
  <c r="P5" i="11"/>
  <c r="O5" i="11"/>
  <c r="N5" i="11"/>
  <c r="M5" i="11"/>
  <c r="L5" i="11"/>
  <c r="K5" i="11"/>
  <c r="I5" i="11"/>
  <c r="H5" i="11"/>
  <c r="E5" i="11"/>
  <c r="D5" i="11"/>
  <c r="C5" i="11"/>
  <c r="B5" i="11"/>
  <c r="A5" i="11"/>
  <c r="W4" i="11"/>
  <c r="V4" i="11"/>
  <c r="U4" i="11"/>
  <c r="T4" i="11"/>
  <c r="S4" i="11"/>
  <c r="R4" i="11"/>
  <c r="Q4" i="11"/>
  <c r="P4" i="11"/>
  <c r="O4" i="11"/>
  <c r="N4" i="11"/>
  <c r="M4" i="11"/>
  <c r="L4" i="11"/>
  <c r="K4" i="11"/>
  <c r="I4" i="11"/>
  <c r="H4" i="11"/>
  <c r="E4" i="11"/>
  <c r="D4" i="11"/>
  <c r="C4" i="11"/>
  <c r="B4" i="11"/>
  <c r="A4" i="11"/>
  <c r="W3" i="11"/>
  <c r="V3" i="11"/>
  <c r="U3" i="11"/>
  <c r="T3" i="11"/>
  <c r="S3" i="11"/>
  <c r="R3" i="11"/>
  <c r="Q3" i="11"/>
  <c r="P3" i="11"/>
  <c r="O3" i="11"/>
  <c r="N3" i="11"/>
  <c r="M3" i="11"/>
  <c r="L3" i="11"/>
  <c r="K3" i="11"/>
  <c r="I3" i="11"/>
  <c r="H3" i="11"/>
  <c r="E3" i="11"/>
  <c r="D3" i="11"/>
  <c r="C3" i="11"/>
  <c r="B3" i="11"/>
  <c r="A3" i="11"/>
  <c r="W2" i="11"/>
  <c r="V2" i="11"/>
  <c r="U2" i="11"/>
  <c r="T2" i="11"/>
  <c r="S2" i="11"/>
  <c r="R2" i="11"/>
  <c r="Q2" i="11"/>
  <c r="P2" i="11"/>
  <c r="O2" i="11"/>
  <c r="N2" i="11"/>
  <c r="M2" i="11"/>
  <c r="L2" i="11"/>
  <c r="K2" i="11"/>
  <c r="I2" i="11"/>
  <c r="H2" i="11"/>
  <c r="E2" i="11"/>
  <c r="D2" i="11"/>
  <c r="C2" i="11"/>
  <c r="B2" i="11"/>
  <c r="A2" i="11"/>
  <c r="W61" i="12"/>
  <c r="V61" i="12"/>
  <c r="U61" i="12"/>
  <c r="T61" i="12"/>
  <c r="S61" i="12"/>
  <c r="R61" i="12"/>
  <c r="Q61" i="12"/>
  <c r="P61" i="12"/>
  <c r="O61" i="12"/>
  <c r="N61" i="12"/>
  <c r="M61" i="12"/>
  <c r="L61" i="12"/>
  <c r="K61" i="12"/>
  <c r="I61" i="12"/>
  <c r="H61" i="12"/>
  <c r="E61" i="12"/>
  <c r="D61" i="12"/>
  <c r="C61" i="12"/>
  <c r="B61" i="12"/>
  <c r="A61" i="12"/>
  <c r="W60" i="12"/>
  <c r="V60" i="12"/>
  <c r="U60" i="12"/>
  <c r="T60" i="12"/>
  <c r="S60" i="12"/>
  <c r="R60" i="12"/>
  <c r="Q60" i="12"/>
  <c r="P60" i="12"/>
  <c r="O60" i="12"/>
  <c r="N60" i="12"/>
  <c r="M60" i="12"/>
  <c r="L60" i="12"/>
  <c r="K60" i="12"/>
  <c r="I60" i="12"/>
  <c r="H60" i="12"/>
  <c r="E60" i="12"/>
  <c r="D60" i="12"/>
  <c r="C60" i="12"/>
  <c r="B60" i="12"/>
  <c r="A60" i="12"/>
  <c r="W59" i="12"/>
  <c r="V59" i="12"/>
  <c r="U59" i="12"/>
  <c r="T59" i="12"/>
  <c r="S59" i="12"/>
  <c r="R59" i="12"/>
  <c r="Q59" i="12"/>
  <c r="P59" i="12"/>
  <c r="O59" i="12"/>
  <c r="N59" i="12"/>
  <c r="M59" i="12"/>
  <c r="L59" i="12"/>
  <c r="K59" i="12"/>
  <c r="I59" i="12"/>
  <c r="H59" i="12"/>
  <c r="E59" i="12"/>
  <c r="D59" i="12"/>
  <c r="C59" i="12"/>
  <c r="B59" i="12"/>
  <c r="A59" i="12"/>
  <c r="W58" i="12"/>
  <c r="V58" i="12"/>
  <c r="U58" i="12"/>
  <c r="T58" i="12"/>
  <c r="S58" i="12"/>
  <c r="R58" i="12"/>
  <c r="Q58" i="12"/>
  <c r="P58" i="12"/>
  <c r="O58" i="12"/>
  <c r="N58" i="12"/>
  <c r="M58" i="12"/>
  <c r="L58" i="12"/>
  <c r="K58" i="12"/>
  <c r="I58" i="12"/>
  <c r="H58" i="12"/>
  <c r="E58" i="12"/>
  <c r="D58" i="12"/>
  <c r="C58" i="12"/>
  <c r="B58" i="12"/>
  <c r="A58" i="12"/>
  <c r="W57" i="12"/>
  <c r="V57" i="12"/>
  <c r="U57" i="12"/>
  <c r="T57" i="12"/>
  <c r="S57" i="12"/>
  <c r="R57" i="12"/>
  <c r="Q57" i="12"/>
  <c r="P57" i="12"/>
  <c r="O57" i="12"/>
  <c r="N57" i="12"/>
  <c r="M57" i="12"/>
  <c r="L57" i="12"/>
  <c r="K57" i="12"/>
  <c r="I57" i="12"/>
  <c r="H57" i="12"/>
  <c r="E57" i="12"/>
  <c r="D57" i="12"/>
  <c r="C57" i="12"/>
  <c r="B57" i="12"/>
  <c r="A57" i="12"/>
  <c r="W56" i="12"/>
  <c r="V56" i="12"/>
  <c r="U56" i="12"/>
  <c r="T56" i="12"/>
  <c r="S56" i="12"/>
  <c r="R56" i="12"/>
  <c r="Q56" i="12"/>
  <c r="P56" i="12"/>
  <c r="O56" i="12"/>
  <c r="N56" i="12"/>
  <c r="M56" i="12"/>
  <c r="L56" i="12"/>
  <c r="K56" i="12"/>
  <c r="I56" i="12"/>
  <c r="H56" i="12"/>
  <c r="E56" i="12"/>
  <c r="D56" i="12"/>
  <c r="C56" i="12"/>
  <c r="B56" i="12"/>
  <c r="A56" i="12"/>
  <c r="W55" i="12"/>
  <c r="V55" i="12"/>
  <c r="U55" i="12"/>
  <c r="T55" i="12"/>
  <c r="S55" i="12"/>
  <c r="R55" i="12"/>
  <c r="Q55" i="12"/>
  <c r="P55" i="12"/>
  <c r="O55" i="12"/>
  <c r="N55" i="12"/>
  <c r="M55" i="12"/>
  <c r="L55" i="12"/>
  <c r="K55" i="12"/>
  <c r="I55" i="12"/>
  <c r="H55" i="12"/>
  <c r="E55" i="12"/>
  <c r="D55" i="12"/>
  <c r="C55" i="12"/>
  <c r="B55" i="12"/>
  <c r="A55" i="12"/>
  <c r="W54" i="12"/>
  <c r="V54" i="12"/>
  <c r="U54" i="12"/>
  <c r="T54" i="12"/>
  <c r="S54" i="12"/>
  <c r="R54" i="12"/>
  <c r="Q54" i="12"/>
  <c r="P54" i="12"/>
  <c r="O54" i="12"/>
  <c r="N54" i="12"/>
  <c r="M54" i="12"/>
  <c r="L54" i="12"/>
  <c r="K54" i="12"/>
  <c r="I54" i="12"/>
  <c r="H54" i="12"/>
  <c r="E54" i="12"/>
  <c r="D54" i="12"/>
  <c r="C54" i="12"/>
  <c r="B54" i="12"/>
  <c r="A54" i="12"/>
  <c r="W53" i="12"/>
  <c r="V53" i="12"/>
  <c r="U53" i="12"/>
  <c r="T53" i="12"/>
  <c r="S53" i="12"/>
  <c r="R53" i="12"/>
  <c r="Q53" i="12"/>
  <c r="P53" i="12"/>
  <c r="O53" i="12"/>
  <c r="N53" i="12"/>
  <c r="M53" i="12"/>
  <c r="L53" i="12"/>
  <c r="K53" i="12"/>
  <c r="I53" i="12"/>
  <c r="H53" i="12"/>
  <c r="E53" i="12"/>
  <c r="D53" i="12"/>
  <c r="C53" i="12"/>
  <c r="B53" i="12"/>
  <c r="A53" i="12"/>
  <c r="W52" i="12"/>
  <c r="V52" i="12"/>
  <c r="U52" i="12"/>
  <c r="T52" i="12"/>
  <c r="S52" i="12"/>
  <c r="R52" i="12"/>
  <c r="Q52" i="12"/>
  <c r="P52" i="12"/>
  <c r="O52" i="12"/>
  <c r="N52" i="12"/>
  <c r="M52" i="12"/>
  <c r="L52" i="12"/>
  <c r="K52" i="12"/>
  <c r="I52" i="12"/>
  <c r="H52" i="12"/>
  <c r="E52" i="12"/>
  <c r="D52" i="12"/>
  <c r="C52" i="12"/>
  <c r="B52" i="12"/>
  <c r="A52" i="12"/>
  <c r="W51" i="12"/>
  <c r="V51" i="12"/>
  <c r="U51" i="12"/>
  <c r="T51" i="12"/>
  <c r="S51" i="12"/>
  <c r="R51" i="12"/>
  <c r="Q51" i="12"/>
  <c r="P51" i="12"/>
  <c r="O51" i="12"/>
  <c r="N51" i="12"/>
  <c r="M51" i="12"/>
  <c r="L51" i="12"/>
  <c r="K51" i="12"/>
  <c r="I51" i="12"/>
  <c r="H51" i="12"/>
  <c r="E51" i="12"/>
  <c r="D51" i="12"/>
  <c r="C51" i="12"/>
  <c r="B51" i="12"/>
  <c r="A51" i="12"/>
  <c r="W50" i="12"/>
  <c r="V50" i="12"/>
  <c r="U50" i="12"/>
  <c r="T50" i="12"/>
  <c r="S50" i="12"/>
  <c r="R50" i="12"/>
  <c r="Q50" i="12"/>
  <c r="P50" i="12"/>
  <c r="O50" i="12"/>
  <c r="N50" i="12"/>
  <c r="M50" i="12"/>
  <c r="L50" i="12"/>
  <c r="K50" i="12"/>
  <c r="I50" i="12"/>
  <c r="H50" i="12"/>
  <c r="E50" i="12"/>
  <c r="D50" i="12"/>
  <c r="C50" i="12"/>
  <c r="B50" i="12"/>
  <c r="A50" i="12"/>
  <c r="W49" i="12"/>
  <c r="V49" i="12"/>
  <c r="U49" i="12"/>
  <c r="T49" i="12"/>
  <c r="S49" i="12"/>
  <c r="R49" i="12"/>
  <c r="Q49" i="12"/>
  <c r="P49" i="12"/>
  <c r="O49" i="12"/>
  <c r="N49" i="12"/>
  <c r="M49" i="12"/>
  <c r="L49" i="12"/>
  <c r="K49" i="12"/>
  <c r="I49" i="12"/>
  <c r="H49" i="12"/>
  <c r="E49" i="12"/>
  <c r="D49" i="12"/>
  <c r="C49" i="12"/>
  <c r="B49" i="12"/>
  <c r="A49" i="12"/>
  <c r="W48" i="12"/>
  <c r="V48" i="12"/>
  <c r="U48" i="12"/>
  <c r="T48" i="12"/>
  <c r="S48" i="12"/>
  <c r="R48" i="12"/>
  <c r="Q48" i="12"/>
  <c r="P48" i="12"/>
  <c r="O48" i="12"/>
  <c r="N48" i="12"/>
  <c r="M48" i="12"/>
  <c r="L48" i="12"/>
  <c r="K48" i="12"/>
  <c r="I48" i="12"/>
  <c r="H48" i="12"/>
  <c r="E48" i="12"/>
  <c r="D48" i="12"/>
  <c r="C48" i="12"/>
  <c r="B48" i="12"/>
  <c r="A48" i="12"/>
  <c r="W47" i="12"/>
  <c r="V47" i="12"/>
  <c r="U47" i="12"/>
  <c r="T47" i="12"/>
  <c r="S47" i="12"/>
  <c r="R47" i="12"/>
  <c r="Q47" i="12"/>
  <c r="P47" i="12"/>
  <c r="O47" i="12"/>
  <c r="N47" i="12"/>
  <c r="M47" i="12"/>
  <c r="L47" i="12"/>
  <c r="K47" i="12"/>
  <c r="I47" i="12"/>
  <c r="H47" i="12"/>
  <c r="E47" i="12"/>
  <c r="D47" i="12"/>
  <c r="C47" i="12"/>
  <c r="B47" i="12"/>
  <c r="A47" i="12"/>
  <c r="W46" i="12"/>
  <c r="V46" i="12"/>
  <c r="U46" i="12"/>
  <c r="T46" i="12"/>
  <c r="S46" i="12"/>
  <c r="R46" i="12"/>
  <c r="Q46" i="12"/>
  <c r="P46" i="12"/>
  <c r="O46" i="12"/>
  <c r="N46" i="12"/>
  <c r="M46" i="12"/>
  <c r="L46" i="12"/>
  <c r="K46" i="12"/>
  <c r="I46" i="12"/>
  <c r="H46" i="12"/>
  <c r="E46" i="12"/>
  <c r="D46" i="12"/>
  <c r="C46" i="12"/>
  <c r="B46" i="12"/>
  <c r="A46" i="12"/>
  <c r="W45" i="12"/>
  <c r="V45" i="12"/>
  <c r="U45" i="12"/>
  <c r="T45" i="12"/>
  <c r="S45" i="12"/>
  <c r="R45" i="12"/>
  <c r="Q45" i="12"/>
  <c r="P45" i="12"/>
  <c r="O45" i="12"/>
  <c r="N45" i="12"/>
  <c r="M45" i="12"/>
  <c r="L45" i="12"/>
  <c r="K45" i="12"/>
  <c r="I45" i="12"/>
  <c r="H45" i="12"/>
  <c r="E45" i="12"/>
  <c r="D45" i="12"/>
  <c r="C45" i="12"/>
  <c r="B45" i="12"/>
  <c r="A45" i="12"/>
  <c r="W44" i="12"/>
  <c r="V44" i="12"/>
  <c r="U44" i="12"/>
  <c r="T44" i="12"/>
  <c r="S44" i="12"/>
  <c r="R44" i="12"/>
  <c r="Q44" i="12"/>
  <c r="P44" i="12"/>
  <c r="O44" i="12"/>
  <c r="N44" i="12"/>
  <c r="M44" i="12"/>
  <c r="L44" i="12"/>
  <c r="K44" i="12"/>
  <c r="I44" i="12"/>
  <c r="H44" i="12"/>
  <c r="E44" i="12"/>
  <c r="D44" i="12"/>
  <c r="C44" i="12"/>
  <c r="B44" i="12"/>
  <c r="A44" i="12"/>
  <c r="W43" i="12"/>
  <c r="V43" i="12"/>
  <c r="U43" i="12"/>
  <c r="T43" i="12"/>
  <c r="S43" i="12"/>
  <c r="R43" i="12"/>
  <c r="Q43" i="12"/>
  <c r="P43" i="12"/>
  <c r="O43" i="12"/>
  <c r="N43" i="12"/>
  <c r="M43" i="12"/>
  <c r="L43" i="12"/>
  <c r="K43" i="12"/>
  <c r="I43" i="12"/>
  <c r="H43" i="12"/>
  <c r="E43" i="12"/>
  <c r="D43" i="12"/>
  <c r="C43" i="12"/>
  <c r="B43" i="12"/>
  <c r="A43" i="12"/>
  <c r="W42" i="12"/>
  <c r="V42" i="12"/>
  <c r="U42" i="12"/>
  <c r="T42" i="12"/>
  <c r="S42" i="12"/>
  <c r="R42" i="12"/>
  <c r="Q42" i="12"/>
  <c r="P42" i="12"/>
  <c r="O42" i="12"/>
  <c r="N42" i="12"/>
  <c r="M42" i="12"/>
  <c r="L42" i="12"/>
  <c r="K42" i="12"/>
  <c r="I42" i="12"/>
  <c r="H42" i="12"/>
  <c r="E42" i="12"/>
  <c r="D42" i="12"/>
  <c r="C42" i="12"/>
  <c r="B42" i="12"/>
  <c r="A42" i="12"/>
  <c r="W41" i="12"/>
  <c r="V41" i="12"/>
  <c r="U41" i="12"/>
  <c r="T41" i="12"/>
  <c r="S41" i="12"/>
  <c r="R41" i="12"/>
  <c r="Q41" i="12"/>
  <c r="P41" i="12"/>
  <c r="O41" i="12"/>
  <c r="N41" i="12"/>
  <c r="M41" i="12"/>
  <c r="L41" i="12"/>
  <c r="K41" i="12"/>
  <c r="I41" i="12"/>
  <c r="H41" i="12"/>
  <c r="E41" i="12"/>
  <c r="D41" i="12"/>
  <c r="C41" i="12"/>
  <c r="B41" i="12"/>
  <c r="A41" i="12"/>
  <c r="W40" i="12"/>
  <c r="V40" i="12"/>
  <c r="U40" i="12"/>
  <c r="T40" i="12"/>
  <c r="S40" i="12"/>
  <c r="R40" i="12"/>
  <c r="Q40" i="12"/>
  <c r="P40" i="12"/>
  <c r="O40" i="12"/>
  <c r="N40" i="12"/>
  <c r="M40" i="12"/>
  <c r="L40" i="12"/>
  <c r="K40" i="12"/>
  <c r="I40" i="12"/>
  <c r="H40" i="12"/>
  <c r="E40" i="12"/>
  <c r="D40" i="12"/>
  <c r="C40" i="12"/>
  <c r="B40" i="12"/>
  <c r="A40" i="12"/>
  <c r="W39" i="12"/>
  <c r="V39" i="12"/>
  <c r="U39" i="12"/>
  <c r="T39" i="12"/>
  <c r="S39" i="12"/>
  <c r="R39" i="12"/>
  <c r="Q39" i="12"/>
  <c r="P39" i="12"/>
  <c r="O39" i="12"/>
  <c r="N39" i="12"/>
  <c r="M39" i="12"/>
  <c r="L39" i="12"/>
  <c r="K39" i="12"/>
  <c r="I39" i="12"/>
  <c r="H39" i="12"/>
  <c r="E39" i="12"/>
  <c r="D39" i="12"/>
  <c r="C39" i="12"/>
  <c r="B39" i="12"/>
  <c r="A39" i="12"/>
  <c r="W38" i="12"/>
  <c r="V38" i="12"/>
  <c r="U38" i="12"/>
  <c r="T38" i="12"/>
  <c r="S38" i="12"/>
  <c r="R38" i="12"/>
  <c r="Q38" i="12"/>
  <c r="P38" i="12"/>
  <c r="O38" i="12"/>
  <c r="N38" i="12"/>
  <c r="M38" i="12"/>
  <c r="L38" i="12"/>
  <c r="K38" i="12"/>
  <c r="I38" i="12"/>
  <c r="H38" i="12"/>
  <c r="E38" i="12"/>
  <c r="D38" i="12"/>
  <c r="C38" i="12"/>
  <c r="B38" i="12"/>
  <c r="A38" i="12"/>
  <c r="W37" i="12"/>
  <c r="V37" i="12"/>
  <c r="U37" i="12"/>
  <c r="T37" i="12"/>
  <c r="S37" i="12"/>
  <c r="R37" i="12"/>
  <c r="Q37" i="12"/>
  <c r="P37" i="12"/>
  <c r="O37" i="12"/>
  <c r="N37" i="12"/>
  <c r="M37" i="12"/>
  <c r="L37" i="12"/>
  <c r="K37" i="12"/>
  <c r="I37" i="12"/>
  <c r="H37" i="12"/>
  <c r="E37" i="12"/>
  <c r="D37" i="12"/>
  <c r="C37" i="12"/>
  <c r="B37" i="12"/>
  <c r="A37" i="12"/>
  <c r="W36" i="12"/>
  <c r="V36" i="12"/>
  <c r="U36" i="12"/>
  <c r="T36" i="12"/>
  <c r="S36" i="12"/>
  <c r="R36" i="12"/>
  <c r="Q36" i="12"/>
  <c r="P36" i="12"/>
  <c r="O36" i="12"/>
  <c r="N36" i="12"/>
  <c r="M36" i="12"/>
  <c r="L36" i="12"/>
  <c r="K36" i="12"/>
  <c r="I36" i="12"/>
  <c r="H36" i="12"/>
  <c r="E36" i="12"/>
  <c r="D36" i="12"/>
  <c r="C36" i="12"/>
  <c r="B36" i="12"/>
  <c r="A36" i="12"/>
  <c r="W35" i="12"/>
  <c r="V35" i="12"/>
  <c r="U35" i="12"/>
  <c r="T35" i="12"/>
  <c r="S35" i="12"/>
  <c r="R35" i="12"/>
  <c r="Q35" i="12"/>
  <c r="P35" i="12"/>
  <c r="O35" i="12"/>
  <c r="N35" i="12"/>
  <c r="M35" i="12"/>
  <c r="L35" i="12"/>
  <c r="K35" i="12"/>
  <c r="I35" i="12"/>
  <c r="H35" i="12"/>
  <c r="E35" i="12"/>
  <c r="D35" i="12"/>
  <c r="C35" i="12"/>
  <c r="B35" i="12"/>
  <c r="A35" i="12"/>
  <c r="W34" i="12"/>
  <c r="V34" i="12"/>
  <c r="U34" i="12"/>
  <c r="T34" i="12"/>
  <c r="S34" i="12"/>
  <c r="R34" i="12"/>
  <c r="Q34" i="12"/>
  <c r="P34" i="12"/>
  <c r="O34" i="12"/>
  <c r="N34" i="12"/>
  <c r="M34" i="12"/>
  <c r="L34" i="12"/>
  <c r="K34" i="12"/>
  <c r="I34" i="12"/>
  <c r="H34" i="12"/>
  <c r="E34" i="12"/>
  <c r="D34" i="12"/>
  <c r="C34" i="12"/>
  <c r="B34" i="12"/>
  <c r="A34" i="12"/>
  <c r="W33" i="12"/>
  <c r="V33" i="12"/>
  <c r="U33" i="12"/>
  <c r="T33" i="12"/>
  <c r="S33" i="12"/>
  <c r="R33" i="12"/>
  <c r="Q33" i="12"/>
  <c r="P33" i="12"/>
  <c r="O33" i="12"/>
  <c r="N33" i="12"/>
  <c r="M33" i="12"/>
  <c r="L33" i="12"/>
  <c r="K33" i="12"/>
  <c r="I33" i="12"/>
  <c r="H33" i="12"/>
  <c r="E33" i="12"/>
  <c r="D33" i="12"/>
  <c r="C33" i="12"/>
  <c r="B33" i="12"/>
  <c r="A33" i="12"/>
  <c r="W32" i="12"/>
  <c r="V32" i="12"/>
  <c r="U32" i="12"/>
  <c r="T32" i="12"/>
  <c r="S32" i="12"/>
  <c r="R32" i="12"/>
  <c r="Q32" i="12"/>
  <c r="P32" i="12"/>
  <c r="O32" i="12"/>
  <c r="N32" i="12"/>
  <c r="M32" i="12"/>
  <c r="L32" i="12"/>
  <c r="K32" i="12"/>
  <c r="I32" i="12"/>
  <c r="H32" i="12"/>
  <c r="E32" i="12"/>
  <c r="D32" i="12"/>
  <c r="C32" i="12"/>
  <c r="B32" i="12"/>
  <c r="A32" i="12"/>
  <c r="W31" i="12"/>
  <c r="V31" i="12"/>
  <c r="U31" i="12"/>
  <c r="T31" i="12"/>
  <c r="S31" i="12"/>
  <c r="R31" i="12"/>
  <c r="Q31" i="12"/>
  <c r="P31" i="12"/>
  <c r="O31" i="12"/>
  <c r="N31" i="12"/>
  <c r="M31" i="12"/>
  <c r="L31" i="12"/>
  <c r="K31" i="12"/>
  <c r="I31" i="12"/>
  <c r="H31" i="12"/>
  <c r="E31" i="12"/>
  <c r="D31" i="12"/>
  <c r="C31" i="12"/>
  <c r="B31" i="12"/>
  <c r="A31" i="12"/>
  <c r="W30" i="12"/>
  <c r="V30" i="12"/>
  <c r="U30" i="12"/>
  <c r="T30" i="12"/>
  <c r="S30" i="12"/>
  <c r="R30" i="12"/>
  <c r="Q30" i="12"/>
  <c r="P30" i="12"/>
  <c r="O30" i="12"/>
  <c r="N30" i="12"/>
  <c r="M30" i="12"/>
  <c r="L30" i="12"/>
  <c r="K30" i="12"/>
  <c r="I30" i="12"/>
  <c r="H30" i="12"/>
  <c r="E30" i="12"/>
  <c r="D30" i="12"/>
  <c r="C30" i="12"/>
  <c r="B30" i="12"/>
  <c r="A30" i="12"/>
  <c r="W29" i="12"/>
  <c r="V29" i="12"/>
  <c r="U29" i="12"/>
  <c r="T29" i="12"/>
  <c r="S29" i="12"/>
  <c r="R29" i="12"/>
  <c r="Q29" i="12"/>
  <c r="P29" i="12"/>
  <c r="O29" i="12"/>
  <c r="N29" i="12"/>
  <c r="M29" i="12"/>
  <c r="L29" i="12"/>
  <c r="K29" i="12"/>
  <c r="I29" i="12"/>
  <c r="H29" i="12"/>
  <c r="E29" i="12"/>
  <c r="D29" i="12"/>
  <c r="C29" i="12"/>
  <c r="B29" i="12"/>
  <c r="A29" i="12"/>
  <c r="W28" i="12"/>
  <c r="V28" i="12"/>
  <c r="U28" i="12"/>
  <c r="T28" i="12"/>
  <c r="S28" i="12"/>
  <c r="R28" i="12"/>
  <c r="Q28" i="12"/>
  <c r="P28" i="12"/>
  <c r="O28" i="12"/>
  <c r="N28" i="12"/>
  <c r="M28" i="12"/>
  <c r="L28" i="12"/>
  <c r="K28" i="12"/>
  <c r="I28" i="12"/>
  <c r="H28" i="12"/>
  <c r="E28" i="12"/>
  <c r="D28" i="12"/>
  <c r="C28" i="12"/>
  <c r="B28" i="12"/>
  <c r="A28" i="12"/>
  <c r="W27" i="12"/>
  <c r="V27" i="12"/>
  <c r="U27" i="12"/>
  <c r="T27" i="12"/>
  <c r="S27" i="12"/>
  <c r="R27" i="12"/>
  <c r="Q27" i="12"/>
  <c r="P27" i="12"/>
  <c r="O27" i="12"/>
  <c r="N27" i="12"/>
  <c r="M27" i="12"/>
  <c r="L27" i="12"/>
  <c r="K27" i="12"/>
  <c r="I27" i="12"/>
  <c r="H27" i="12"/>
  <c r="E27" i="12"/>
  <c r="D27" i="12"/>
  <c r="C27" i="12"/>
  <c r="B27" i="12"/>
  <c r="A27" i="12"/>
  <c r="W26" i="12"/>
  <c r="V26" i="12"/>
  <c r="U26" i="12"/>
  <c r="T26" i="12"/>
  <c r="S26" i="12"/>
  <c r="R26" i="12"/>
  <c r="Q26" i="12"/>
  <c r="P26" i="12"/>
  <c r="O26" i="12"/>
  <c r="N26" i="12"/>
  <c r="M26" i="12"/>
  <c r="L26" i="12"/>
  <c r="K26" i="12"/>
  <c r="I26" i="12"/>
  <c r="H26" i="12"/>
  <c r="E26" i="12"/>
  <c r="D26" i="12"/>
  <c r="C26" i="12"/>
  <c r="B26" i="12"/>
  <c r="A26" i="12"/>
  <c r="W25" i="12"/>
  <c r="V25" i="12"/>
  <c r="U25" i="12"/>
  <c r="T25" i="12"/>
  <c r="S25" i="12"/>
  <c r="R25" i="12"/>
  <c r="Q25" i="12"/>
  <c r="P25" i="12"/>
  <c r="O25" i="12"/>
  <c r="N25" i="12"/>
  <c r="M25" i="12"/>
  <c r="L25" i="12"/>
  <c r="K25" i="12"/>
  <c r="I25" i="12"/>
  <c r="H25" i="12"/>
  <c r="E25" i="12"/>
  <c r="D25" i="12"/>
  <c r="C25" i="12"/>
  <c r="B25" i="12"/>
  <c r="A25" i="12"/>
  <c r="W24" i="12"/>
  <c r="V24" i="12"/>
  <c r="U24" i="12"/>
  <c r="T24" i="12"/>
  <c r="S24" i="12"/>
  <c r="R24" i="12"/>
  <c r="Q24" i="12"/>
  <c r="P24" i="12"/>
  <c r="O24" i="12"/>
  <c r="N24" i="12"/>
  <c r="M24" i="12"/>
  <c r="L24" i="12"/>
  <c r="K24" i="12"/>
  <c r="I24" i="12"/>
  <c r="H24" i="12"/>
  <c r="E24" i="12"/>
  <c r="D24" i="12"/>
  <c r="C24" i="12"/>
  <c r="B24" i="12"/>
  <c r="A24" i="12"/>
  <c r="W23" i="12"/>
  <c r="V23" i="12"/>
  <c r="U23" i="12"/>
  <c r="T23" i="12"/>
  <c r="S23" i="12"/>
  <c r="R23" i="12"/>
  <c r="Q23" i="12"/>
  <c r="P23" i="12"/>
  <c r="O23" i="12"/>
  <c r="N23" i="12"/>
  <c r="M23" i="12"/>
  <c r="L23" i="12"/>
  <c r="K23" i="12"/>
  <c r="I23" i="12"/>
  <c r="H23" i="12"/>
  <c r="E23" i="12"/>
  <c r="D23" i="12"/>
  <c r="C23" i="12"/>
  <c r="B23" i="12"/>
  <c r="A23" i="12"/>
  <c r="W22" i="12"/>
  <c r="V22" i="12"/>
  <c r="U22" i="12"/>
  <c r="T22" i="12"/>
  <c r="S22" i="12"/>
  <c r="R22" i="12"/>
  <c r="Q22" i="12"/>
  <c r="P22" i="12"/>
  <c r="O22" i="12"/>
  <c r="N22" i="12"/>
  <c r="M22" i="12"/>
  <c r="L22" i="12"/>
  <c r="K22" i="12"/>
  <c r="I22" i="12"/>
  <c r="H22" i="12"/>
  <c r="E22" i="12"/>
  <c r="D22" i="12"/>
  <c r="C22" i="12"/>
  <c r="B22" i="12"/>
  <c r="A22" i="12"/>
  <c r="W21" i="12"/>
  <c r="V21" i="12"/>
  <c r="U21" i="12"/>
  <c r="T21" i="12"/>
  <c r="S21" i="12"/>
  <c r="R21" i="12"/>
  <c r="Q21" i="12"/>
  <c r="P21" i="12"/>
  <c r="O21" i="12"/>
  <c r="N21" i="12"/>
  <c r="M21" i="12"/>
  <c r="L21" i="12"/>
  <c r="K21" i="12"/>
  <c r="I21" i="12"/>
  <c r="H21" i="12"/>
  <c r="E21" i="12"/>
  <c r="D21" i="12"/>
  <c r="C21" i="12"/>
  <c r="B21" i="12"/>
  <c r="A21" i="12"/>
  <c r="W20" i="12"/>
  <c r="V20" i="12"/>
  <c r="U20" i="12"/>
  <c r="T20" i="12"/>
  <c r="S20" i="12"/>
  <c r="R20" i="12"/>
  <c r="Q20" i="12"/>
  <c r="P20" i="12"/>
  <c r="O20" i="12"/>
  <c r="N20" i="12"/>
  <c r="M20" i="12"/>
  <c r="L20" i="12"/>
  <c r="K20" i="12"/>
  <c r="I20" i="12"/>
  <c r="H20" i="12"/>
  <c r="E20" i="12"/>
  <c r="D20" i="12"/>
  <c r="C20" i="12"/>
  <c r="B20" i="12"/>
  <c r="A20" i="12"/>
  <c r="W19" i="12"/>
  <c r="V19" i="12"/>
  <c r="U19" i="12"/>
  <c r="T19" i="12"/>
  <c r="S19" i="12"/>
  <c r="R19" i="12"/>
  <c r="Q19" i="12"/>
  <c r="P19" i="12"/>
  <c r="O19" i="12"/>
  <c r="N19" i="12"/>
  <c r="M19" i="12"/>
  <c r="L19" i="12"/>
  <c r="K19" i="12"/>
  <c r="I19" i="12"/>
  <c r="H19" i="12"/>
  <c r="E19" i="12"/>
  <c r="D19" i="12"/>
  <c r="C19" i="12"/>
  <c r="B19" i="12"/>
  <c r="A19" i="12"/>
  <c r="W18" i="12"/>
  <c r="V18" i="12"/>
  <c r="U18" i="12"/>
  <c r="T18" i="12"/>
  <c r="S18" i="12"/>
  <c r="R18" i="12"/>
  <c r="Q18" i="12"/>
  <c r="P18" i="12"/>
  <c r="O18" i="12"/>
  <c r="N18" i="12"/>
  <c r="M18" i="12"/>
  <c r="L18" i="12"/>
  <c r="K18" i="12"/>
  <c r="I18" i="12"/>
  <c r="H18" i="12"/>
  <c r="E18" i="12"/>
  <c r="D18" i="12"/>
  <c r="C18" i="12"/>
  <c r="B18" i="12"/>
  <c r="A18" i="12"/>
  <c r="W17" i="12"/>
  <c r="V17" i="12"/>
  <c r="U17" i="12"/>
  <c r="T17" i="12"/>
  <c r="S17" i="12"/>
  <c r="R17" i="12"/>
  <c r="Q17" i="12"/>
  <c r="P17" i="12"/>
  <c r="O17" i="12"/>
  <c r="N17" i="12"/>
  <c r="M17" i="12"/>
  <c r="L17" i="12"/>
  <c r="K17" i="12"/>
  <c r="I17" i="12"/>
  <c r="H17" i="12"/>
  <c r="E17" i="12"/>
  <c r="D17" i="12"/>
  <c r="C17" i="12"/>
  <c r="B17" i="12"/>
  <c r="A17" i="12"/>
  <c r="W16" i="12"/>
  <c r="V16" i="12"/>
  <c r="U16" i="12"/>
  <c r="T16" i="12"/>
  <c r="S16" i="12"/>
  <c r="R16" i="12"/>
  <c r="Q16" i="12"/>
  <c r="P16" i="12"/>
  <c r="O16" i="12"/>
  <c r="N16" i="12"/>
  <c r="M16" i="12"/>
  <c r="L16" i="12"/>
  <c r="K16" i="12"/>
  <c r="I16" i="12"/>
  <c r="H16" i="12"/>
  <c r="E16" i="12"/>
  <c r="D16" i="12"/>
  <c r="C16" i="12"/>
  <c r="B16" i="12"/>
  <c r="A16" i="12"/>
  <c r="W15" i="12"/>
  <c r="V15" i="12"/>
  <c r="U15" i="12"/>
  <c r="T15" i="12"/>
  <c r="S15" i="12"/>
  <c r="R15" i="12"/>
  <c r="Q15" i="12"/>
  <c r="P15" i="12"/>
  <c r="O15" i="12"/>
  <c r="N15" i="12"/>
  <c r="M15" i="12"/>
  <c r="L15" i="12"/>
  <c r="K15" i="12"/>
  <c r="I15" i="12"/>
  <c r="H15" i="12"/>
  <c r="E15" i="12"/>
  <c r="D15" i="12"/>
  <c r="C15" i="12"/>
  <c r="B15" i="12"/>
  <c r="A15" i="12"/>
  <c r="W14" i="12"/>
  <c r="V14" i="12"/>
  <c r="U14" i="12"/>
  <c r="T14" i="12"/>
  <c r="S14" i="12"/>
  <c r="R14" i="12"/>
  <c r="Q14" i="12"/>
  <c r="P14" i="12"/>
  <c r="O14" i="12"/>
  <c r="N14" i="12"/>
  <c r="M14" i="12"/>
  <c r="L14" i="12"/>
  <c r="K14" i="12"/>
  <c r="I14" i="12"/>
  <c r="H14" i="12"/>
  <c r="E14" i="12"/>
  <c r="D14" i="12"/>
  <c r="C14" i="12"/>
  <c r="B14" i="12"/>
  <c r="A14" i="12"/>
  <c r="W13" i="12"/>
  <c r="V13" i="12"/>
  <c r="U13" i="12"/>
  <c r="T13" i="12"/>
  <c r="S13" i="12"/>
  <c r="R13" i="12"/>
  <c r="Q13" i="12"/>
  <c r="P13" i="12"/>
  <c r="O13" i="12"/>
  <c r="N13" i="12"/>
  <c r="M13" i="12"/>
  <c r="L13" i="12"/>
  <c r="K13" i="12"/>
  <c r="I13" i="12"/>
  <c r="H13" i="12"/>
  <c r="E13" i="12"/>
  <c r="D13" i="12"/>
  <c r="C13" i="12"/>
  <c r="B13" i="12"/>
  <c r="A13" i="12"/>
  <c r="W12" i="12"/>
  <c r="V12" i="12"/>
  <c r="U12" i="12"/>
  <c r="T12" i="12"/>
  <c r="S12" i="12"/>
  <c r="R12" i="12"/>
  <c r="Q12" i="12"/>
  <c r="P12" i="12"/>
  <c r="O12" i="12"/>
  <c r="N12" i="12"/>
  <c r="M12" i="12"/>
  <c r="L12" i="12"/>
  <c r="K12" i="12"/>
  <c r="I12" i="12"/>
  <c r="H12" i="12"/>
  <c r="E12" i="12"/>
  <c r="D12" i="12"/>
  <c r="C12" i="12"/>
  <c r="B12" i="12"/>
  <c r="A12" i="12"/>
  <c r="W11" i="12"/>
  <c r="V11" i="12"/>
  <c r="U11" i="12"/>
  <c r="T11" i="12"/>
  <c r="S11" i="12"/>
  <c r="R11" i="12"/>
  <c r="Q11" i="12"/>
  <c r="P11" i="12"/>
  <c r="O11" i="12"/>
  <c r="N11" i="12"/>
  <c r="M11" i="12"/>
  <c r="L11" i="12"/>
  <c r="K11" i="12"/>
  <c r="I11" i="12"/>
  <c r="H11" i="12"/>
  <c r="E11" i="12"/>
  <c r="D11" i="12"/>
  <c r="C11" i="12"/>
  <c r="B11" i="12"/>
  <c r="A11" i="12"/>
  <c r="W10" i="12"/>
  <c r="V10" i="12"/>
  <c r="U10" i="12"/>
  <c r="T10" i="12"/>
  <c r="S10" i="12"/>
  <c r="R10" i="12"/>
  <c r="Q10" i="12"/>
  <c r="P10" i="12"/>
  <c r="O10" i="12"/>
  <c r="N10" i="12"/>
  <c r="M10" i="12"/>
  <c r="L10" i="12"/>
  <c r="K10" i="12"/>
  <c r="I10" i="12"/>
  <c r="H10" i="12"/>
  <c r="E10" i="12"/>
  <c r="D10" i="12"/>
  <c r="C10" i="12"/>
  <c r="B10" i="12"/>
  <c r="A10" i="12"/>
  <c r="W9" i="12"/>
  <c r="V9" i="12"/>
  <c r="U9" i="12"/>
  <c r="T9" i="12"/>
  <c r="S9" i="12"/>
  <c r="R9" i="12"/>
  <c r="Q9" i="12"/>
  <c r="P9" i="12"/>
  <c r="O9" i="12"/>
  <c r="N9" i="12"/>
  <c r="M9" i="12"/>
  <c r="L9" i="12"/>
  <c r="K9" i="12"/>
  <c r="I9" i="12"/>
  <c r="H9" i="12"/>
  <c r="E9" i="12"/>
  <c r="D9" i="12"/>
  <c r="C9" i="12"/>
  <c r="B9" i="12"/>
  <c r="A9" i="12"/>
  <c r="W8" i="12"/>
  <c r="V8" i="12"/>
  <c r="U8" i="12"/>
  <c r="T8" i="12"/>
  <c r="S8" i="12"/>
  <c r="R8" i="12"/>
  <c r="Q8" i="12"/>
  <c r="P8" i="12"/>
  <c r="O8" i="12"/>
  <c r="N8" i="12"/>
  <c r="M8" i="12"/>
  <c r="L8" i="12"/>
  <c r="K8" i="12"/>
  <c r="I8" i="12"/>
  <c r="H8" i="12"/>
  <c r="E8" i="12"/>
  <c r="D8" i="12"/>
  <c r="C8" i="12"/>
  <c r="B8" i="12"/>
  <c r="A8" i="12"/>
  <c r="W7" i="12"/>
  <c r="V7" i="12"/>
  <c r="U7" i="12"/>
  <c r="T7" i="12"/>
  <c r="S7" i="12"/>
  <c r="R7" i="12"/>
  <c r="Q7" i="12"/>
  <c r="P7" i="12"/>
  <c r="O7" i="12"/>
  <c r="N7" i="12"/>
  <c r="M7" i="12"/>
  <c r="L7" i="12"/>
  <c r="K7" i="12"/>
  <c r="I7" i="12"/>
  <c r="H7" i="12"/>
  <c r="E7" i="12"/>
  <c r="D7" i="12"/>
  <c r="C7" i="12"/>
  <c r="B7" i="12"/>
  <c r="A7" i="12"/>
  <c r="W6" i="12"/>
  <c r="V6" i="12"/>
  <c r="U6" i="12"/>
  <c r="T6" i="12"/>
  <c r="S6" i="12"/>
  <c r="R6" i="12"/>
  <c r="Q6" i="12"/>
  <c r="P6" i="12"/>
  <c r="O6" i="12"/>
  <c r="N6" i="12"/>
  <c r="M6" i="12"/>
  <c r="L6" i="12"/>
  <c r="K6" i="12"/>
  <c r="I6" i="12"/>
  <c r="H6" i="12"/>
  <c r="E6" i="12"/>
  <c r="D6" i="12"/>
  <c r="C6" i="12"/>
  <c r="B6" i="12"/>
  <c r="A6" i="12"/>
  <c r="W5" i="12"/>
  <c r="V5" i="12"/>
  <c r="U5" i="12"/>
  <c r="T5" i="12"/>
  <c r="S5" i="12"/>
  <c r="R5" i="12"/>
  <c r="Q5" i="12"/>
  <c r="P5" i="12"/>
  <c r="O5" i="12"/>
  <c r="N5" i="12"/>
  <c r="M5" i="12"/>
  <c r="L5" i="12"/>
  <c r="K5" i="12"/>
  <c r="I5" i="12"/>
  <c r="H5" i="12"/>
  <c r="E5" i="12"/>
  <c r="D5" i="12"/>
  <c r="C5" i="12"/>
  <c r="B5" i="12"/>
  <c r="A5" i="12"/>
  <c r="W4" i="12"/>
  <c r="V4" i="12"/>
  <c r="U4" i="12"/>
  <c r="T4" i="12"/>
  <c r="S4" i="12"/>
  <c r="R4" i="12"/>
  <c r="Q4" i="12"/>
  <c r="P4" i="12"/>
  <c r="O4" i="12"/>
  <c r="N4" i="12"/>
  <c r="M4" i="12"/>
  <c r="L4" i="12"/>
  <c r="K4" i="12"/>
  <c r="I4" i="12"/>
  <c r="H4" i="12"/>
  <c r="E4" i="12"/>
  <c r="D4" i="12"/>
  <c r="C4" i="12"/>
  <c r="B4" i="12"/>
  <c r="A4" i="12"/>
  <c r="W3" i="12"/>
  <c r="V3" i="12"/>
  <c r="U3" i="12"/>
  <c r="T3" i="12"/>
  <c r="S3" i="12"/>
  <c r="R3" i="12"/>
  <c r="Q3" i="12"/>
  <c r="P3" i="12"/>
  <c r="O3" i="12"/>
  <c r="N3" i="12"/>
  <c r="M3" i="12"/>
  <c r="L3" i="12"/>
  <c r="K3" i="12"/>
  <c r="I3" i="12"/>
  <c r="H3" i="12"/>
  <c r="E3" i="12"/>
  <c r="D3" i="12"/>
  <c r="C3" i="12"/>
  <c r="B3" i="12"/>
  <c r="A3" i="12"/>
  <c r="W2" i="12"/>
  <c r="V2" i="12"/>
  <c r="U2" i="12"/>
  <c r="T2" i="12"/>
  <c r="S2" i="12"/>
  <c r="R2" i="12"/>
  <c r="Q2" i="12"/>
  <c r="P2" i="12"/>
  <c r="O2" i="12"/>
  <c r="N2" i="12"/>
  <c r="M2" i="12"/>
  <c r="L2" i="12"/>
  <c r="K2" i="12"/>
  <c r="I2" i="12"/>
  <c r="H2" i="12"/>
  <c r="E2" i="12"/>
  <c r="D2" i="12"/>
  <c r="C2" i="12"/>
  <c r="B2" i="12"/>
  <c r="A2" i="12"/>
  <c r="W61" i="13"/>
  <c r="V61" i="13"/>
  <c r="U61" i="13"/>
  <c r="T61" i="13"/>
  <c r="S61" i="13"/>
  <c r="R61" i="13"/>
  <c r="Q61" i="13"/>
  <c r="P61" i="13"/>
  <c r="O61" i="13"/>
  <c r="N61" i="13"/>
  <c r="M61" i="13"/>
  <c r="L61" i="13"/>
  <c r="K61" i="13"/>
  <c r="I61" i="13"/>
  <c r="H61" i="13"/>
  <c r="E61" i="13"/>
  <c r="D61" i="13"/>
  <c r="C61" i="13"/>
  <c r="B61" i="13"/>
  <c r="A61" i="13"/>
  <c r="W60" i="13"/>
  <c r="V60" i="13"/>
  <c r="U60" i="13"/>
  <c r="T60" i="13"/>
  <c r="S60" i="13"/>
  <c r="R60" i="13"/>
  <c r="Q60" i="13"/>
  <c r="P60" i="13"/>
  <c r="O60" i="13"/>
  <c r="N60" i="13"/>
  <c r="M60" i="13"/>
  <c r="L60" i="13"/>
  <c r="K60" i="13"/>
  <c r="I60" i="13"/>
  <c r="H60" i="13"/>
  <c r="E60" i="13"/>
  <c r="D60" i="13"/>
  <c r="C60" i="13"/>
  <c r="B60" i="13"/>
  <c r="A60" i="13"/>
  <c r="W59" i="13"/>
  <c r="V59" i="13"/>
  <c r="U59" i="13"/>
  <c r="T59" i="13"/>
  <c r="S59" i="13"/>
  <c r="R59" i="13"/>
  <c r="Q59" i="13"/>
  <c r="P59" i="13"/>
  <c r="O59" i="13"/>
  <c r="N59" i="13"/>
  <c r="M59" i="13"/>
  <c r="L59" i="13"/>
  <c r="K59" i="13"/>
  <c r="I59" i="13"/>
  <c r="H59" i="13"/>
  <c r="E59" i="13"/>
  <c r="D59" i="13"/>
  <c r="C59" i="13"/>
  <c r="B59" i="13"/>
  <c r="A59" i="13"/>
  <c r="W58" i="13"/>
  <c r="V58" i="13"/>
  <c r="U58" i="13"/>
  <c r="T58" i="13"/>
  <c r="S58" i="13"/>
  <c r="R58" i="13"/>
  <c r="Q58" i="13"/>
  <c r="P58" i="13"/>
  <c r="O58" i="13"/>
  <c r="N58" i="13"/>
  <c r="M58" i="13"/>
  <c r="L58" i="13"/>
  <c r="K58" i="13"/>
  <c r="I58" i="13"/>
  <c r="H58" i="13"/>
  <c r="E58" i="13"/>
  <c r="D58" i="13"/>
  <c r="C58" i="13"/>
  <c r="B58" i="13"/>
  <c r="A58" i="13"/>
  <c r="W57" i="13"/>
  <c r="V57" i="13"/>
  <c r="U57" i="13"/>
  <c r="T57" i="13"/>
  <c r="S57" i="13"/>
  <c r="R57" i="13"/>
  <c r="Q57" i="13"/>
  <c r="P57" i="13"/>
  <c r="O57" i="13"/>
  <c r="N57" i="13"/>
  <c r="M57" i="13"/>
  <c r="L57" i="13"/>
  <c r="K57" i="13"/>
  <c r="I57" i="13"/>
  <c r="H57" i="13"/>
  <c r="E57" i="13"/>
  <c r="D57" i="13"/>
  <c r="C57" i="13"/>
  <c r="B57" i="13"/>
  <c r="A57" i="13"/>
  <c r="W56" i="13"/>
  <c r="V56" i="13"/>
  <c r="U56" i="13"/>
  <c r="T56" i="13"/>
  <c r="S56" i="13"/>
  <c r="R56" i="13"/>
  <c r="Q56" i="13"/>
  <c r="P56" i="13"/>
  <c r="O56" i="13"/>
  <c r="N56" i="13"/>
  <c r="M56" i="13"/>
  <c r="L56" i="13"/>
  <c r="K56" i="13"/>
  <c r="I56" i="13"/>
  <c r="H56" i="13"/>
  <c r="E56" i="13"/>
  <c r="D56" i="13"/>
  <c r="C56" i="13"/>
  <c r="B56" i="13"/>
  <c r="A56" i="13"/>
  <c r="W55" i="13"/>
  <c r="V55" i="13"/>
  <c r="U55" i="13"/>
  <c r="T55" i="13"/>
  <c r="S55" i="13"/>
  <c r="R55" i="13"/>
  <c r="Q55" i="13"/>
  <c r="P55" i="13"/>
  <c r="O55" i="13"/>
  <c r="N55" i="13"/>
  <c r="M55" i="13"/>
  <c r="L55" i="13"/>
  <c r="K55" i="13"/>
  <c r="I55" i="13"/>
  <c r="H55" i="13"/>
  <c r="E55" i="13"/>
  <c r="D55" i="13"/>
  <c r="C55" i="13"/>
  <c r="B55" i="13"/>
  <c r="A55" i="13"/>
  <c r="W54" i="13"/>
  <c r="V54" i="13"/>
  <c r="U54" i="13"/>
  <c r="T54" i="13"/>
  <c r="S54" i="13"/>
  <c r="R54" i="13"/>
  <c r="Q54" i="13"/>
  <c r="P54" i="13"/>
  <c r="O54" i="13"/>
  <c r="N54" i="13"/>
  <c r="M54" i="13"/>
  <c r="L54" i="13"/>
  <c r="K54" i="13"/>
  <c r="I54" i="13"/>
  <c r="H54" i="13"/>
  <c r="E54" i="13"/>
  <c r="D54" i="13"/>
  <c r="C54" i="13"/>
  <c r="B54" i="13"/>
  <c r="A54" i="13"/>
  <c r="W53" i="13"/>
  <c r="V53" i="13"/>
  <c r="U53" i="13"/>
  <c r="T53" i="13"/>
  <c r="S53" i="13"/>
  <c r="R53" i="13"/>
  <c r="Q53" i="13"/>
  <c r="P53" i="13"/>
  <c r="O53" i="13"/>
  <c r="N53" i="13"/>
  <c r="M53" i="13"/>
  <c r="L53" i="13"/>
  <c r="K53" i="13"/>
  <c r="I53" i="13"/>
  <c r="H53" i="13"/>
  <c r="E53" i="13"/>
  <c r="D53" i="13"/>
  <c r="C53" i="13"/>
  <c r="B53" i="13"/>
  <c r="A53" i="13"/>
  <c r="W52" i="13"/>
  <c r="V52" i="13"/>
  <c r="U52" i="13"/>
  <c r="T52" i="13"/>
  <c r="S52" i="13"/>
  <c r="R52" i="13"/>
  <c r="Q52" i="13"/>
  <c r="P52" i="13"/>
  <c r="O52" i="13"/>
  <c r="N52" i="13"/>
  <c r="M52" i="13"/>
  <c r="L52" i="13"/>
  <c r="K52" i="13"/>
  <c r="I52" i="13"/>
  <c r="H52" i="13"/>
  <c r="E52" i="13"/>
  <c r="D52" i="13"/>
  <c r="C52" i="13"/>
  <c r="B52" i="13"/>
  <c r="A52" i="13"/>
  <c r="W51" i="13"/>
  <c r="V51" i="13"/>
  <c r="U51" i="13"/>
  <c r="T51" i="13"/>
  <c r="S51" i="13"/>
  <c r="R51" i="13"/>
  <c r="Q51" i="13"/>
  <c r="P51" i="13"/>
  <c r="O51" i="13"/>
  <c r="N51" i="13"/>
  <c r="M51" i="13"/>
  <c r="L51" i="13"/>
  <c r="K51" i="13"/>
  <c r="I51" i="13"/>
  <c r="H51" i="13"/>
  <c r="E51" i="13"/>
  <c r="D51" i="13"/>
  <c r="C51" i="13"/>
  <c r="B51" i="13"/>
  <c r="A51" i="13"/>
  <c r="W50" i="13"/>
  <c r="V50" i="13"/>
  <c r="U50" i="13"/>
  <c r="T50" i="13"/>
  <c r="S50" i="13"/>
  <c r="R50" i="13"/>
  <c r="Q50" i="13"/>
  <c r="P50" i="13"/>
  <c r="O50" i="13"/>
  <c r="N50" i="13"/>
  <c r="M50" i="13"/>
  <c r="L50" i="13"/>
  <c r="K50" i="13"/>
  <c r="I50" i="13"/>
  <c r="H50" i="13"/>
  <c r="E50" i="13"/>
  <c r="D50" i="13"/>
  <c r="C50" i="13"/>
  <c r="B50" i="13"/>
  <c r="A50" i="13"/>
  <c r="W49" i="13"/>
  <c r="V49" i="13"/>
  <c r="U49" i="13"/>
  <c r="T49" i="13"/>
  <c r="S49" i="13"/>
  <c r="R49" i="13"/>
  <c r="Q49" i="13"/>
  <c r="P49" i="13"/>
  <c r="O49" i="13"/>
  <c r="N49" i="13"/>
  <c r="M49" i="13"/>
  <c r="L49" i="13"/>
  <c r="K49" i="13"/>
  <c r="I49" i="13"/>
  <c r="H49" i="13"/>
  <c r="E49" i="13"/>
  <c r="D49" i="13"/>
  <c r="C49" i="13"/>
  <c r="B49" i="13"/>
  <c r="A49" i="13"/>
  <c r="W48" i="13"/>
  <c r="V48" i="13"/>
  <c r="U48" i="13"/>
  <c r="T48" i="13"/>
  <c r="S48" i="13"/>
  <c r="R48" i="13"/>
  <c r="Q48" i="13"/>
  <c r="P48" i="13"/>
  <c r="O48" i="13"/>
  <c r="N48" i="13"/>
  <c r="M48" i="13"/>
  <c r="L48" i="13"/>
  <c r="K48" i="13"/>
  <c r="I48" i="13"/>
  <c r="H48" i="13"/>
  <c r="E48" i="13"/>
  <c r="D48" i="13"/>
  <c r="C48" i="13"/>
  <c r="B48" i="13"/>
  <c r="A48" i="13"/>
  <c r="W47" i="13"/>
  <c r="V47" i="13"/>
  <c r="U47" i="13"/>
  <c r="T47" i="13"/>
  <c r="S47" i="13"/>
  <c r="R47" i="13"/>
  <c r="Q47" i="13"/>
  <c r="P47" i="13"/>
  <c r="O47" i="13"/>
  <c r="N47" i="13"/>
  <c r="M47" i="13"/>
  <c r="L47" i="13"/>
  <c r="K47" i="13"/>
  <c r="I47" i="13"/>
  <c r="H47" i="13"/>
  <c r="E47" i="13"/>
  <c r="D47" i="13"/>
  <c r="C47" i="13"/>
  <c r="B47" i="13"/>
  <c r="A47" i="13"/>
  <c r="W46" i="13"/>
  <c r="V46" i="13"/>
  <c r="U46" i="13"/>
  <c r="T46" i="13"/>
  <c r="S46" i="13"/>
  <c r="R46" i="13"/>
  <c r="Q46" i="13"/>
  <c r="P46" i="13"/>
  <c r="O46" i="13"/>
  <c r="N46" i="13"/>
  <c r="M46" i="13"/>
  <c r="L46" i="13"/>
  <c r="K46" i="13"/>
  <c r="I46" i="13"/>
  <c r="H46" i="13"/>
  <c r="E46" i="13"/>
  <c r="D46" i="13"/>
  <c r="C46" i="13"/>
  <c r="B46" i="13"/>
  <c r="A46" i="13"/>
  <c r="W45" i="13"/>
  <c r="V45" i="13"/>
  <c r="U45" i="13"/>
  <c r="T45" i="13"/>
  <c r="S45" i="13"/>
  <c r="R45" i="13"/>
  <c r="Q45" i="13"/>
  <c r="P45" i="13"/>
  <c r="O45" i="13"/>
  <c r="N45" i="13"/>
  <c r="M45" i="13"/>
  <c r="L45" i="13"/>
  <c r="K45" i="13"/>
  <c r="I45" i="13"/>
  <c r="H45" i="13"/>
  <c r="E45" i="13"/>
  <c r="D45" i="13"/>
  <c r="C45" i="13"/>
  <c r="B45" i="13"/>
  <c r="A45" i="13"/>
  <c r="W44" i="13"/>
  <c r="V44" i="13"/>
  <c r="U44" i="13"/>
  <c r="T44" i="13"/>
  <c r="S44" i="13"/>
  <c r="R44" i="13"/>
  <c r="Q44" i="13"/>
  <c r="P44" i="13"/>
  <c r="O44" i="13"/>
  <c r="N44" i="13"/>
  <c r="M44" i="13"/>
  <c r="L44" i="13"/>
  <c r="K44" i="13"/>
  <c r="I44" i="13"/>
  <c r="H44" i="13"/>
  <c r="E44" i="13"/>
  <c r="D44" i="13"/>
  <c r="C44" i="13"/>
  <c r="B44" i="13"/>
  <c r="A44" i="13"/>
  <c r="W43" i="13"/>
  <c r="V43" i="13"/>
  <c r="U43" i="13"/>
  <c r="T43" i="13"/>
  <c r="S43" i="13"/>
  <c r="R43" i="13"/>
  <c r="Q43" i="13"/>
  <c r="P43" i="13"/>
  <c r="O43" i="13"/>
  <c r="N43" i="13"/>
  <c r="M43" i="13"/>
  <c r="L43" i="13"/>
  <c r="K43" i="13"/>
  <c r="I43" i="13"/>
  <c r="H43" i="13"/>
  <c r="E43" i="13"/>
  <c r="D43" i="13"/>
  <c r="C43" i="13"/>
  <c r="B43" i="13"/>
  <c r="A43" i="13"/>
  <c r="W42" i="13"/>
  <c r="V42" i="13"/>
  <c r="U42" i="13"/>
  <c r="T42" i="13"/>
  <c r="S42" i="13"/>
  <c r="R42" i="13"/>
  <c r="Q42" i="13"/>
  <c r="P42" i="13"/>
  <c r="O42" i="13"/>
  <c r="N42" i="13"/>
  <c r="M42" i="13"/>
  <c r="L42" i="13"/>
  <c r="K42" i="13"/>
  <c r="I42" i="13"/>
  <c r="H42" i="13"/>
  <c r="E42" i="13"/>
  <c r="D42" i="13"/>
  <c r="C42" i="13"/>
  <c r="B42" i="13"/>
  <c r="A42" i="13"/>
  <c r="W41" i="13"/>
  <c r="V41" i="13"/>
  <c r="U41" i="13"/>
  <c r="T41" i="13"/>
  <c r="S41" i="13"/>
  <c r="R41" i="13"/>
  <c r="Q41" i="13"/>
  <c r="P41" i="13"/>
  <c r="O41" i="13"/>
  <c r="N41" i="13"/>
  <c r="M41" i="13"/>
  <c r="L41" i="13"/>
  <c r="K41" i="13"/>
  <c r="I41" i="13"/>
  <c r="H41" i="13"/>
  <c r="E41" i="13"/>
  <c r="D41" i="13"/>
  <c r="C41" i="13"/>
  <c r="B41" i="13"/>
  <c r="A41" i="13"/>
  <c r="W40" i="13"/>
  <c r="V40" i="13"/>
  <c r="U40" i="13"/>
  <c r="T40" i="13"/>
  <c r="S40" i="13"/>
  <c r="R40" i="13"/>
  <c r="Q40" i="13"/>
  <c r="P40" i="13"/>
  <c r="O40" i="13"/>
  <c r="N40" i="13"/>
  <c r="M40" i="13"/>
  <c r="L40" i="13"/>
  <c r="K40" i="13"/>
  <c r="I40" i="13"/>
  <c r="H40" i="13"/>
  <c r="E40" i="13"/>
  <c r="D40" i="13"/>
  <c r="C40" i="13"/>
  <c r="B40" i="13"/>
  <c r="A40" i="13"/>
  <c r="W39" i="13"/>
  <c r="V39" i="13"/>
  <c r="U39" i="13"/>
  <c r="T39" i="13"/>
  <c r="S39" i="13"/>
  <c r="R39" i="13"/>
  <c r="Q39" i="13"/>
  <c r="P39" i="13"/>
  <c r="O39" i="13"/>
  <c r="N39" i="13"/>
  <c r="M39" i="13"/>
  <c r="L39" i="13"/>
  <c r="K39" i="13"/>
  <c r="I39" i="13"/>
  <c r="H39" i="13"/>
  <c r="E39" i="13"/>
  <c r="D39" i="13"/>
  <c r="C39" i="13"/>
  <c r="B39" i="13"/>
  <c r="A39" i="13"/>
  <c r="W38" i="13"/>
  <c r="V38" i="13"/>
  <c r="U38" i="13"/>
  <c r="T38" i="13"/>
  <c r="S38" i="13"/>
  <c r="R38" i="13"/>
  <c r="Q38" i="13"/>
  <c r="P38" i="13"/>
  <c r="O38" i="13"/>
  <c r="N38" i="13"/>
  <c r="M38" i="13"/>
  <c r="L38" i="13"/>
  <c r="K38" i="13"/>
  <c r="I38" i="13"/>
  <c r="H38" i="13"/>
  <c r="E38" i="13"/>
  <c r="D38" i="13"/>
  <c r="C38" i="13"/>
  <c r="B38" i="13"/>
  <c r="A38" i="13"/>
  <c r="W37" i="13"/>
  <c r="V37" i="13"/>
  <c r="U37" i="13"/>
  <c r="T37" i="13"/>
  <c r="S37" i="13"/>
  <c r="R37" i="13"/>
  <c r="Q37" i="13"/>
  <c r="P37" i="13"/>
  <c r="O37" i="13"/>
  <c r="N37" i="13"/>
  <c r="M37" i="13"/>
  <c r="L37" i="13"/>
  <c r="K37" i="13"/>
  <c r="I37" i="13"/>
  <c r="H37" i="13"/>
  <c r="E37" i="13"/>
  <c r="D37" i="13"/>
  <c r="C37" i="13"/>
  <c r="B37" i="13"/>
  <c r="A37" i="13"/>
  <c r="W36" i="13"/>
  <c r="V36" i="13"/>
  <c r="U36" i="13"/>
  <c r="T36" i="13"/>
  <c r="S36" i="13"/>
  <c r="R36" i="13"/>
  <c r="Q36" i="13"/>
  <c r="P36" i="13"/>
  <c r="O36" i="13"/>
  <c r="N36" i="13"/>
  <c r="M36" i="13"/>
  <c r="L36" i="13"/>
  <c r="K36" i="13"/>
  <c r="I36" i="13"/>
  <c r="H36" i="13"/>
  <c r="E36" i="13"/>
  <c r="D36" i="13"/>
  <c r="C36" i="13"/>
  <c r="B36" i="13"/>
  <c r="A36" i="13"/>
  <c r="W35" i="13"/>
  <c r="V35" i="13"/>
  <c r="U35" i="13"/>
  <c r="T35" i="13"/>
  <c r="S35" i="13"/>
  <c r="R35" i="13"/>
  <c r="Q35" i="13"/>
  <c r="P35" i="13"/>
  <c r="O35" i="13"/>
  <c r="N35" i="13"/>
  <c r="M35" i="13"/>
  <c r="L35" i="13"/>
  <c r="K35" i="13"/>
  <c r="I35" i="13"/>
  <c r="H35" i="13"/>
  <c r="E35" i="13"/>
  <c r="D35" i="13"/>
  <c r="C35" i="13"/>
  <c r="B35" i="13"/>
  <c r="A35" i="13"/>
  <c r="W34" i="13"/>
  <c r="V34" i="13"/>
  <c r="U34" i="13"/>
  <c r="T34" i="13"/>
  <c r="S34" i="13"/>
  <c r="R34" i="13"/>
  <c r="Q34" i="13"/>
  <c r="P34" i="13"/>
  <c r="O34" i="13"/>
  <c r="N34" i="13"/>
  <c r="M34" i="13"/>
  <c r="L34" i="13"/>
  <c r="K34" i="13"/>
  <c r="I34" i="13"/>
  <c r="H34" i="13"/>
  <c r="E34" i="13"/>
  <c r="D34" i="13"/>
  <c r="C34" i="13"/>
  <c r="B34" i="13"/>
  <c r="A34" i="13"/>
  <c r="W33" i="13"/>
  <c r="V33" i="13"/>
  <c r="U33" i="13"/>
  <c r="T33" i="13"/>
  <c r="S33" i="13"/>
  <c r="R33" i="13"/>
  <c r="Q33" i="13"/>
  <c r="P33" i="13"/>
  <c r="O33" i="13"/>
  <c r="N33" i="13"/>
  <c r="M33" i="13"/>
  <c r="L33" i="13"/>
  <c r="K33" i="13"/>
  <c r="I33" i="13"/>
  <c r="H33" i="13"/>
  <c r="E33" i="13"/>
  <c r="D33" i="13"/>
  <c r="C33" i="13"/>
  <c r="B33" i="13"/>
  <c r="A33" i="13"/>
  <c r="W32" i="13"/>
  <c r="V32" i="13"/>
  <c r="U32" i="13"/>
  <c r="T32" i="13"/>
  <c r="S32" i="13"/>
  <c r="R32" i="13"/>
  <c r="Q32" i="13"/>
  <c r="P32" i="13"/>
  <c r="O32" i="13"/>
  <c r="N32" i="13"/>
  <c r="M32" i="13"/>
  <c r="L32" i="13"/>
  <c r="K32" i="13"/>
  <c r="I32" i="13"/>
  <c r="H32" i="13"/>
  <c r="E32" i="13"/>
  <c r="D32" i="13"/>
  <c r="C32" i="13"/>
  <c r="B32" i="13"/>
  <c r="A32" i="13"/>
  <c r="W31" i="13"/>
  <c r="V31" i="13"/>
  <c r="U31" i="13"/>
  <c r="T31" i="13"/>
  <c r="S31" i="13"/>
  <c r="R31" i="13"/>
  <c r="Q31" i="13"/>
  <c r="P31" i="13"/>
  <c r="O31" i="13"/>
  <c r="N31" i="13"/>
  <c r="M31" i="13"/>
  <c r="L31" i="13"/>
  <c r="K31" i="13"/>
  <c r="I31" i="13"/>
  <c r="H31" i="13"/>
  <c r="E31" i="13"/>
  <c r="D31" i="13"/>
  <c r="C31" i="13"/>
  <c r="B31" i="13"/>
  <c r="A31" i="13"/>
  <c r="W30" i="13"/>
  <c r="V30" i="13"/>
  <c r="U30" i="13"/>
  <c r="T30" i="13"/>
  <c r="S30" i="13"/>
  <c r="R30" i="13"/>
  <c r="Q30" i="13"/>
  <c r="P30" i="13"/>
  <c r="O30" i="13"/>
  <c r="N30" i="13"/>
  <c r="M30" i="13"/>
  <c r="L30" i="13"/>
  <c r="K30" i="13"/>
  <c r="I30" i="13"/>
  <c r="H30" i="13"/>
  <c r="E30" i="13"/>
  <c r="D30" i="13"/>
  <c r="C30" i="13"/>
  <c r="B30" i="13"/>
  <c r="A30" i="13"/>
  <c r="W29" i="13"/>
  <c r="V29" i="13"/>
  <c r="U29" i="13"/>
  <c r="T29" i="13"/>
  <c r="S29" i="13"/>
  <c r="R29" i="13"/>
  <c r="Q29" i="13"/>
  <c r="P29" i="13"/>
  <c r="O29" i="13"/>
  <c r="N29" i="13"/>
  <c r="M29" i="13"/>
  <c r="L29" i="13"/>
  <c r="K29" i="13"/>
  <c r="I29" i="13"/>
  <c r="H29" i="13"/>
  <c r="E29" i="13"/>
  <c r="D29" i="13"/>
  <c r="C29" i="13"/>
  <c r="B29" i="13"/>
  <c r="A29" i="13"/>
  <c r="W28" i="13"/>
  <c r="V28" i="13"/>
  <c r="U28" i="13"/>
  <c r="T28" i="13"/>
  <c r="S28" i="13"/>
  <c r="R28" i="13"/>
  <c r="Q28" i="13"/>
  <c r="P28" i="13"/>
  <c r="O28" i="13"/>
  <c r="N28" i="13"/>
  <c r="M28" i="13"/>
  <c r="L28" i="13"/>
  <c r="K28" i="13"/>
  <c r="I28" i="13"/>
  <c r="H28" i="13"/>
  <c r="E28" i="13"/>
  <c r="D28" i="13"/>
  <c r="C28" i="13"/>
  <c r="B28" i="13"/>
  <c r="A28" i="13"/>
  <c r="W27" i="13"/>
  <c r="V27" i="13"/>
  <c r="U27" i="13"/>
  <c r="T27" i="13"/>
  <c r="S27" i="13"/>
  <c r="R27" i="13"/>
  <c r="Q27" i="13"/>
  <c r="P27" i="13"/>
  <c r="O27" i="13"/>
  <c r="N27" i="13"/>
  <c r="M27" i="13"/>
  <c r="L27" i="13"/>
  <c r="K27" i="13"/>
  <c r="I27" i="13"/>
  <c r="H27" i="13"/>
  <c r="E27" i="13"/>
  <c r="D27" i="13"/>
  <c r="C27" i="13"/>
  <c r="B27" i="13"/>
  <c r="A27" i="13"/>
  <c r="W26" i="13"/>
  <c r="V26" i="13"/>
  <c r="U26" i="13"/>
  <c r="T26" i="13"/>
  <c r="S26" i="13"/>
  <c r="R26" i="13"/>
  <c r="Q26" i="13"/>
  <c r="P26" i="13"/>
  <c r="O26" i="13"/>
  <c r="N26" i="13"/>
  <c r="M26" i="13"/>
  <c r="L26" i="13"/>
  <c r="K26" i="13"/>
  <c r="I26" i="13"/>
  <c r="H26" i="13"/>
  <c r="E26" i="13"/>
  <c r="D26" i="13"/>
  <c r="C26" i="13"/>
  <c r="B26" i="13"/>
  <c r="A26" i="13"/>
  <c r="W25" i="13"/>
  <c r="V25" i="13"/>
  <c r="U25" i="13"/>
  <c r="T25" i="13"/>
  <c r="S25" i="13"/>
  <c r="R25" i="13"/>
  <c r="Q25" i="13"/>
  <c r="P25" i="13"/>
  <c r="O25" i="13"/>
  <c r="N25" i="13"/>
  <c r="M25" i="13"/>
  <c r="L25" i="13"/>
  <c r="K25" i="13"/>
  <c r="I25" i="13"/>
  <c r="H25" i="13"/>
  <c r="E25" i="13"/>
  <c r="D25" i="13"/>
  <c r="C25" i="13"/>
  <c r="B25" i="13"/>
  <c r="A25" i="13"/>
  <c r="W24" i="13"/>
  <c r="V24" i="13"/>
  <c r="U24" i="13"/>
  <c r="T24" i="13"/>
  <c r="S24" i="13"/>
  <c r="R24" i="13"/>
  <c r="Q24" i="13"/>
  <c r="P24" i="13"/>
  <c r="O24" i="13"/>
  <c r="N24" i="13"/>
  <c r="M24" i="13"/>
  <c r="L24" i="13"/>
  <c r="K24" i="13"/>
  <c r="I24" i="13"/>
  <c r="H24" i="13"/>
  <c r="E24" i="13"/>
  <c r="D24" i="13"/>
  <c r="C24" i="13"/>
  <c r="B24" i="13"/>
  <c r="A24" i="13"/>
  <c r="W23" i="13"/>
  <c r="V23" i="13"/>
  <c r="U23" i="13"/>
  <c r="T23" i="13"/>
  <c r="S23" i="13"/>
  <c r="R23" i="13"/>
  <c r="Q23" i="13"/>
  <c r="P23" i="13"/>
  <c r="O23" i="13"/>
  <c r="N23" i="13"/>
  <c r="M23" i="13"/>
  <c r="L23" i="13"/>
  <c r="K23" i="13"/>
  <c r="I23" i="13"/>
  <c r="H23" i="13"/>
  <c r="E23" i="13"/>
  <c r="D23" i="13"/>
  <c r="C23" i="13"/>
  <c r="B23" i="13"/>
  <c r="A23" i="13"/>
  <c r="W22" i="13"/>
  <c r="V22" i="13"/>
  <c r="U22" i="13"/>
  <c r="T22" i="13"/>
  <c r="S22" i="13"/>
  <c r="R22" i="13"/>
  <c r="Q22" i="13"/>
  <c r="P22" i="13"/>
  <c r="O22" i="13"/>
  <c r="N22" i="13"/>
  <c r="M22" i="13"/>
  <c r="L22" i="13"/>
  <c r="K22" i="13"/>
  <c r="I22" i="13"/>
  <c r="H22" i="13"/>
  <c r="E22" i="13"/>
  <c r="D22" i="13"/>
  <c r="C22" i="13"/>
  <c r="B22" i="13"/>
  <c r="A22" i="13"/>
  <c r="AI21" i="13"/>
  <c r="AH21" i="13"/>
  <c r="AG21" i="13"/>
  <c r="AF21" i="13"/>
  <c r="AE21" i="13"/>
  <c r="AD21" i="13"/>
  <c r="AC21" i="13"/>
  <c r="AB21" i="13"/>
  <c r="W21" i="13"/>
  <c r="V21" i="13"/>
  <c r="U21" i="13"/>
  <c r="T21" i="13"/>
  <c r="S21" i="13"/>
  <c r="R21" i="13"/>
  <c r="Q21" i="13"/>
  <c r="P21" i="13"/>
  <c r="O21" i="13"/>
  <c r="N21" i="13"/>
  <c r="M21" i="13"/>
  <c r="L21" i="13"/>
  <c r="K21" i="13"/>
  <c r="I21" i="13"/>
  <c r="H21" i="13"/>
  <c r="E21" i="13"/>
  <c r="D21" i="13"/>
  <c r="C21" i="13"/>
  <c r="B21" i="13"/>
  <c r="A21" i="13"/>
  <c r="AI20" i="13"/>
  <c r="AH20" i="13"/>
  <c r="AG20" i="13"/>
  <c r="AF20" i="13"/>
  <c r="AE20" i="13"/>
  <c r="AD20" i="13"/>
  <c r="AC20" i="13"/>
  <c r="AB20" i="13"/>
  <c r="W20" i="13"/>
  <c r="V20" i="13"/>
  <c r="U20" i="13"/>
  <c r="T20" i="13"/>
  <c r="S20" i="13"/>
  <c r="R20" i="13"/>
  <c r="Q20" i="13"/>
  <c r="P20" i="13"/>
  <c r="O20" i="13"/>
  <c r="N20" i="13"/>
  <c r="M20" i="13"/>
  <c r="L20" i="13"/>
  <c r="K20" i="13"/>
  <c r="I20" i="13"/>
  <c r="H20" i="13"/>
  <c r="E20" i="13"/>
  <c r="D20" i="13"/>
  <c r="C20" i="13"/>
  <c r="B20" i="13"/>
  <c r="A20" i="13"/>
  <c r="AI19" i="13"/>
  <c r="AH19" i="13"/>
  <c r="AG19" i="13"/>
  <c r="AF19" i="13"/>
  <c r="AE19" i="13"/>
  <c r="AD19" i="13"/>
  <c r="AC19" i="13"/>
  <c r="AB19" i="13"/>
  <c r="W19" i="13"/>
  <c r="V19" i="13"/>
  <c r="U19" i="13"/>
  <c r="T19" i="13"/>
  <c r="S19" i="13"/>
  <c r="R19" i="13"/>
  <c r="Q19" i="13"/>
  <c r="P19" i="13"/>
  <c r="O19" i="13"/>
  <c r="N19" i="13"/>
  <c r="M19" i="13"/>
  <c r="L19" i="13"/>
  <c r="K19" i="13"/>
  <c r="I19" i="13"/>
  <c r="H19" i="13"/>
  <c r="E19" i="13"/>
  <c r="D19" i="13"/>
  <c r="C19" i="13"/>
  <c r="B19" i="13"/>
  <c r="A19" i="13"/>
  <c r="AI18" i="13"/>
  <c r="AH18" i="13"/>
  <c r="AG18" i="13"/>
  <c r="AF18" i="13"/>
  <c r="AE18" i="13"/>
  <c r="AD18" i="13"/>
  <c r="AC18" i="13"/>
  <c r="AB18" i="13"/>
  <c r="W18" i="13"/>
  <c r="V18" i="13"/>
  <c r="U18" i="13"/>
  <c r="T18" i="13"/>
  <c r="S18" i="13"/>
  <c r="R18" i="13"/>
  <c r="Q18" i="13"/>
  <c r="P18" i="13"/>
  <c r="O18" i="13"/>
  <c r="N18" i="13"/>
  <c r="M18" i="13"/>
  <c r="L18" i="13"/>
  <c r="K18" i="13"/>
  <c r="I18" i="13"/>
  <c r="H18" i="13"/>
  <c r="E18" i="13"/>
  <c r="D18" i="13"/>
  <c r="C18" i="13"/>
  <c r="B18" i="13"/>
  <c r="A18" i="13"/>
  <c r="AI17" i="13"/>
  <c r="AH17" i="13"/>
  <c r="AG17" i="13"/>
  <c r="AF17" i="13"/>
  <c r="AE17" i="13"/>
  <c r="AD17" i="13"/>
  <c r="AC17" i="13"/>
  <c r="AB17" i="13"/>
  <c r="W17" i="13"/>
  <c r="V17" i="13"/>
  <c r="U17" i="13"/>
  <c r="T17" i="13"/>
  <c r="S17" i="13"/>
  <c r="R17" i="13"/>
  <c r="Q17" i="13"/>
  <c r="P17" i="13"/>
  <c r="O17" i="13"/>
  <c r="N17" i="13"/>
  <c r="M17" i="13"/>
  <c r="L17" i="13"/>
  <c r="K17" i="13"/>
  <c r="I17" i="13"/>
  <c r="H17" i="13"/>
  <c r="E17" i="13"/>
  <c r="D17" i="13"/>
  <c r="C17" i="13"/>
  <c r="B17" i="13"/>
  <c r="A17" i="13"/>
  <c r="AI16" i="13"/>
  <c r="AH16" i="13"/>
  <c r="AG16" i="13"/>
  <c r="AF16" i="13"/>
  <c r="AE16" i="13"/>
  <c r="AD16" i="13"/>
  <c r="AC16" i="13"/>
  <c r="AB16" i="13"/>
  <c r="W16" i="13"/>
  <c r="V16" i="13"/>
  <c r="U16" i="13"/>
  <c r="T16" i="13"/>
  <c r="S16" i="13"/>
  <c r="R16" i="13"/>
  <c r="Q16" i="13"/>
  <c r="P16" i="13"/>
  <c r="O16" i="13"/>
  <c r="N16" i="13"/>
  <c r="M16" i="13"/>
  <c r="L16" i="13"/>
  <c r="K16" i="13"/>
  <c r="I16" i="13"/>
  <c r="H16" i="13"/>
  <c r="E16" i="13"/>
  <c r="D16" i="13"/>
  <c r="C16" i="13"/>
  <c r="B16" i="13"/>
  <c r="A16" i="13"/>
  <c r="AI15" i="13"/>
  <c r="AH15" i="13"/>
  <c r="AG15" i="13"/>
  <c r="AF15" i="13"/>
  <c r="AE15" i="13"/>
  <c r="AD15" i="13"/>
  <c r="AC15" i="13"/>
  <c r="AB15" i="13"/>
  <c r="W15" i="13"/>
  <c r="V15" i="13"/>
  <c r="U15" i="13"/>
  <c r="T15" i="13"/>
  <c r="S15" i="13"/>
  <c r="R15" i="13"/>
  <c r="Q15" i="13"/>
  <c r="P15" i="13"/>
  <c r="O15" i="13"/>
  <c r="N15" i="13"/>
  <c r="M15" i="13"/>
  <c r="L15" i="13"/>
  <c r="K15" i="13"/>
  <c r="I15" i="13"/>
  <c r="H15" i="13"/>
  <c r="E15" i="13"/>
  <c r="D15" i="13"/>
  <c r="C15" i="13"/>
  <c r="B15" i="13"/>
  <c r="A15" i="13"/>
  <c r="AI14" i="13"/>
  <c r="AH14" i="13"/>
  <c r="AG14" i="13"/>
  <c r="AF14" i="13"/>
  <c r="AE14" i="13"/>
  <c r="AD14" i="13"/>
  <c r="AC14" i="13"/>
  <c r="AB14" i="13"/>
  <c r="W14" i="13"/>
  <c r="V14" i="13"/>
  <c r="U14" i="13"/>
  <c r="T14" i="13"/>
  <c r="S14" i="13"/>
  <c r="R14" i="13"/>
  <c r="Q14" i="13"/>
  <c r="P14" i="13"/>
  <c r="O14" i="13"/>
  <c r="N14" i="13"/>
  <c r="M14" i="13"/>
  <c r="L14" i="13"/>
  <c r="K14" i="13"/>
  <c r="I14" i="13"/>
  <c r="H14" i="13"/>
  <c r="E14" i="13"/>
  <c r="D14" i="13"/>
  <c r="C14" i="13"/>
  <c r="B14" i="13"/>
  <c r="A14" i="13"/>
  <c r="AI13" i="13"/>
  <c r="AH13" i="13"/>
  <c r="AG13" i="13"/>
  <c r="AF13" i="13"/>
  <c r="AE13" i="13"/>
  <c r="AD13" i="13"/>
  <c r="AC13" i="13"/>
  <c r="AB13" i="13"/>
  <c r="W13" i="13"/>
  <c r="V13" i="13"/>
  <c r="U13" i="13"/>
  <c r="T13" i="13"/>
  <c r="S13" i="13"/>
  <c r="R13" i="13"/>
  <c r="Q13" i="13"/>
  <c r="P13" i="13"/>
  <c r="O13" i="13"/>
  <c r="N13" i="13"/>
  <c r="M13" i="13"/>
  <c r="L13" i="13"/>
  <c r="K13" i="13"/>
  <c r="I13" i="13"/>
  <c r="H13" i="13"/>
  <c r="E13" i="13"/>
  <c r="D13" i="13"/>
  <c r="C13" i="13"/>
  <c r="B13" i="13"/>
  <c r="A13" i="13"/>
  <c r="AI12" i="13"/>
  <c r="AH12" i="13"/>
  <c r="AG12" i="13"/>
  <c r="AF12" i="13"/>
  <c r="AE12" i="13"/>
  <c r="AD12" i="13"/>
  <c r="AC12" i="13"/>
  <c r="AB12" i="13"/>
  <c r="W12" i="13"/>
  <c r="V12" i="13"/>
  <c r="U12" i="13"/>
  <c r="T12" i="13"/>
  <c r="S12" i="13"/>
  <c r="R12" i="13"/>
  <c r="Q12" i="13"/>
  <c r="P12" i="13"/>
  <c r="O12" i="13"/>
  <c r="N12" i="13"/>
  <c r="M12" i="13"/>
  <c r="L12" i="13"/>
  <c r="K12" i="13"/>
  <c r="I12" i="13"/>
  <c r="H12" i="13"/>
  <c r="E12" i="13"/>
  <c r="D12" i="13"/>
  <c r="C12" i="13"/>
  <c r="B12" i="13"/>
  <c r="A12" i="13"/>
  <c r="AI11" i="13"/>
  <c r="AH11" i="13"/>
  <c r="AG11" i="13"/>
  <c r="AF11" i="13"/>
  <c r="AE11" i="13"/>
  <c r="AD11" i="13"/>
  <c r="AC11" i="13"/>
  <c r="AB11" i="13"/>
  <c r="W11" i="13"/>
  <c r="V11" i="13"/>
  <c r="U11" i="13"/>
  <c r="T11" i="13"/>
  <c r="S11" i="13"/>
  <c r="R11" i="13"/>
  <c r="Q11" i="13"/>
  <c r="P11" i="13"/>
  <c r="O11" i="13"/>
  <c r="N11" i="13"/>
  <c r="M11" i="13"/>
  <c r="L11" i="13"/>
  <c r="K11" i="13"/>
  <c r="I11" i="13"/>
  <c r="H11" i="13"/>
  <c r="E11" i="13"/>
  <c r="D11" i="13"/>
  <c r="C11" i="13"/>
  <c r="B11" i="13"/>
  <c r="A11" i="13"/>
  <c r="AI10" i="13"/>
  <c r="AH10" i="13"/>
  <c r="AG10" i="13"/>
  <c r="AF10" i="13"/>
  <c r="AE10" i="13"/>
  <c r="AD10" i="13"/>
  <c r="AC10" i="13"/>
  <c r="AB10" i="13"/>
  <c r="W10" i="13"/>
  <c r="V10" i="13"/>
  <c r="U10" i="13"/>
  <c r="T10" i="13"/>
  <c r="S10" i="13"/>
  <c r="R10" i="13"/>
  <c r="Q10" i="13"/>
  <c r="P10" i="13"/>
  <c r="O10" i="13"/>
  <c r="N10" i="13"/>
  <c r="M10" i="13"/>
  <c r="L10" i="13"/>
  <c r="K10" i="13"/>
  <c r="I10" i="13"/>
  <c r="H10" i="13"/>
  <c r="E10" i="13"/>
  <c r="D10" i="13"/>
  <c r="C10" i="13"/>
  <c r="B10" i="13"/>
  <c r="A10" i="13"/>
  <c r="AI9" i="13"/>
  <c r="AH9" i="13"/>
  <c r="AG9" i="13"/>
  <c r="AF9" i="13"/>
  <c r="AE9" i="13"/>
  <c r="AD9" i="13"/>
  <c r="AC9" i="13"/>
  <c r="AB9" i="13"/>
  <c r="W9" i="13"/>
  <c r="V9" i="13"/>
  <c r="U9" i="13"/>
  <c r="T9" i="13"/>
  <c r="S9" i="13"/>
  <c r="R9" i="13"/>
  <c r="Q9" i="13"/>
  <c r="P9" i="13"/>
  <c r="O9" i="13"/>
  <c r="N9" i="13"/>
  <c r="M9" i="13"/>
  <c r="L9" i="13"/>
  <c r="K9" i="13"/>
  <c r="I9" i="13"/>
  <c r="H9" i="13"/>
  <c r="E9" i="13"/>
  <c r="D9" i="13"/>
  <c r="C9" i="13"/>
  <c r="B9" i="13"/>
  <c r="A9" i="13"/>
  <c r="AI8" i="13"/>
  <c r="AH8" i="13"/>
  <c r="AG8" i="13"/>
  <c r="AF8" i="13"/>
  <c r="AE8" i="13"/>
  <c r="AD8" i="13"/>
  <c r="AC8" i="13"/>
  <c r="AB8" i="13"/>
  <c r="W8" i="13"/>
  <c r="V8" i="13"/>
  <c r="U8" i="13"/>
  <c r="T8" i="13"/>
  <c r="S8" i="13"/>
  <c r="R8" i="13"/>
  <c r="Q8" i="13"/>
  <c r="P8" i="13"/>
  <c r="O8" i="13"/>
  <c r="N8" i="13"/>
  <c r="M8" i="13"/>
  <c r="L8" i="13"/>
  <c r="K8" i="13"/>
  <c r="I8" i="13"/>
  <c r="H8" i="13"/>
  <c r="E8" i="13"/>
  <c r="D8" i="13"/>
  <c r="C8" i="13"/>
  <c r="B8" i="13"/>
  <c r="A8" i="13"/>
  <c r="AI7" i="13"/>
  <c r="AH7" i="13"/>
  <c r="AG7" i="13"/>
  <c r="AF7" i="13"/>
  <c r="AE7" i="13"/>
  <c r="AD7" i="13"/>
  <c r="AC7" i="13"/>
  <c r="AB7" i="13"/>
  <c r="W7" i="13"/>
  <c r="V7" i="13"/>
  <c r="U7" i="13"/>
  <c r="T7" i="13"/>
  <c r="S7" i="13"/>
  <c r="R7" i="13"/>
  <c r="Q7" i="13"/>
  <c r="P7" i="13"/>
  <c r="O7" i="13"/>
  <c r="N7" i="13"/>
  <c r="M7" i="13"/>
  <c r="L7" i="13"/>
  <c r="K7" i="13"/>
  <c r="I7" i="13"/>
  <c r="H7" i="13"/>
  <c r="E7" i="13"/>
  <c r="D7" i="13"/>
  <c r="C7" i="13"/>
  <c r="B7" i="13"/>
  <c r="A7" i="13"/>
  <c r="AI6" i="13"/>
  <c r="AH6" i="13"/>
  <c r="AG6" i="13"/>
  <c r="AF6" i="13"/>
  <c r="AE6" i="13"/>
  <c r="AD6" i="13"/>
  <c r="AC6" i="13"/>
  <c r="AB6" i="13"/>
  <c r="W6" i="13"/>
  <c r="V6" i="13"/>
  <c r="U6" i="13"/>
  <c r="T6" i="13"/>
  <c r="S6" i="13"/>
  <c r="R6" i="13"/>
  <c r="Q6" i="13"/>
  <c r="P6" i="13"/>
  <c r="O6" i="13"/>
  <c r="N6" i="13"/>
  <c r="M6" i="13"/>
  <c r="L6" i="13"/>
  <c r="K6" i="13"/>
  <c r="I6" i="13"/>
  <c r="H6" i="13"/>
  <c r="E6" i="13"/>
  <c r="D6" i="13"/>
  <c r="C6" i="13"/>
  <c r="B6" i="13"/>
  <c r="A6" i="13"/>
  <c r="AI5" i="13"/>
  <c r="AH5" i="13"/>
  <c r="AG5" i="13"/>
  <c r="AF5" i="13"/>
  <c r="AE5" i="13"/>
  <c r="AD5" i="13"/>
  <c r="AC5" i="13"/>
  <c r="AB5" i="13"/>
  <c r="W5" i="13"/>
  <c r="V5" i="13"/>
  <c r="U5" i="13"/>
  <c r="T5" i="13"/>
  <c r="S5" i="13"/>
  <c r="R5" i="13"/>
  <c r="Q5" i="13"/>
  <c r="P5" i="13"/>
  <c r="O5" i="13"/>
  <c r="N5" i="13"/>
  <c r="M5" i="13"/>
  <c r="L5" i="13"/>
  <c r="K5" i="13"/>
  <c r="I5" i="13"/>
  <c r="H5" i="13"/>
  <c r="E5" i="13"/>
  <c r="D5" i="13"/>
  <c r="C5" i="13"/>
  <c r="B5" i="13"/>
  <c r="A5" i="13"/>
  <c r="AI4" i="13"/>
  <c r="AH4" i="13"/>
  <c r="AG4" i="13"/>
  <c r="AF4" i="13"/>
  <c r="AE4" i="13"/>
  <c r="AD4" i="13"/>
  <c r="AC4" i="13"/>
  <c r="AB4" i="13"/>
  <c r="W4" i="13"/>
  <c r="V4" i="13"/>
  <c r="U4" i="13"/>
  <c r="T4" i="13"/>
  <c r="S4" i="13"/>
  <c r="R4" i="13"/>
  <c r="Q4" i="13"/>
  <c r="P4" i="13"/>
  <c r="O4" i="13"/>
  <c r="N4" i="13"/>
  <c r="M4" i="13"/>
  <c r="L4" i="13"/>
  <c r="K4" i="13"/>
  <c r="I4" i="13"/>
  <c r="H4" i="13"/>
  <c r="E4" i="13"/>
  <c r="D4" i="13"/>
  <c r="C4" i="13"/>
  <c r="B4" i="13"/>
  <c r="A4" i="13"/>
  <c r="AI3" i="13"/>
  <c r="AH3" i="13"/>
  <c r="AG3" i="13"/>
  <c r="AF3" i="13"/>
  <c r="AE3" i="13"/>
  <c r="AD3" i="13"/>
  <c r="AC3" i="13"/>
  <c r="AB3" i="13"/>
  <c r="W3" i="13"/>
  <c r="V3" i="13"/>
  <c r="U3" i="13"/>
  <c r="T3" i="13"/>
  <c r="S3" i="13"/>
  <c r="R3" i="13"/>
  <c r="Q3" i="13"/>
  <c r="P3" i="13"/>
  <c r="O3" i="13"/>
  <c r="N3" i="13"/>
  <c r="M3" i="13"/>
  <c r="L3" i="13"/>
  <c r="K3" i="13"/>
  <c r="I3" i="13"/>
  <c r="H3" i="13"/>
  <c r="E3" i="13"/>
  <c r="D3" i="13"/>
  <c r="C3" i="13"/>
  <c r="B3" i="13"/>
  <c r="A3" i="13"/>
  <c r="AI2" i="13"/>
  <c r="AH2" i="13"/>
  <c r="AG2" i="13"/>
  <c r="AF2" i="13"/>
  <c r="AE2" i="13"/>
  <c r="AD2" i="13"/>
  <c r="AC2" i="13"/>
  <c r="AB2" i="13"/>
  <c r="W2" i="13"/>
  <c r="V2" i="13"/>
  <c r="U2" i="13"/>
  <c r="T2" i="13"/>
  <c r="S2" i="13"/>
  <c r="R2" i="13"/>
  <c r="Q2" i="13"/>
  <c r="P2" i="13"/>
  <c r="O2" i="13"/>
  <c r="N2" i="13"/>
  <c r="M2" i="13"/>
  <c r="L2" i="13"/>
  <c r="K2" i="13"/>
  <c r="I2" i="13"/>
  <c r="H2" i="13"/>
  <c r="E2" i="13"/>
  <c r="D2" i="13"/>
  <c r="C2" i="13"/>
  <c r="B2" i="13"/>
  <c r="A2" i="13"/>
  <c r="AI53" i="14"/>
  <c r="AH53" i="14"/>
  <c r="AG53" i="14"/>
  <c r="AF53" i="14"/>
  <c r="AE53" i="14"/>
  <c r="AD53" i="14"/>
  <c r="W53" i="14"/>
  <c r="V53" i="14"/>
  <c r="U53" i="14"/>
  <c r="T53" i="14"/>
  <c r="S53" i="14"/>
  <c r="R53" i="14"/>
  <c r="Q53" i="14"/>
  <c r="P53" i="14"/>
  <c r="O53" i="14"/>
  <c r="N53" i="14"/>
  <c r="M53" i="14"/>
  <c r="L53" i="14"/>
  <c r="K53" i="14"/>
  <c r="I53" i="14"/>
  <c r="H53" i="14"/>
  <c r="E53" i="14"/>
  <c r="D53" i="14"/>
  <c r="C53" i="14"/>
  <c r="B53" i="14"/>
  <c r="A53" i="14"/>
  <c r="AI52" i="14"/>
  <c r="AH52" i="14"/>
  <c r="AG52" i="14"/>
  <c r="AF52" i="14"/>
  <c r="AE52" i="14"/>
  <c r="AD52" i="14"/>
  <c r="W52" i="14"/>
  <c r="V52" i="14"/>
  <c r="U52" i="14"/>
  <c r="T52" i="14"/>
  <c r="S52" i="14"/>
  <c r="R52" i="14"/>
  <c r="Q52" i="14"/>
  <c r="P52" i="14"/>
  <c r="O52" i="14"/>
  <c r="N52" i="14"/>
  <c r="M52" i="14"/>
  <c r="L52" i="14"/>
  <c r="K52" i="14"/>
  <c r="I52" i="14"/>
  <c r="H52" i="14"/>
  <c r="E52" i="14"/>
  <c r="D52" i="14"/>
  <c r="C52" i="14"/>
  <c r="B52" i="14"/>
  <c r="A52" i="14"/>
  <c r="AI51" i="14"/>
  <c r="AH51" i="14"/>
  <c r="AG51" i="14"/>
  <c r="AF51" i="14"/>
  <c r="AE51" i="14"/>
  <c r="AD51" i="14"/>
  <c r="W51" i="14"/>
  <c r="V51" i="14"/>
  <c r="U51" i="14"/>
  <c r="T51" i="14"/>
  <c r="S51" i="14"/>
  <c r="R51" i="14"/>
  <c r="Q51" i="14"/>
  <c r="P51" i="14"/>
  <c r="O51" i="14"/>
  <c r="N51" i="14"/>
  <c r="M51" i="14"/>
  <c r="L51" i="14"/>
  <c r="K51" i="14"/>
  <c r="I51" i="14"/>
  <c r="H51" i="14"/>
  <c r="E51" i="14"/>
  <c r="D51" i="14"/>
  <c r="C51" i="14"/>
  <c r="B51" i="14"/>
  <c r="A51" i="14"/>
  <c r="AI50" i="14"/>
  <c r="AH50" i="14"/>
  <c r="AG50" i="14"/>
  <c r="AF50" i="14"/>
  <c r="AE50" i="14"/>
  <c r="AD50" i="14"/>
  <c r="W50" i="14"/>
  <c r="V50" i="14"/>
  <c r="U50" i="14"/>
  <c r="T50" i="14"/>
  <c r="S50" i="14"/>
  <c r="R50" i="14"/>
  <c r="Q50" i="14"/>
  <c r="P50" i="14"/>
  <c r="O50" i="14"/>
  <c r="N50" i="14"/>
  <c r="M50" i="14"/>
  <c r="L50" i="14"/>
  <c r="K50" i="14"/>
  <c r="I50" i="14"/>
  <c r="H50" i="14"/>
  <c r="E50" i="14"/>
  <c r="D50" i="14"/>
  <c r="C50" i="14"/>
  <c r="B50" i="14"/>
  <c r="A50" i="14"/>
  <c r="AI49" i="14"/>
  <c r="AH49" i="14"/>
  <c r="AG49" i="14"/>
  <c r="AF49" i="14"/>
  <c r="AE49" i="14"/>
  <c r="AD49" i="14"/>
  <c r="W49" i="14"/>
  <c r="V49" i="14"/>
  <c r="U49" i="14"/>
  <c r="T49" i="14"/>
  <c r="S49" i="14"/>
  <c r="R49" i="14"/>
  <c r="Q49" i="14"/>
  <c r="P49" i="14"/>
  <c r="O49" i="14"/>
  <c r="N49" i="14"/>
  <c r="M49" i="14"/>
  <c r="L49" i="14"/>
  <c r="K49" i="14"/>
  <c r="I49" i="14"/>
  <c r="H49" i="14"/>
  <c r="E49" i="14"/>
  <c r="D49" i="14"/>
  <c r="C49" i="14"/>
  <c r="B49" i="14"/>
  <c r="A49" i="14"/>
  <c r="AI48" i="14"/>
  <c r="AH48" i="14"/>
  <c r="AG48" i="14"/>
  <c r="AF48" i="14"/>
  <c r="AE48" i="14"/>
  <c r="AD48" i="14"/>
  <c r="W48" i="14"/>
  <c r="V48" i="14"/>
  <c r="U48" i="14"/>
  <c r="T48" i="14"/>
  <c r="S48" i="14"/>
  <c r="R48" i="14"/>
  <c r="Q48" i="14"/>
  <c r="P48" i="14"/>
  <c r="O48" i="14"/>
  <c r="N48" i="14"/>
  <c r="M48" i="14"/>
  <c r="L48" i="14"/>
  <c r="K48" i="14"/>
  <c r="I48" i="14"/>
  <c r="H48" i="14"/>
  <c r="E48" i="14"/>
  <c r="D48" i="14"/>
  <c r="C48" i="14"/>
  <c r="B48" i="14"/>
  <c r="A48" i="14"/>
  <c r="AI47" i="14"/>
  <c r="AH47" i="14"/>
  <c r="AG47" i="14"/>
  <c r="AF47" i="14"/>
  <c r="AE47" i="14"/>
  <c r="AD47" i="14"/>
  <c r="W47" i="14"/>
  <c r="V47" i="14"/>
  <c r="U47" i="14"/>
  <c r="T47" i="14"/>
  <c r="S47" i="14"/>
  <c r="R47" i="14"/>
  <c r="Q47" i="14"/>
  <c r="P47" i="14"/>
  <c r="O47" i="14"/>
  <c r="N47" i="14"/>
  <c r="M47" i="14"/>
  <c r="L47" i="14"/>
  <c r="K47" i="14"/>
  <c r="I47" i="14"/>
  <c r="H47" i="14"/>
  <c r="E47" i="14"/>
  <c r="D47" i="14"/>
  <c r="C47" i="14"/>
  <c r="B47" i="14"/>
  <c r="A47" i="14"/>
  <c r="AI46" i="14"/>
  <c r="AH46" i="14"/>
  <c r="AG46" i="14"/>
  <c r="AF46" i="14"/>
  <c r="AE46" i="14"/>
  <c r="AD46" i="14"/>
  <c r="W46" i="14"/>
  <c r="V46" i="14"/>
  <c r="U46" i="14"/>
  <c r="T46" i="14"/>
  <c r="S46" i="14"/>
  <c r="R46" i="14"/>
  <c r="Q46" i="14"/>
  <c r="P46" i="14"/>
  <c r="O46" i="14"/>
  <c r="N46" i="14"/>
  <c r="M46" i="14"/>
  <c r="L46" i="14"/>
  <c r="K46" i="14"/>
  <c r="I46" i="14"/>
  <c r="H46" i="14"/>
  <c r="E46" i="14"/>
  <c r="D46" i="14"/>
  <c r="C46" i="14"/>
  <c r="B46" i="14"/>
  <c r="A46" i="14"/>
  <c r="AI45" i="14"/>
  <c r="AH45" i="14"/>
  <c r="AG45" i="14"/>
  <c r="AF45" i="14"/>
  <c r="AE45" i="14"/>
  <c r="AD45" i="14"/>
  <c r="W45" i="14"/>
  <c r="V45" i="14"/>
  <c r="U45" i="14"/>
  <c r="T45" i="14"/>
  <c r="S45" i="14"/>
  <c r="R45" i="14"/>
  <c r="Q45" i="14"/>
  <c r="P45" i="14"/>
  <c r="O45" i="14"/>
  <c r="N45" i="14"/>
  <c r="M45" i="14"/>
  <c r="L45" i="14"/>
  <c r="K45" i="14"/>
  <c r="I45" i="14"/>
  <c r="H45" i="14"/>
  <c r="E45" i="14"/>
  <c r="D45" i="14"/>
  <c r="C45" i="14"/>
  <c r="B45" i="14"/>
  <c r="A45" i="14"/>
  <c r="AI44" i="14"/>
  <c r="AH44" i="14"/>
  <c r="AG44" i="14"/>
  <c r="AF44" i="14"/>
  <c r="AE44" i="14"/>
  <c r="AD44" i="14"/>
  <c r="W44" i="14"/>
  <c r="V44" i="14"/>
  <c r="U44" i="14"/>
  <c r="T44" i="14"/>
  <c r="S44" i="14"/>
  <c r="R44" i="14"/>
  <c r="Q44" i="14"/>
  <c r="P44" i="14"/>
  <c r="O44" i="14"/>
  <c r="N44" i="14"/>
  <c r="M44" i="14"/>
  <c r="L44" i="14"/>
  <c r="K44" i="14"/>
  <c r="I44" i="14"/>
  <c r="H44" i="14"/>
  <c r="E44" i="14"/>
  <c r="D44" i="14"/>
  <c r="C44" i="14"/>
  <c r="B44" i="14"/>
  <c r="A44" i="14"/>
  <c r="AI43" i="14"/>
  <c r="AH43" i="14"/>
  <c r="AG43" i="14"/>
  <c r="AF43" i="14"/>
  <c r="AE43" i="14"/>
  <c r="AD43" i="14"/>
  <c r="W43" i="14"/>
  <c r="V43" i="14"/>
  <c r="U43" i="14"/>
  <c r="T43" i="14"/>
  <c r="S43" i="14"/>
  <c r="R43" i="14"/>
  <c r="Q43" i="14"/>
  <c r="P43" i="14"/>
  <c r="O43" i="14"/>
  <c r="N43" i="14"/>
  <c r="M43" i="14"/>
  <c r="L43" i="14"/>
  <c r="K43" i="14"/>
  <c r="I43" i="14"/>
  <c r="H43" i="14"/>
  <c r="E43" i="14"/>
  <c r="D43" i="14"/>
  <c r="C43" i="14"/>
  <c r="B43" i="14"/>
  <c r="A43" i="14"/>
  <c r="AI42" i="14"/>
  <c r="AH42" i="14"/>
  <c r="AG42" i="14"/>
  <c r="AF42" i="14"/>
  <c r="AE42" i="14"/>
  <c r="AD42" i="14"/>
  <c r="W42" i="14"/>
  <c r="V42" i="14"/>
  <c r="U42" i="14"/>
  <c r="T42" i="14"/>
  <c r="S42" i="14"/>
  <c r="R42" i="14"/>
  <c r="Q42" i="14"/>
  <c r="P42" i="14"/>
  <c r="O42" i="14"/>
  <c r="N42" i="14"/>
  <c r="M42" i="14"/>
  <c r="L42" i="14"/>
  <c r="K42" i="14"/>
  <c r="I42" i="14"/>
  <c r="H42" i="14"/>
  <c r="E42" i="14"/>
  <c r="D42" i="14"/>
  <c r="C42" i="14"/>
  <c r="B42" i="14"/>
  <c r="A42" i="14"/>
  <c r="AI41" i="14"/>
  <c r="AH41" i="14"/>
  <c r="AG41" i="14"/>
  <c r="AF41" i="14"/>
  <c r="AE41" i="14"/>
  <c r="AD41" i="14"/>
  <c r="W41" i="14"/>
  <c r="V41" i="14"/>
  <c r="U41" i="14"/>
  <c r="T41" i="14"/>
  <c r="S41" i="14"/>
  <c r="R41" i="14"/>
  <c r="Q41" i="14"/>
  <c r="P41" i="14"/>
  <c r="O41" i="14"/>
  <c r="N41" i="14"/>
  <c r="M41" i="14"/>
  <c r="L41" i="14"/>
  <c r="K41" i="14"/>
  <c r="I41" i="14"/>
  <c r="H41" i="14"/>
  <c r="E41" i="14"/>
  <c r="D41" i="14"/>
  <c r="C41" i="14"/>
  <c r="B41" i="14"/>
  <c r="A41" i="14"/>
  <c r="AI40" i="14"/>
  <c r="AH40" i="14"/>
  <c r="AG40" i="14"/>
  <c r="AF40" i="14"/>
  <c r="AE40" i="14"/>
  <c r="AD40" i="14"/>
  <c r="W40" i="14"/>
  <c r="V40" i="14"/>
  <c r="U40" i="14"/>
  <c r="T40" i="14"/>
  <c r="S40" i="14"/>
  <c r="R40" i="14"/>
  <c r="Q40" i="14"/>
  <c r="P40" i="14"/>
  <c r="O40" i="14"/>
  <c r="N40" i="14"/>
  <c r="M40" i="14"/>
  <c r="L40" i="14"/>
  <c r="K40" i="14"/>
  <c r="I40" i="14"/>
  <c r="H40" i="14"/>
  <c r="E40" i="14"/>
  <c r="D40" i="14"/>
  <c r="C40" i="14"/>
  <c r="B40" i="14"/>
  <c r="A40" i="14"/>
  <c r="AI39" i="14"/>
  <c r="AH39" i="14"/>
  <c r="AG39" i="14"/>
  <c r="AF39" i="14"/>
  <c r="AE39" i="14"/>
  <c r="AD39" i="14"/>
  <c r="W39" i="14"/>
  <c r="V39" i="14"/>
  <c r="U39" i="14"/>
  <c r="T39" i="14"/>
  <c r="S39" i="14"/>
  <c r="R39" i="14"/>
  <c r="Q39" i="14"/>
  <c r="P39" i="14"/>
  <c r="O39" i="14"/>
  <c r="N39" i="14"/>
  <c r="M39" i="14"/>
  <c r="L39" i="14"/>
  <c r="K39" i="14"/>
  <c r="I39" i="14"/>
  <c r="H39" i="14"/>
  <c r="E39" i="14"/>
  <c r="D39" i="14"/>
  <c r="C39" i="14"/>
  <c r="B39" i="14"/>
  <c r="A39" i="14"/>
  <c r="AI38" i="14"/>
  <c r="AH38" i="14"/>
  <c r="AG38" i="14"/>
  <c r="AF38" i="14"/>
  <c r="AE38" i="14"/>
  <c r="AD38" i="14"/>
  <c r="W38" i="14"/>
  <c r="V38" i="14"/>
  <c r="U38" i="14"/>
  <c r="T38" i="14"/>
  <c r="S38" i="14"/>
  <c r="R38" i="14"/>
  <c r="Q38" i="14"/>
  <c r="P38" i="14"/>
  <c r="O38" i="14"/>
  <c r="N38" i="14"/>
  <c r="M38" i="14"/>
  <c r="L38" i="14"/>
  <c r="K38" i="14"/>
  <c r="I38" i="14"/>
  <c r="H38" i="14"/>
  <c r="E38" i="14"/>
  <c r="D38" i="14"/>
  <c r="C38" i="14"/>
  <c r="B38" i="14"/>
  <c r="A38" i="14"/>
  <c r="AI37" i="14"/>
  <c r="AH37" i="14"/>
  <c r="AG37" i="14"/>
  <c r="AF37" i="14"/>
  <c r="AE37" i="14"/>
  <c r="AD37" i="14"/>
  <c r="W37" i="14"/>
  <c r="V37" i="14"/>
  <c r="U37" i="14"/>
  <c r="T37" i="14"/>
  <c r="S37" i="14"/>
  <c r="R37" i="14"/>
  <c r="Q37" i="14"/>
  <c r="P37" i="14"/>
  <c r="O37" i="14"/>
  <c r="N37" i="14"/>
  <c r="M37" i="14"/>
  <c r="L37" i="14"/>
  <c r="K37" i="14"/>
  <c r="I37" i="14"/>
  <c r="H37" i="14"/>
  <c r="E37" i="14"/>
  <c r="D37" i="14"/>
  <c r="C37" i="14"/>
  <c r="B37" i="14"/>
  <c r="A37" i="14"/>
  <c r="AI36" i="14"/>
  <c r="AH36" i="14"/>
  <c r="AG36" i="14"/>
  <c r="AF36" i="14"/>
  <c r="AE36" i="14"/>
  <c r="AD36" i="14"/>
  <c r="W36" i="14"/>
  <c r="V36" i="14"/>
  <c r="U36" i="14"/>
  <c r="T36" i="14"/>
  <c r="S36" i="14"/>
  <c r="R36" i="14"/>
  <c r="Q36" i="14"/>
  <c r="P36" i="14"/>
  <c r="O36" i="14"/>
  <c r="N36" i="14"/>
  <c r="M36" i="14"/>
  <c r="L36" i="14"/>
  <c r="K36" i="14"/>
  <c r="I36" i="14"/>
  <c r="H36" i="14"/>
  <c r="E36" i="14"/>
  <c r="D36" i="14"/>
  <c r="C36" i="14"/>
  <c r="B36" i="14"/>
  <c r="A36" i="14"/>
  <c r="AI35" i="14"/>
  <c r="AH35" i="14"/>
  <c r="AG35" i="14"/>
  <c r="AF35" i="14"/>
  <c r="AE35" i="14"/>
  <c r="AD35" i="14"/>
  <c r="W35" i="14"/>
  <c r="V35" i="14"/>
  <c r="U35" i="14"/>
  <c r="T35" i="14"/>
  <c r="S35" i="14"/>
  <c r="R35" i="14"/>
  <c r="Q35" i="14"/>
  <c r="P35" i="14"/>
  <c r="O35" i="14"/>
  <c r="N35" i="14"/>
  <c r="M35" i="14"/>
  <c r="L35" i="14"/>
  <c r="K35" i="14"/>
  <c r="I35" i="14"/>
  <c r="H35" i="14"/>
  <c r="E35" i="14"/>
  <c r="D35" i="14"/>
  <c r="C35" i="14"/>
  <c r="B35" i="14"/>
  <c r="A35" i="14"/>
  <c r="AI34" i="14"/>
  <c r="AH34" i="14"/>
  <c r="AG34" i="14"/>
  <c r="AF34" i="14"/>
  <c r="AE34" i="14"/>
  <c r="AD34" i="14"/>
  <c r="W34" i="14"/>
  <c r="V34" i="14"/>
  <c r="U34" i="14"/>
  <c r="T34" i="14"/>
  <c r="S34" i="14"/>
  <c r="R34" i="14"/>
  <c r="Q34" i="14"/>
  <c r="P34" i="14"/>
  <c r="O34" i="14"/>
  <c r="N34" i="14"/>
  <c r="M34" i="14"/>
  <c r="L34" i="14"/>
  <c r="K34" i="14"/>
  <c r="I34" i="14"/>
  <c r="H34" i="14"/>
  <c r="E34" i="14"/>
  <c r="D34" i="14"/>
  <c r="C34" i="14"/>
  <c r="B34" i="14"/>
  <c r="A34" i="14"/>
  <c r="AI33" i="14"/>
  <c r="AH33" i="14"/>
  <c r="AG33" i="14"/>
  <c r="AF33" i="14"/>
  <c r="AE33" i="14"/>
  <c r="AD33" i="14"/>
  <c r="W33" i="14"/>
  <c r="V33" i="14"/>
  <c r="U33" i="14"/>
  <c r="T33" i="14"/>
  <c r="S33" i="14"/>
  <c r="R33" i="14"/>
  <c r="Q33" i="14"/>
  <c r="P33" i="14"/>
  <c r="O33" i="14"/>
  <c r="N33" i="14"/>
  <c r="M33" i="14"/>
  <c r="L33" i="14"/>
  <c r="K33" i="14"/>
  <c r="I33" i="14"/>
  <c r="H33" i="14"/>
  <c r="E33" i="14"/>
  <c r="D33" i="14"/>
  <c r="C33" i="14"/>
  <c r="B33" i="14"/>
  <c r="A33" i="14"/>
  <c r="AI32" i="14"/>
  <c r="AH32" i="14"/>
  <c r="AG32" i="14"/>
  <c r="AF32" i="14"/>
  <c r="AE32" i="14"/>
  <c r="AD32" i="14"/>
  <c r="W32" i="14"/>
  <c r="V32" i="14"/>
  <c r="U32" i="14"/>
  <c r="T32" i="14"/>
  <c r="S32" i="14"/>
  <c r="R32" i="14"/>
  <c r="Q32" i="14"/>
  <c r="P32" i="14"/>
  <c r="O32" i="14"/>
  <c r="N32" i="14"/>
  <c r="M32" i="14"/>
  <c r="L32" i="14"/>
  <c r="K32" i="14"/>
  <c r="I32" i="14"/>
  <c r="H32" i="14"/>
  <c r="E32" i="14"/>
  <c r="D32" i="14"/>
  <c r="C32" i="14"/>
  <c r="B32" i="14"/>
  <c r="A32" i="14"/>
  <c r="AI31" i="14"/>
  <c r="AH31" i="14"/>
  <c r="AG31" i="14"/>
  <c r="AF31" i="14"/>
  <c r="AE31" i="14"/>
  <c r="AD31" i="14"/>
  <c r="W31" i="14"/>
  <c r="V31" i="14"/>
  <c r="U31" i="14"/>
  <c r="T31" i="14"/>
  <c r="S31" i="14"/>
  <c r="R31" i="14"/>
  <c r="Q31" i="14"/>
  <c r="P31" i="14"/>
  <c r="O31" i="14"/>
  <c r="N31" i="14"/>
  <c r="M31" i="14"/>
  <c r="L31" i="14"/>
  <c r="K31" i="14"/>
  <c r="I31" i="14"/>
  <c r="H31" i="14"/>
  <c r="E31" i="14"/>
  <c r="D31" i="14"/>
  <c r="C31" i="14"/>
  <c r="B31" i="14"/>
  <c r="A31" i="14"/>
  <c r="AI30" i="14"/>
  <c r="AH30" i="14"/>
  <c r="AG30" i="14"/>
  <c r="AF30" i="14"/>
  <c r="AE30" i="14"/>
  <c r="AD30" i="14"/>
  <c r="W30" i="14"/>
  <c r="V30" i="14"/>
  <c r="U30" i="14"/>
  <c r="T30" i="14"/>
  <c r="S30" i="14"/>
  <c r="R30" i="14"/>
  <c r="Q30" i="14"/>
  <c r="P30" i="14"/>
  <c r="O30" i="14"/>
  <c r="N30" i="14"/>
  <c r="M30" i="14"/>
  <c r="L30" i="14"/>
  <c r="K30" i="14"/>
  <c r="I30" i="14"/>
  <c r="H30" i="14"/>
  <c r="E30" i="14"/>
  <c r="D30" i="14"/>
  <c r="C30" i="14"/>
  <c r="B30" i="14"/>
  <c r="A30" i="14"/>
  <c r="AI29" i="14"/>
  <c r="AH29" i="14"/>
  <c r="AG29" i="14"/>
  <c r="AF29" i="14"/>
  <c r="AE29" i="14"/>
  <c r="AD29" i="14"/>
  <c r="W29" i="14"/>
  <c r="V29" i="14"/>
  <c r="U29" i="14"/>
  <c r="T29" i="14"/>
  <c r="S29" i="14"/>
  <c r="R29" i="14"/>
  <c r="Q29" i="14"/>
  <c r="P29" i="14"/>
  <c r="O29" i="14"/>
  <c r="N29" i="14"/>
  <c r="M29" i="14"/>
  <c r="L29" i="14"/>
  <c r="K29" i="14"/>
  <c r="I29" i="14"/>
  <c r="H29" i="14"/>
  <c r="E29" i="14"/>
  <c r="D29" i="14"/>
  <c r="C29" i="14"/>
  <c r="B29" i="14"/>
  <c r="A29" i="14"/>
  <c r="AI28" i="14"/>
  <c r="AH28" i="14"/>
  <c r="AG28" i="14"/>
  <c r="AF28" i="14"/>
  <c r="AE28" i="14"/>
  <c r="AD28" i="14"/>
  <c r="W28" i="14"/>
  <c r="V28" i="14"/>
  <c r="U28" i="14"/>
  <c r="T28" i="14"/>
  <c r="S28" i="14"/>
  <c r="R28" i="14"/>
  <c r="Q28" i="14"/>
  <c r="P28" i="14"/>
  <c r="O28" i="14"/>
  <c r="N28" i="14"/>
  <c r="M28" i="14"/>
  <c r="L28" i="14"/>
  <c r="K28" i="14"/>
  <c r="I28" i="14"/>
  <c r="H28" i="14"/>
  <c r="E28" i="14"/>
  <c r="D28" i="14"/>
  <c r="C28" i="14"/>
  <c r="B28" i="14"/>
  <c r="A28" i="14"/>
  <c r="AI27" i="14"/>
  <c r="AH27" i="14"/>
  <c r="AG27" i="14"/>
  <c r="AF27" i="14"/>
  <c r="AE27" i="14"/>
  <c r="AD27" i="14"/>
  <c r="W27" i="14"/>
  <c r="V27" i="14"/>
  <c r="U27" i="14"/>
  <c r="T27" i="14"/>
  <c r="S27" i="14"/>
  <c r="R27" i="14"/>
  <c r="Q27" i="14"/>
  <c r="P27" i="14"/>
  <c r="O27" i="14"/>
  <c r="N27" i="14"/>
  <c r="M27" i="14"/>
  <c r="L27" i="14"/>
  <c r="K27" i="14"/>
  <c r="I27" i="14"/>
  <c r="H27" i="14"/>
  <c r="E27" i="14"/>
  <c r="D27" i="14"/>
  <c r="C27" i="14"/>
  <c r="B27" i="14"/>
  <c r="A27" i="14"/>
  <c r="AI26" i="14"/>
  <c r="AH26" i="14"/>
  <c r="AG26" i="14"/>
  <c r="AF26" i="14"/>
  <c r="AE26" i="14"/>
  <c r="AD26" i="14"/>
  <c r="W26" i="14"/>
  <c r="V26" i="14"/>
  <c r="U26" i="14"/>
  <c r="T26" i="14"/>
  <c r="S26" i="14"/>
  <c r="R26" i="14"/>
  <c r="Q26" i="14"/>
  <c r="P26" i="14"/>
  <c r="O26" i="14"/>
  <c r="N26" i="14"/>
  <c r="M26" i="14"/>
  <c r="L26" i="14"/>
  <c r="K26" i="14"/>
  <c r="I26" i="14"/>
  <c r="H26" i="14"/>
  <c r="E26" i="14"/>
  <c r="D26" i="14"/>
  <c r="C26" i="14"/>
  <c r="B26" i="14"/>
  <c r="A26" i="14"/>
  <c r="AI25" i="14"/>
  <c r="AH25" i="14"/>
  <c r="AG25" i="14"/>
  <c r="AF25" i="14"/>
  <c r="AE25" i="14"/>
  <c r="AD25" i="14"/>
  <c r="W25" i="14"/>
  <c r="V25" i="14"/>
  <c r="U25" i="14"/>
  <c r="T25" i="14"/>
  <c r="S25" i="14"/>
  <c r="R25" i="14"/>
  <c r="Q25" i="14"/>
  <c r="P25" i="14"/>
  <c r="O25" i="14"/>
  <c r="N25" i="14"/>
  <c r="M25" i="14"/>
  <c r="L25" i="14"/>
  <c r="K25" i="14"/>
  <c r="I25" i="14"/>
  <c r="H25" i="14"/>
  <c r="E25" i="14"/>
  <c r="D25" i="14"/>
  <c r="C25" i="14"/>
  <c r="B25" i="14"/>
  <c r="A25" i="14"/>
  <c r="AI24" i="14"/>
  <c r="AH24" i="14"/>
  <c r="AG24" i="14"/>
  <c r="AF24" i="14"/>
  <c r="AE24" i="14"/>
  <c r="AD24" i="14"/>
  <c r="W24" i="14"/>
  <c r="V24" i="14"/>
  <c r="U24" i="14"/>
  <c r="T24" i="14"/>
  <c r="S24" i="14"/>
  <c r="R24" i="14"/>
  <c r="Q24" i="14"/>
  <c r="P24" i="14"/>
  <c r="O24" i="14"/>
  <c r="N24" i="14"/>
  <c r="M24" i="14"/>
  <c r="L24" i="14"/>
  <c r="K24" i="14"/>
  <c r="I24" i="14"/>
  <c r="H24" i="14"/>
  <c r="E24" i="14"/>
  <c r="D24" i="14"/>
  <c r="C24" i="14"/>
  <c r="B24" i="14"/>
  <c r="A24" i="14"/>
  <c r="AI23" i="14"/>
  <c r="AH23" i="14"/>
  <c r="AG23" i="14"/>
  <c r="AF23" i="14"/>
  <c r="AE23" i="14"/>
  <c r="AD23" i="14"/>
  <c r="W23" i="14"/>
  <c r="V23" i="14"/>
  <c r="U23" i="14"/>
  <c r="T23" i="14"/>
  <c r="S23" i="14"/>
  <c r="R23" i="14"/>
  <c r="Q23" i="14"/>
  <c r="P23" i="14"/>
  <c r="O23" i="14"/>
  <c r="N23" i="14"/>
  <c r="M23" i="14"/>
  <c r="L23" i="14"/>
  <c r="K23" i="14"/>
  <c r="I23" i="14"/>
  <c r="H23" i="14"/>
  <c r="E23" i="14"/>
  <c r="D23" i="14"/>
  <c r="C23" i="14"/>
  <c r="B23" i="14"/>
  <c r="A23" i="14"/>
  <c r="AI22" i="14"/>
  <c r="AH22" i="14"/>
  <c r="AG22" i="14"/>
  <c r="AF22" i="14"/>
  <c r="AE22" i="14"/>
  <c r="AD22" i="14"/>
  <c r="W22" i="14"/>
  <c r="V22" i="14"/>
  <c r="U22" i="14"/>
  <c r="T22" i="14"/>
  <c r="S22" i="14"/>
  <c r="R22" i="14"/>
  <c r="Q22" i="14"/>
  <c r="P22" i="14"/>
  <c r="O22" i="14"/>
  <c r="N22" i="14"/>
  <c r="M22" i="14"/>
  <c r="L22" i="14"/>
  <c r="K22" i="14"/>
  <c r="I22" i="14"/>
  <c r="H22" i="14"/>
  <c r="E22" i="14"/>
  <c r="D22" i="14"/>
  <c r="C22" i="14"/>
  <c r="B22" i="14"/>
  <c r="A22" i="14"/>
  <c r="AI21" i="14"/>
  <c r="AH21" i="14"/>
  <c r="AG21" i="14"/>
  <c r="AF21" i="14"/>
  <c r="AE21" i="14"/>
  <c r="AD21" i="14"/>
  <c r="W21" i="14"/>
  <c r="V21" i="14"/>
  <c r="U21" i="14"/>
  <c r="T21" i="14"/>
  <c r="S21" i="14"/>
  <c r="R21" i="14"/>
  <c r="Q21" i="14"/>
  <c r="P21" i="14"/>
  <c r="O21" i="14"/>
  <c r="N21" i="14"/>
  <c r="M21" i="14"/>
  <c r="L21" i="14"/>
  <c r="K21" i="14"/>
  <c r="I21" i="14"/>
  <c r="H21" i="14"/>
  <c r="E21" i="14"/>
  <c r="D21" i="14"/>
  <c r="C21" i="14"/>
  <c r="B21" i="14"/>
  <c r="A21" i="14"/>
  <c r="AI20" i="14"/>
  <c r="AH20" i="14"/>
  <c r="AG20" i="14"/>
  <c r="AF20" i="14"/>
  <c r="AE20" i="14"/>
  <c r="AD20" i="14"/>
  <c r="W20" i="14"/>
  <c r="V20" i="14"/>
  <c r="U20" i="14"/>
  <c r="T20" i="14"/>
  <c r="S20" i="14"/>
  <c r="R20" i="14"/>
  <c r="Q20" i="14"/>
  <c r="P20" i="14"/>
  <c r="O20" i="14"/>
  <c r="N20" i="14"/>
  <c r="M20" i="14"/>
  <c r="L20" i="14"/>
  <c r="K20" i="14"/>
  <c r="I20" i="14"/>
  <c r="H20" i="14"/>
  <c r="E20" i="14"/>
  <c r="D20" i="14"/>
  <c r="C20" i="14"/>
  <c r="B20" i="14"/>
  <c r="A20" i="14"/>
  <c r="AI19" i="14"/>
  <c r="AH19" i="14"/>
  <c r="AG19" i="14"/>
  <c r="AF19" i="14"/>
  <c r="AE19" i="14"/>
  <c r="AD19" i="14"/>
  <c r="W19" i="14"/>
  <c r="V19" i="14"/>
  <c r="U19" i="14"/>
  <c r="T19" i="14"/>
  <c r="S19" i="14"/>
  <c r="R19" i="14"/>
  <c r="Q19" i="14"/>
  <c r="P19" i="14"/>
  <c r="O19" i="14"/>
  <c r="N19" i="14"/>
  <c r="M19" i="14"/>
  <c r="L19" i="14"/>
  <c r="K19" i="14"/>
  <c r="I19" i="14"/>
  <c r="H19" i="14"/>
  <c r="E19" i="14"/>
  <c r="D19" i="14"/>
  <c r="C19" i="14"/>
  <c r="B19" i="14"/>
  <c r="A19" i="14"/>
  <c r="AI18" i="14"/>
  <c r="AH18" i="14"/>
  <c r="AG18" i="14"/>
  <c r="AF18" i="14"/>
  <c r="AE18" i="14"/>
  <c r="AD18" i="14"/>
  <c r="W18" i="14"/>
  <c r="V18" i="14"/>
  <c r="U18" i="14"/>
  <c r="T18" i="14"/>
  <c r="S18" i="14"/>
  <c r="R18" i="14"/>
  <c r="Q18" i="14"/>
  <c r="P18" i="14"/>
  <c r="O18" i="14"/>
  <c r="N18" i="14"/>
  <c r="M18" i="14"/>
  <c r="L18" i="14"/>
  <c r="K18" i="14"/>
  <c r="I18" i="14"/>
  <c r="H18" i="14"/>
  <c r="E18" i="14"/>
  <c r="D18" i="14"/>
  <c r="C18" i="14"/>
  <c r="B18" i="14"/>
  <c r="A18" i="14"/>
  <c r="AI17" i="14"/>
  <c r="AH17" i="14"/>
  <c r="AG17" i="14"/>
  <c r="AF17" i="14"/>
  <c r="AE17" i="14"/>
  <c r="AD17" i="14"/>
  <c r="W17" i="14"/>
  <c r="V17" i="14"/>
  <c r="U17" i="14"/>
  <c r="T17" i="14"/>
  <c r="S17" i="14"/>
  <c r="R17" i="14"/>
  <c r="Q17" i="14"/>
  <c r="P17" i="14"/>
  <c r="O17" i="14"/>
  <c r="N17" i="14"/>
  <c r="M17" i="14"/>
  <c r="L17" i="14"/>
  <c r="K17" i="14"/>
  <c r="I17" i="14"/>
  <c r="H17" i="14"/>
  <c r="E17" i="14"/>
  <c r="D17" i="14"/>
  <c r="C17" i="14"/>
  <c r="B17" i="14"/>
  <c r="A17" i="14"/>
  <c r="AI16" i="14"/>
  <c r="AH16" i="14"/>
  <c r="AG16" i="14"/>
  <c r="AF16" i="14"/>
  <c r="AE16" i="14"/>
  <c r="AD16" i="14"/>
  <c r="W16" i="14"/>
  <c r="V16" i="14"/>
  <c r="U16" i="14"/>
  <c r="T16" i="14"/>
  <c r="S16" i="14"/>
  <c r="R16" i="14"/>
  <c r="Q16" i="14"/>
  <c r="P16" i="14"/>
  <c r="O16" i="14"/>
  <c r="N16" i="14"/>
  <c r="M16" i="14"/>
  <c r="L16" i="14"/>
  <c r="K16" i="14"/>
  <c r="I16" i="14"/>
  <c r="H16" i="14"/>
  <c r="E16" i="14"/>
  <c r="D16" i="14"/>
  <c r="C16" i="14"/>
  <c r="B16" i="14"/>
  <c r="A16" i="14"/>
  <c r="AI15" i="14"/>
  <c r="AH15" i="14"/>
  <c r="AG15" i="14"/>
  <c r="AF15" i="14"/>
  <c r="AE15" i="14"/>
  <c r="AD15" i="14"/>
  <c r="W15" i="14"/>
  <c r="V15" i="14"/>
  <c r="U15" i="14"/>
  <c r="T15" i="14"/>
  <c r="S15" i="14"/>
  <c r="R15" i="14"/>
  <c r="Q15" i="14"/>
  <c r="P15" i="14"/>
  <c r="O15" i="14"/>
  <c r="N15" i="14"/>
  <c r="M15" i="14"/>
  <c r="L15" i="14"/>
  <c r="K15" i="14"/>
  <c r="I15" i="14"/>
  <c r="H15" i="14"/>
  <c r="E15" i="14"/>
  <c r="D15" i="14"/>
  <c r="C15" i="14"/>
  <c r="B15" i="14"/>
  <c r="A15" i="14"/>
  <c r="AI14" i="14"/>
  <c r="AH14" i="14"/>
  <c r="AG14" i="14"/>
  <c r="AF14" i="14"/>
  <c r="AE14" i="14"/>
  <c r="AD14" i="14"/>
  <c r="W14" i="14"/>
  <c r="V14" i="14"/>
  <c r="U14" i="14"/>
  <c r="T14" i="14"/>
  <c r="S14" i="14"/>
  <c r="R14" i="14"/>
  <c r="Q14" i="14"/>
  <c r="P14" i="14"/>
  <c r="O14" i="14"/>
  <c r="N14" i="14"/>
  <c r="M14" i="14"/>
  <c r="L14" i="14"/>
  <c r="K14" i="14"/>
  <c r="I14" i="14"/>
  <c r="H14" i="14"/>
  <c r="E14" i="14"/>
  <c r="D14" i="14"/>
  <c r="C14" i="14"/>
  <c r="B14" i="14"/>
  <c r="A14" i="14"/>
  <c r="AI13" i="14"/>
  <c r="AH13" i="14"/>
  <c r="AG13" i="14"/>
  <c r="AF13" i="14"/>
  <c r="AE13" i="14"/>
  <c r="AD13" i="14"/>
  <c r="W13" i="14"/>
  <c r="V13" i="14"/>
  <c r="U13" i="14"/>
  <c r="T13" i="14"/>
  <c r="S13" i="14"/>
  <c r="R13" i="14"/>
  <c r="Q13" i="14"/>
  <c r="P13" i="14"/>
  <c r="O13" i="14"/>
  <c r="N13" i="14"/>
  <c r="M13" i="14"/>
  <c r="L13" i="14"/>
  <c r="K13" i="14"/>
  <c r="I13" i="14"/>
  <c r="H13" i="14"/>
  <c r="E13" i="14"/>
  <c r="D13" i="14"/>
  <c r="C13" i="14"/>
  <c r="B13" i="14"/>
  <c r="A13" i="14"/>
  <c r="AI12" i="14"/>
  <c r="AH12" i="14"/>
  <c r="AG12" i="14"/>
  <c r="AF12" i="14"/>
  <c r="AE12" i="14"/>
  <c r="AD12" i="14"/>
  <c r="W12" i="14"/>
  <c r="V12" i="14"/>
  <c r="U12" i="14"/>
  <c r="T12" i="14"/>
  <c r="S12" i="14"/>
  <c r="R12" i="14"/>
  <c r="Q12" i="14"/>
  <c r="P12" i="14"/>
  <c r="O12" i="14"/>
  <c r="N12" i="14"/>
  <c r="M12" i="14"/>
  <c r="L12" i="14"/>
  <c r="K12" i="14"/>
  <c r="I12" i="14"/>
  <c r="H12" i="14"/>
  <c r="E12" i="14"/>
  <c r="D12" i="14"/>
  <c r="C12" i="14"/>
  <c r="B12" i="14"/>
  <c r="A12" i="14"/>
  <c r="AI11" i="14"/>
  <c r="AH11" i="14"/>
  <c r="AG11" i="14"/>
  <c r="AF11" i="14"/>
  <c r="AE11" i="14"/>
  <c r="AD11" i="14"/>
  <c r="W11" i="14"/>
  <c r="V11" i="14"/>
  <c r="U11" i="14"/>
  <c r="T11" i="14"/>
  <c r="S11" i="14"/>
  <c r="R11" i="14"/>
  <c r="Q11" i="14"/>
  <c r="P11" i="14"/>
  <c r="O11" i="14"/>
  <c r="N11" i="14"/>
  <c r="M11" i="14"/>
  <c r="L11" i="14"/>
  <c r="K11" i="14"/>
  <c r="I11" i="14"/>
  <c r="H11" i="14"/>
  <c r="E11" i="14"/>
  <c r="D11" i="14"/>
  <c r="C11" i="14"/>
  <c r="B11" i="14"/>
  <c r="A11" i="14"/>
  <c r="AI10" i="14"/>
  <c r="AH10" i="14"/>
  <c r="AG10" i="14"/>
  <c r="AF10" i="14"/>
  <c r="AE10" i="14"/>
  <c r="AD10" i="14"/>
  <c r="W10" i="14"/>
  <c r="V10" i="14"/>
  <c r="U10" i="14"/>
  <c r="T10" i="14"/>
  <c r="S10" i="14"/>
  <c r="R10" i="14"/>
  <c r="Q10" i="14"/>
  <c r="P10" i="14"/>
  <c r="O10" i="14"/>
  <c r="N10" i="14"/>
  <c r="M10" i="14"/>
  <c r="L10" i="14"/>
  <c r="K10" i="14"/>
  <c r="I10" i="14"/>
  <c r="H10" i="14"/>
  <c r="E10" i="14"/>
  <c r="D10" i="14"/>
  <c r="C10" i="14"/>
  <c r="B10" i="14"/>
  <c r="A10" i="14"/>
  <c r="AI9" i="14"/>
  <c r="AH9" i="14"/>
  <c r="AG9" i="14"/>
  <c r="AF9" i="14"/>
  <c r="AE9" i="14"/>
  <c r="AD9" i="14"/>
  <c r="W9" i="14"/>
  <c r="V9" i="14"/>
  <c r="U9" i="14"/>
  <c r="T9" i="14"/>
  <c r="S9" i="14"/>
  <c r="R9" i="14"/>
  <c r="Q9" i="14"/>
  <c r="P9" i="14"/>
  <c r="O9" i="14"/>
  <c r="N9" i="14"/>
  <c r="M9" i="14"/>
  <c r="L9" i="14"/>
  <c r="K9" i="14"/>
  <c r="I9" i="14"/>
  <c r="H9" i="14"/>
  <c r="E9" i="14"/>
  <c r="D9" i="14"/>
  <c r="C9" i="14"/>
  <c r="B9" i="14"/>
  <c r="A9" i="14"/>
  <c r="AI8" i="14"/>
  <c r="AH8" i="14"/>
  <c r="AG8" i="14"/>
  <c r="AF8" i="14"/>
  <c r="AE8" i="14"/>
  <c r="AD8" i="14"/>
  <c r="W8" i="14"/>
  <c r="V8" i="14"/>
  <c r="U8" i="14"/>
  <c r="T8" i="14"/>
  <c r="S8" i="14"/>
  <c r="R8" i="14"/>
  <c r="Q8" i="14"/>
  <c r="P8" i="14"/>
  <c r="O8" i="14"/>
  <c r="N8" i="14"/>
  <c r="M8" i="14"/>
  <c r="L8" i="14"/>
  <c r="K8" i="14"/>
  <c r="I8" i="14"/>
  <c r="H8" i="14"/>
  <c r="E8" i="14"/>
  <c r="D8" i="14"/>
  <c r="C8" i="14"/>
  <c r="B8" i="14"/>
  <c r="A8" i="14"/>
  <c r="AI7" i="14"/>
  <c r="AH7" i="14"/>
  <c r="AG7" i="14"/>
  <c r="AF7" i="14"/>
  <c r="AE7" i="14"/>
  <c r="AD7" i="14"/>
  <c r="W7" i="14"/>
  <c r="V7" i="14"/>
  <c r="U7" i="14"/>
  <c r="T7" i="14"/>
  <c r="S7" i="14"/>
  <c r="R7" i="14"/>
  <c r="Q7" i="14"/>
  <c r="P7" i="14"/>
  <c r="O7" i="14"/>
  <c r="N7" i="14"/>
  <c r="M7" i="14"/>
  <c r="L7" i="14"/>
  <c r="K7" i="14"/>
  <c r="I7" i="14"/>
  <c r="H7" i="14"/>
  <c r="E7" i="14"/>
  <c r="D7" i="14"/>
  <c r="C7" i="14"/>
  <c r="B7" i="14"/>
  <c r="A7" i="14"/>
  <c r="AI6" i="14"/>
  <c r="AH6" i="14"/>
  <c r="AG6" i="14"/>
  <c r="AF6" i="14"/>
  <c r="AE6" i="14"/>
  <c r="AD6" i="14"/>
  <c r="W6" i="14"/>
  <c r="V6" i="14"/>
  <c r="U6" i="14"/>
  <c r="T6" i="14"/>
  <c r="S6" i="14"/>
  <c r="R6" i="14"/>
  <c r="Q6" i="14"/>
  <c r="P6" i="14"/>
  <c r="O6" i="14"/>
  <c r="N6" i="14"/>
  <c r="M6" i="14"/>
  <c r="L6" i="14"/>
  <c r="K6" i="14"/>
  <c r="I6" i="14"/>
  <c r="H6" i="14"/>
  <c r="E6" i="14"/>
  <c r="D6" i="14"/>
  <c r="C6" i="14"/>
  <c r="B6" i="14"/>
  <c r="A6" i="14"/>
  <c r="AI5" i="14"/>
  <c r="AH5" i="14"/>
  <c r="AG5" i="14"/>
  <c r="AF5" i="14"/>
  <c r="AE5" i="14"/>
  <c r="AD5" i="14"/>
  <c r="W5" i="14"/>
  <c r="V5" i="14"/>
  <c r="U5" i="14"/>
  <c r="T5" i="14"/>
  <c r="S5" i="14"/>
  <c r="R5" i="14"/>
  <c r="Q5" i="14"/>
  <c r="P5" i="14"/>
  <c r="O5" i="14"/>
  <c r="N5" i="14"/>
  <c r="M5" i="14"/>
  <c r="L5" i="14"/>
  <c r="K5" i="14"/>
  <c r="I5" i="14"/>
  <c r="H5" i="14"/>
  <c r="E5" i="14"/>
  <c r="D5" i="14"/>
  <c r="C5" i="14"/>
  <c r="B5" i="14"/>
  <c r="A5" i="14"/>
  <c r="AI4" i="14"/>
  <c r="AH4" i="14"/>
  <c r="AG4" i="14"/>
  <c r="AF4" i="14"/>
  <c r="AE4" i="14"/>
  <c r="AD4" i="14"/>
  <c r="W4" i="14"/>
  <c r="V4" i="14"/>
  <c r="U4" i="14"/>
  <c r="T4" i="14"/>
  <c r="S4" i="14"/>
  <c r="R4" i="14"/>
  <c r="Q4" i="14"/>
  <c r="P4" i="14"/>
  <c r="O4" i="14"/>
  <c r="N4" i="14"/>
  <c r="M4" i="14"/>
  <c r="L4" i="14"/>
  <c r="K4" i="14"/>
  <c r="I4" i="14"/>
  <c r="H4" i="14"/>
  <c r="E4" i="14"/>
  <c r="D4" i="14"/>
  <c r="C4" i="14"/>
  <c r="B4" i="14"/>
  <c r="A4" i="14"/>
  <c r="AI3" i="14"/>
  <c r="AH3" i="14"/>
  <c r="AG3" i="14"/>
  <c r="AF3" i="14"/>
  <c r="AE3" i="14"/>
  <c r="AD3" i="14"/>
  <c r="W3" i="14"/>
  <c r="V3" i="14"/>
  <c r="U3" i="14"/>
  <c r="T3" i="14"/>
  <c r="S3" i="14"/>
  <c r="R3" i="14"/>
  <c r="Q3" i="14"/>
  <c r="P3" i="14"/>
  <c r="O3" i="14"/>
  <c r="N3" i="14"/>
  <c r="M3" i="14"/>
  <c r="L3" i="14"/>
  <c r="K3" i="14"/>
  <c r="I3" i="14"/>
  <c r="H3" i="14"/>
  <c r="E3" i="14"/>
  <c r="D3" i="14"/>
  <c r="C3" i="14"/>
  <c r="B3" i="14"/>
  <c r="A3" i="14"/>
  <c r="AI2" i="14"/>
  <c r="AH2" i="14"/>
  <c r="AG2" i="14"/>
  <c r="AF2" i="14"/>
  <c r="AE2" i="14"/>
  <c r="AD2" i="14"/>
  <c r="W2" i="14"/>
  <c r="V2" i="14"/>
  <c r="U2" i="14"/>
  <c r="T2" i="14"/>
  <c r="S2" i="14"/>
  <c r="R2" i="14"/>
  <c r="Q2" i="14"/>
  <c r="P2" i="14"/>
  <c r="O2" i="14"/>
  <c r="N2" i="14"/>
  <c r="M2" i="14"/>
  <c r="L2" i="14"/>
  <c r="K2" i="14"/>
  <c r="I2" i="14"/>
  <c r="H2" i="14"/>
  <c r="E2" i="14"/>
  <c r="D2" i="14"/>
  <c r="C2" i="14"/>
  <c r="B2" i="14"/>
  <c r="A2" i="14"/>
  <c r="AI49" i="15"/>
  <c r="AH49" i="15"/>
  <c r="AG49" i="15"/>
  <c r="AF49" i="15"/>
  <c r="AE49" i="15"/>
  <c r="AD49" i="15"/>
  <c r="W49" i="15"/>
  <c r="V49" i="15"/>
  <c r="U49" i="15"/>
  <c r="T49" i="15"/>
  <c r="S49" i="15"/>
  <c r="R49" i="15"/>
  <c r="Q49" i="15"/>
  <c r="P49" i="15"/>
  <c r="O49" i="15"/>
  <c r="N49" i="15"/>
  <c r="M49" i="15"/>
  <c r="L49" i="15"/>
  <c r="K49" i="15"/>
  <c r="I49" i="15"/>
  <c r="H49" i="15"/>
  <c r="E49" i="15"/>
  <c r="D49" i="15"/>
  <c r="C49" i="15"/>
  <c r="B49" i="15"/>
  <c r="A49" i="15"/>
  <c r="AI48" i="15"/>
  <c r="AH48" i="15"/>
  <c r="AG48" i="15"/>
  <c r="AF48" i="15"/>
  <c r="AE48" i="15"/>
  <c r="AD48" i="15"/>
  <c r="W48" i="15"/>
  <c r="V48" i="15"/>
  <c r="U48" i="15"/>
  <c r="T48" i="15"/>
  <c r="S48" i="15"/>
  <c r="R48" i="15"/>
  <c r="Q48" i="15"/>
  <c r="P48" i="15"/>
  <c r="O48" i="15"/>
  <c r="N48" i="15"/>
  <c r="M48" i="15"/>
  <c r="L48" i="15"/>
  <c r="K48" i="15"/>
  <c r="I48" i="15"/>
  <c r="H48" i="15"/>
  <c r="E48" i="15"/>
  <c r="D48" i="15"/>
  <c r="C48" i="15"/>
  <c r="B48" i="15"/>
  <c r="A48" i="15"/>
  <c r="AI47" i="15"/>
  <c r="AH47" i="15"/>
  <c r="AG47" i="15"/>
  <c r="AF47" i="15"/>
  <c r="AE47" i="15"/>
  <c r="AD47" i="15"/>
  <c r="W47" i="15"/>
  <c r="V47" i="15"/>
  <c r="U47" i="15"/>
  <c r="T47" i="15"/>
  <c r="S47" i="15"/>
  <c r="R47" i="15"/>
  <c r="Q47" i="15"/>
  <c r="P47" i="15"/>
  <c r="O47" i="15"/>
  <c r="N47" i="15"/>
  <c r="M47" i="15"/>
  <c r="L47" i="15"/>
  <c r="K47" i="15"/>
  <c r="I47" i="15"/>
  <c r="H47" i="15"/>
  <c r="E47" i="15"/>
  <c r="D47" i="15"/>
  <c r="C47" i="15"/>
  <c r="B47" i="15"/>
  <c r="A47" i="15"/>
  <c r="AI46" i="15"/>
  <c r="AH46" i="15"/>
  <c r="AG46" i="15"/>
  <c r="AF46" i="15"/>
  <c r="AE46" i="15"/>
  <c r="AD46" i="15"/>
  <c r="W46" i="15"/>
  <c r="V46" i="15"/>
  <c r="U46" i="15"/>
  <c r="T46" i="15"/>
  <c r="S46" i="15"/>
  <c r="R46" i="15"/>
  <c r="Q46" i="15"/>
  <c r="P46" i="15"/>
  <c r="O46" i="15"/>
  <c r="N46" i="15"/>
  <c r="M46" i="15"/>
  <c r="L46" i="15"/>
  <c r="K46" i="15"/>
  <c r="I46" i="15"/>
  <c r="H46" i="15"/>
  <c r="E46" i="15"/>
  <c r="D46" i="15"/>
  <c r="C46" i="15"/>
  <c r="B46" i="15"/>
  <c r="A46" i="15"/>
  <c r="AI45" i="15"/>
  <c r="AH45" i="15"/>
  <c r="AG45" i="15"/>
  <c r="AF45" i="15"/>
  <c r="AE45" i="15"/>
  <c r="AD45" i="15"/>
  <c r="W45" i="15"/>
  <c r="V45" i="15"/>
  <c r="U45" i="15"/>
  <c r="T45" i="15"/>
  <c r="S45" i="15"/>
  <c r="R45" i="15"/>
  <c r="Q45" i="15"/>
  <c r="P45" i="15"/>
  <c r="O45" i="15"/>
  <c r="N45" i="15"/>
  <c r="M45" i="15"/>
  <c r="L45" i="15"/>
  <c r="K45" i="15"/>
  <c r="I45" i="15"/>
  <c r="H45" i="15"/>
  <c r="E45" i="15"/>
  <c r="D45" i="15"/>
  <c r="C45" i="15"/>
  <c r="B45" i="15"/>
  <c r="A45" i="15"/>
  <c r="AI44" i="15"/>
  <c r="AH44" i="15"/>
  <c r="AG44" i="15"/>
  <c r="AF44" i="15"/>
  <c r="AE44" i="15"/>
  <c r="AD44" i="15"/>
  <c r="W44" i="15"/>
  <c r="V44" i="15"/>
  <c r="U44" i="15"/>
  <c r="T44" i="15"/>
  <c r="S44" i="15"/>
  <c r="R44" i="15"/>
  <c r="Q44" i="15"/>
  <c r="P44" i="15"/>
  <c r="O44" i="15"/>
  <c r="N44" i="15"/>
  <c r="M44" i="15"/>
  <c r="L44" i="15"/>
  <c r="K44" i="15"/>
  <c r="I44" i="15"/>
  <c r="H44" i="15"/>
  <c r="E44" i="15"/>
  <c r="D44" i="15"/>
  <c r="C44" i="15"/>
  <c r="B44" i="15"/>
  <c r="A44" i="15"/>
  <c r="AI43" i="15"/>
  <c r="AH43" i="15"/>
  <c r="AG43" i="15"/>
  <c r="AF43" i="15"/>
  <c r="AE43" i="15"/>
  <c r="AD43" i="15"/>
  <c r="W43" i="15"/>
  <c r="V43" i="15"/>
  <c r="U43" i="15"/>
  <c r="T43" i="15"/>
  <c r="S43" i="15"/>
  <c r="R43" i="15"/>
  <c r="Q43" i="15"/>
  <c r="P43" i="15"/>
  <c r="O43" i="15"/>
  <c r="N43" i="15"/>
  <c r="M43" i="15"/>
  <c r="L43" i="15"/>
  <c r="K43" i="15"/>
  <c r="I43" i="15"/>
  <c r="H43" i="15"/>
  <c r="E43" i="15"/>
  <c r="D43" i="15"/>
  <c r="C43" i="15"/>
  <c r="B43" i="15"/>
  <c r="A43" i="15"/>
  <c r="AI42" i="15"/>
  <c r="AH42" i="15"/>
  <c r="AG42" i="15"/>
  <c r="AF42" i="15"/>
  <c r="AE42" i="15"/>
  <c r="AD42" i="15"/>
  <c r="W42" i="15"/>
  <c r="V42" i="15"/>
  <c r="U42" i="15"/>
  <c r="T42" i="15"/>
  <c r="S42" i="15"/>
  <c r="R42" i="15"/>
  <c r="Q42" i="15"/>
  <c r="P42" i="15"/>
  <c r="O42" i="15"/>
  <c r="N42" i="15"/>
  <c r="M42" i="15"/>
  <c r="L42" i="15"/>
  <c r="K42" i="15"/>
  <c r="I42" i="15"/>
  <c r="H42" i="15"/>
  <c r="E42" i="15"/>
  <c r="D42" i="15"/>
  <c r="C42" i="15"/>
  <c r="B42" i="15"/>
  <c r="A42" i="15"/>
  <c r="AI41" i="15"/>
  <c r="AH41" i="15"/>
  <c r="AG41" i="15"/>
  <c r="AF41" i="15"/>
  <c r="AE41" i="15"/>
  <c r="AD41" i="15"/>
  <c r="W41" i="15"/>
  <c r="V41" i="15"/>
  <c r="U41" i="15"/>
  <c r="T41" i="15"/>
  <c r="S41" i="15"/>
  <c r="R41" i="15"/>
  <c r="Q41" i="15"/>
  <c r="P41" i="15"/>
  <c r="O41" i="15"/>
  <c r="N41" i="15"/>
  <c r="M41" i="15"/>
  <c r="L41" i="15"/>
  <c r="K41" i="15"/>
  <c r="I41" i="15"/>
  <c r="H41" i="15"/>
  <c r="E41" i="15"/>
  <c r="D41" i="15"/>
  <c r="C41" i="15"/>
  <c r="B41" i="15"/>
  <c r="A41" i="15"/>
  <c r="AI40" i="15"/>
  <c r="AH40" i="15"/>
  <c r="AG40" i="15"/>
  <c r="AF40" i="15"/>
  <c r="AE40" i="15"/>
  <c r="AD40" i="15"/>
  <c r="W40" i="15"/>
  <c r="V40" i="15"/>
  <c r="U40" i="15"/>
  <c r="T40" i="15"/>
  <c r="S40" i="15"/>
  <c r="R40" i="15"/>
  <c r="Q40" i="15"/>
  <c r="P40" i="15"/>
  <c r="O40" i="15"/>
  <c r="N40" i="15"/>
  <c r="M40" i="15"/>
  <c r="L40" i="15"/>
  <c r="K40" i="15"/>
  <c r="I40" i="15"/>
  <c r="H40" i="15"/>
  <c r="E40" i="15"/>
  <c r="D40" i="15"/>
  <c r="C40" i="15"/>
  <c r="B40" i="15"/>
  <c r="A40" i="15"/>
  <c r="AI39" i="15"/>
  <c r="AH39" i="15"/>
  <c r="AG39" i="15"/>
  <c r="AF39" i="15"/>
  <c r="AE39" i="15"/>
  <c r="AD39" i="15"/>
  <c r="W39" i="15"/>
  <c r="V39" i="15"/>
  <c r="U39" i="15"/>
  <c r="T39" i="15"/>
  <c r="S39" i="15"/>
  <c r="R39" i="15"/>
  <c r="Q39" i="15"/>
  <c r="P39" i="15"/>
  <c r="O39" i="15"/>
  <c r="N39" i="15"/>
  <c r="M39" i="15"/>
  <c r="L39" i="15"/>
  <c r="K39" i="15"/>
  <c r="I39" i="15"/>
  <c r="H39" i="15"/>
  <c r="E39" i="15"/>
  <c r="D39" i="15"/>
  <c r="C39" i="15"/>
  <c r="B39" i="15"/>
  <c r="A39" i="15"/>
  <c r="AI38" i="15"/>
  <c r="AH38" i="15"/>
  <c r="AG38" i="15"/>
  <c r="AF38" i="15"/>
  <c r="AE38" i="15"/>
  <c r="AD38" i="15"/>
  <c r="W38" i="15"/>
  <c r="V38" i="15"/>
  <c r="U38" i="15"/>
  <c r="T38" i="15"/>
  <c r="S38" i="15"/>
  <c r="R38" i="15"/>
  <c r="Q38" i="15"/>
  <c r="P38" i="15"/>
  <c r="O38" i="15"/>
  <c r="N38" i="15"/>
  <c r="M38" i="15"/>
  <c r="L38" i="15"/>
  <c r="K38" i="15"/>
  <c r="I38" i="15"/>
  <c r="H38" i="15"/>
  <c r="E38" i="15"/>
  <c r="D38" i="15"/>
  <c r="C38" i="15"/>
  <c r="B38" i="15"/>
  <c r="A38" i="15"/>
  <c r="AI37" i="15"/>
  <c r="AH37" i="15"/>
  <c r="AG37" i="15"/>
  <c r="AF37" i="15"/>
  <c r="AE37" i="15"/>
  <c r="AD37" i="15"/>
  <c r="W37" i="15"/>
  <c r="V37" i="15"/>
  <c r="U37" i="15"/>
  <c r="T37" i="15"/>
  <c r="S37" i="15"/>
  <c r="R37" i="15"/>
  <c r="Q37" i="15"/>
  <c r="P37" i="15"/>
  <c r="O37" i="15"/>
  <c r="N37" i="15"/>
  <c r="M37" i="15"/>
  <c r="L37" i="15"/>
  <c r="K37" i="15"/>
  <c r="I37" i="15"/>
  <c r="H37" i="15"/>
  <c r="E37" i="15"/>
  <c r="D37" i="15"/>
  <c r="C37" i="15"/>
  <c r="B37" i="15"/>
  <c r="A37" i="15"/>
  <c r="AI36" i="15"/>
  <c r="AH36" i="15"/>
  <c r="AG36" i="15"/>
  <c r="AF36" i="15"/>
  <c r="AE36" i="15"/>
  <c r="AD36" i="15"/>
  <c r="W36" i="15"/>
  <c r="V36" i="15"/>
  <c r="U36" i="15"/>
  <c r="T36" i="15"/>
  <c r="S36" i="15"/>
  <c r="R36" i="15"/>
  <c r="Q36" i="15"/>
  <c r="P36" i="15"/>
  <c r="O36" i="15"/>
  <c r="N36" i="15"/>
  <c r="M36" i="15"/>
  <c r="L36" i="15"/>
  <c r="K36" i="15"/>
  <c r="I36" i="15"/>
  <c r="H36" i="15"/>
  <c r="E36" i="15"/>
  <c r="D36" i="15"/>
  <c r="C36" i="15"/>
  <c r="B36" i="15"/>
  <c r="A36" i="15"/>
  <c r="AI35" i="15"/>
  <c r="AH35" i="15"/>
  <c r="AG35" i="15"/>
  <c r="AF35" i="15"/>
  <c r="AE35" i="15"/>
  <c r="AD35" i="15"/>
  <c r="W35" i="15"/>
  <c r="V35" i="15"/>
  <c r="U35" i="15"/>
  <c r="T35" i="15"/>
  <c r="S35" i="15"/>
  <c r="R35" i="15"/>
  <c r="Q35" i="15"/>
  <c r="P35" i="15"/>
  <c r="O35" i="15"/>
  <c r="N35" i="15"/>
  <c r="M35" i="15"/>
  <c r="L35" i="15"/>
  <c r="K35" i="15"/>
  <c r="I35" i="15"/>
  <c r="H35" i="15"/>
  <c r="E35" i="15"/>
  <c r="D35" i="15"/>
  <c r="C35" i="15"/>
  <c r="B35" i="15"/>
  <c r="A35" i="15"/>
  <c r="AI34" i="15"/>
  <c r="AH34" i="15"/>
  <c r="AG34" i="15"/>
  <c r="AF34" i="15"/>
  <c r="AE34" i="15"/>
  <c r="AD34" i="15"/>
  <c r="W34" i="15"/>
  <c r="V34" i="15"/>
  <c r="U34" i="15"/>
  <c r="T34" i="15"/>
  <c r="S34" i="15"/>
  <c r="R34" i="15"/>
  <c r="Q34" i="15"/>
  <c r="P34" i="15"/>
  <c r="O34" i="15"/>
  <c r="N34" i="15"/>
  <c r="M34" i="15"/>
  <c r="L34" i="15"/>
  <c r="K34" i="15"/>
  <c r="I34" i="15"/>
  <c r="H34" i="15"/>
  <c r="E34" i="15"/>
  <c r="D34" i="15"/>
  <c r="C34" i="15"/>
  <c r="B34" i="15"/>
  <c r="A34" i="15"/>
  <c r="AI33" i="15"/>
  <c r="AH33" i="15"/>
  <c r="AG33" i="15"/>
  <c r="AF33" i="15"/>
  <c r="AE33" i="15"/>
  <c r="AD33" i="15"/>
  <c r="W33" i="15"/>
  <c r="V33" i="15"/>
  <c r="U33" i="15"/>
  <c r="T33" i="15"/>
  <c r="S33" i="15"/>
  <c r="R33" i="15"/>
  <c r="Q33" i="15"/>
  <c r="P33" i="15"/>
  <c r="O33" i="15"/>
  <c r="N33" i="15"/>
  <c r="M33" i="15"/>
  <c r="L33" i="15"/>
  <c r="K33" i="15"/>
  <c r="I33" i="15"/>
  <c r="H33" i="15"/>
  <c r="E33" i="15"/>
  <c r="D33" i="15"/>
  <c r="C33" i="15"/>
  <c r="B33" i="15"/>
  <c r="A33" i="15"/>
  <c r="AI32" i="15"/>
  <c r="AH32" i="15"/>
  <c r="AG32" i="15"/>
  <c r="AF32" i="15"/>
  <c r="AE32" i="15"/>
  <c r="AD32" i="15"/>
  <c r="W32" i="15"/>
  <c r="V32" i="15"/>
  <c r="U32" i="15"/>
  <c r="T32" i="15"/>
  <c r="S32" i="15"/>
  <c r="R32" i="15"/>
  <c r="Q32" i="15"/>
  <c r="P32" i="15"/>
  <c r="O32" i="15"/>
  <c r="N32" i="15"/>
  <c r="M32" i="15"/>
  <c r="L32" i="15"/>
  <c r="K32" i="15"/>
  <c r="I32" i="15"/>
  <c r="H32" i="15"/>
  <c r="E32" i="15"/>
  <c r="D32" i="15"/>
  <c r="C32" i="15"/>
  <c r="B32" i="15"/>
  <c r="A32" i="15"/>
  <c r="AI31" i="15"/>
  <c r="AH31" i="15"/>
  <c r="AG31" i="15"/>
  <c r="AF31" i="15"/>
  <c r="AE31" i="15"/>
  <c r="AD31" i="15"/>
  <c r="W31" i="15"/>
  <c r="V31" i="15"/>
  <c r="U31" i="15"/>
  <c r="T31" i="15"/>
  <c r="S31" i="15"/>
  <c r="R31" i="15"/>
  <c r="Q31" i="15"/>
  <c r="P31" i="15"/>
  <c r="O31" i="15"/>
  <c r="N31" i="15"/>
  <c r="M31" i="15"/>
  <c r="L31" i="15"/>
  <c r="K31" i="15"/>
  <c r="I31" i="15"/>
  <c r="H31" i="15"/>
  <c r="E31" i="15"/>
  <c r="D31" i="15"/>
  <c r="C31" i="15"/>
  <c r="B31" i="15"/>
  <c r="A31" i="15"/>
  <c r="AI30" i="15"/>
  <c r="AH30" i="15"/>
  <c r="AG30" i="15"/>
  <c r="AF30" i="15"/>
  <c r="AE30" i="15"/>
  <c r="AD30" i="15"/>
  <c r="W30" i="15"/>
  <c r="V30" i="15"/>
  <c r="U30" i="15"/>
  <c r="T30" i="15"/>
  <c r="S30" i="15"/>
  <c r="R30" i="15"/>
  <c r="Q30" i="15"/>
  <c r="P30" i="15"/>
  <c r="O30" i="15"/>
  <c r="N30" i="15"/>
  <c r="M30" i="15"/>
  <c r="L30" i="15"/>
  <c r="K30" i="15"/>
  <c r="I30" i="15"/>
  <c r="H30" i="15"/>
  <c r="E30" i="15"/>
  <c r="D30" i="15"/>
  <c r="C30" i="15"/>
  <c r="B30" i="15"/>
  <c r="A30" i="15"/>
  <c r="AI29" i="15"/>
  <c r="AH29" i="15"/>
  <c r="AG29" i="15"/>
  <c r="AF29" i="15"/>
  <c r="AE29" i="15"/>
  <c r="AD29" i="15"/>
  <c r="W29" i="15"/>
  <c r="V29" i="15"/>
  <c r="U29" i="15"/>
  <c r="T29" i="15"/>
  <c r="S29" i="15"/>
  <c r="R29" i="15"/>
  <c r="Q29" i="15"/>
  <c r="P29" i="15"/>
  <c r="O29" i="15"/>
  <c r="N29" i="15"/>
  <c r="M29" i="15"/>
  <c r="L29" i="15"/>
  <c r="K29" i="15"/>
  <c r="I29" i="15"/>
  <c r="H29" i="15"/>
  <c r="E29" i="15"/>
  <c r="D29" i="15"/>
  <c r="C29" i="15"/>
  <c r="B29" i="15"/>
  <c r="A29" i="15"/>
  <c r="AI28" i="15"/>
  <c r="AH28" i="15"/>
  <c r="AG28" i="15"/>
  <c r="AF28" i="15"/>
  <c r="AE28" i="15"/>
  <c r="AD28" i="15"/>
  <c r="W28" i="15"/>
  <c r="V28" i="15"/>
  <c r="U28" i="15"/>
  <c r="T28" i="15"/>
  <c r="S28" i="15"/>
  <c r="R28" i="15"/>
  <c r="Q28" i="15"/>
  <c r="P28" i="15"/>
  <c r="O28" i="15"/>
  <c r="N28" i="15"/>
  <c r="M28" i="15"/>
  <c r="L28" i="15"/>
  <c r="K28" i="15"/>
  <c r="I28" i="15"/>
  <c r="H28" i="15"/>
  <c r="E28" i="15"/>
  <c r="D28" i="15"/>
  <c r="C28" i="15"/>
  <c r="B28" i="15"/>
  <c r="A28" i="15"/>
  <c r="AI27" i="15"/>
  <c r="AH27" i="15"/>
  <c r="AG27" i="15"/>
  <c r="AF27" i="15"/>
  <c r="AE27" i="15"/>
  <c r="AD27" i="15"/>
  <c r="W27" i="15"/>
  <c r="V27" i="15"/>
  <c r="U27" i="15"/>
  <c r="T27" i="15"/>
  <c r="S27" i="15"/>
  <c r="R27" i="15"/>
  <c r="Q27" i="15"/>
  <c r="P27" i="15"/>
  <c r="O27" i="15"/>
  <c r="N27" i="15"/>
  <c r="M27" i="15"/>
  <c r="L27" i="15"/>
  <c r="K27" i="15"/>
  <c r="I27" i="15"/>
  <c r="H27" i="15"/>
  <c r="E27" i="15"/>
  <c r="D27" i="15"/>
  <c r="C27" i="15"/>
  <c r="B27" i="15"/>
  <c r="A27" i="15"/>
  <c r="AI26" i="15"/>
  <c r="AH26" i="15"/>
  <c r="AG26" i="15"/>
  <c r="AF26" i="15"/>
  <c r="AE26" i="15"/>
  <c r="AD26" i="15"/>
  <c r="W26" i="15"/>
  <c r="V26" i="15"/>
  <c r="U26" i="15"/>
  <c r="T26" i="15"/>
  <c r="S26" i="15"/>
  <c r="R26" i="15"/>
  <c r="Q26" i="15"/>
  <c r="P26" i="15"/>
  <c r="O26" i="15"/>
  <c r="N26" i="15"/>
  <c r="M26" i="15"/>
  <c r="L26" i="15"/>
  <c r="K26" i="15"/>
  <c r="I26" i="15"/>
  <c r="H26" i="15"/>
  <c r="E26" i="15"/>
  <c r="D26" i="15"/>
  <c r="C26" i="15"/>
  <c r="B26" i="15"/>
  <c r="A26" i="15"/>
  <c r="AI25" i="15"/>
  <c r="AH25" i="15"/>
  <c r="AG25" i="15"/>
  <c r="AF25" i="15"/>
  <c r="AE25" i="15"/>
  <c r="AD25" i="15"/>
  <c r="W25" i="15"/>
  <c r="V25" i="15"/>
  <c r="U25" i="15"/>
  <c r="T25" i="15"/>
  <c r="S25" i="15"/>
  <c r="R25" i="15"/>
  <c r="Q25" i="15"/>
  <c r="P25" i="15"/>
  <c r="O25" i="15"/>
  <c r="N25" i="15"/>
  <c r="M25" i="15"/>
  <c r="L25" i="15"/>
  <c r="K25" i="15"/>
  <c r="I25" i="15"/>
  <c r="H25" i="15"/>
  <c r="E25" i="15"/>
  <c r="D25" i="15"/>
  <c r="C25" i="15"/>
  <c r="B25" i="15"/>
  <c r="A25" i="15"/>
  <c r="AI24" i="15"/>
  <c r="AH24" i="15"/>
  <c r="AG24" i="15"/>
  <c r="AF24" i="15"/>
  <c r="AE24" i="15"/>
  <c r="AD24" i="15"/>
  <c r="W24" i="15"/>
  <c r="V24" i="15"/>
  <c r="U24" i="15"/>
  <c r="T24" i="15"/>
  <c r="S24" i="15"/>
  <c r="R24" i="15"/>
  <c r="Q24" i="15"/>
  <c r="P24" i="15"/>
  <c r="O24" i="15"/>
  <c r="N24" i="15"/>
  <c r="M24" i="15"/>
  <c r="L24" i="15"/>
  <c r="K24" i="15"/>
  <c r="I24" i="15"/>
  <c r="H24" i="15"/>
  <c r="E24" i="15"/>
  <c r="D24" i="15"/>
  <c r="C24" i="15"/>
  <c r="B24" i="15"/>
  <c r="A24" i="15"/>
  <c r="AI23" i="15"/>
  <c r="AH23" i="15"/>
  <c r="AG23" i="15"/>
  <c r="AF23" i="15"/>
  <c r="AE23" i="15"/>
  <c r="AD23" i="15"/>
  <c r="W23" i="15"/>
  <c r="V23" i="15"/>
  <c r="U23" i="15"/>
  <c r="T23" i="15"/>
  <c r="S23" i="15"/>
  <c r="R23" i="15"/>
  <c r="Q23" i="15"/>
  <c r="P23" i="15"/>
  <c r="O23" i="15"/>
  <c r="N23" i="15"/>
  <c r="M23" i="15"/>
  <c r="L23" i="15"/>
  <c r="K23" i="15"/>
  <c r="I23" i="15"/>
  <c r="H23" i="15"/>
  <c r="E23" i="15"/>
  <c r="D23" i="15"/>
  <c r="C23" i="15"/>
  <c r="B23" i="15"/>
  <c r="A23" i="15"/>
  <c r="AI22" i="15"/>
  <c r="AH22" i="15"/>
  <c r="AG22" i="15"/>
  <c r="AF22" i="15"/>
  <c r="AE22" i="15"/>
  <c r="AD22" i="15"/>
  <c r="W22" i="15"/>
  <c r="V22" i="15"/>
  <c r="U22" i="15"/>
  <c r="T22" i="15"/>
  <c r="S22" i="15"/>
  <c r="R22" i="15"/>
  <c r="Q22" i="15"/>
  <c r="P22" i="15"/>
  <c r="O22" i="15"/>
  <c r="N22" i="15"/>
  <c r="M22" i="15"/>
  <c r="L22" i="15"/>
  <c r="K22" i="15"/>
  <c r="I22" i="15"/>
  <c r="H22" i="15"/>
  <c r="E22" i="15"/>
  <c r="D22" i="15"/>
  <c r="C22" i="15"/>
  <c r="B22" i="15"/>
  <c r="A22" i="15"/>
  <c r="AI21" i="15"/>
  <c r="AH21" i="15"/>
  <c r="AG21" i="15"/>
  <c r="AF21" i="15"/>
  <c r="AE21" i="15"/>
  <c r="AD21" i="15"/>
  <c r="W21" i="15"/>
  <c r="V21" i="15"/>
  <c r="U21" i="15"/>
  <c r="T21" i="15"/>
  <c r="S21" i="15"/>
  <c r="R21" i="15"/>
  <c r="Q21" i="15"/>
  <c r="P21" i="15"/>
  <c r="O21" i="15"/>
  <c r="N21" i="15"/>
  <c r="M21" i="15"/>
  <c r="L21" i="15"/>
  <c r="K21" i="15"/>
  <c r="I21" i="15"/>
  <c r="H21" i="15"/>
  <c r="E21" i="15"/>
  <c r="D21" i="15"/>
  <c r="C21" i="15"/>
  <c r="B21" i="15"/>
  <c r="A21" i="15"/>
  <c r="AI20" i="15"/>
  <c r="AH20" i="15"/>
  <c r="AG20" i="15"/>
  <c r="AF20" i="15"/>
  <c r="AE20" i="15"/>
  <c r="AD20" i="15"/>
  <c r="W20" i="15"/>
  <c r="V20" i="15"/>
  <c r="U20" i="15"/>
  <c r="T20" i="15"/>
  <c r="S20" i="15"/>
  <c r="R20" i="15"/>
  <c r="Q20" i="15"/>
  <c r="P20" i="15"/>
  <c r="O20" i="15"/>
  <c r="N20" i="15"/>
  <c r="M20" i="15"/>
  <c r="L20" i="15"/>
  <c r="K20" i="15"/>
  <c r="I20" i="15"/>
  <c r="H20" i="15"/>
  <c r="E20" i="15"/>
  <c r="D20" i="15"/>
  <c r="C20" i="15"/>
  <c r="B20" i="15"/>
  <c r="A20" i="15"/>
  <c r="AI19" i="15"/>
  <c r="AH19" i="15"/>
  <c r="AG19" i="15"/>
  <c r="AF19" i="15"/>
  <c r="AE19" i="15"/>
  <c r="AD19" i="15"/>
  <c r="W19" i="15"/>
  <c r="V19" i="15"/>
  <c r="U19" i="15"/>
  <c r="T19" i="15"/>
  <c r="S19" i="15"/>
  <c r="R19" i="15"/>
  <c r="Q19" i="15"/>
  <c r="P19" i="15"/>
  <c r="O19" i="15"/>
  <c r="N19" i="15"/>
  <c r="M19" i="15"/>
  <c r="L19" i="15"/>
  <c r="K19" i="15"/>
  <c r="I19" i="15"/>
  <c r="H19" i="15"/>
  <c r="E19" i="15"/>
  <c r="D19" i="15"/>
  <c r="C19" i="15"/>
  <c r="B19" i="15"/>
  <c r="A19" i="15"/>
  <c r="AI18" i="15"/>
  <c r="AH18" i="15"/>
  <c r="AG18" i="15"/>
  <c r="AF18" i="15"/>
  <c r="AE18" i="15"/>
  <c r="AD18" i="15"/>
  <c r="W18" i="15"/>
  <c r="V18" i="15"/>
  <c r="U18" i="15"/>
  <c r="T18" i="15"/>
  <c r="S18" i="15"/>
  <c r="R18" i="15"/>
  <c r="Q18" i="15"/>
  <c r="P18" i="15"/>
  <c r="O18" i="15"/>
  <c r="N18" i="15"/>
  <c r="M18" i="15"/>
  <c r="L18" i="15"/>
  <c r="K18" i="15"/>
  <c r="I18" i="15"/>
  <c r="H18" i="15"/>
  <c r="E18" i="15"/>
  <c r="D18" i="15"/>
  <c r="C18" i="15"/>
  <c r="B18" i="15"/>
  <c r="A18" i="15"/>
  <c r="AI17" i="15"/>
  <c r="AH17" i="15"/>
  <c r="AG17" i="15"/>
  <c r="AF17" i="15"/>
  <c r="AE17" i="15"/>
  <c r="AD17" i="15"/>
  <c r="W17" i="15"/>
  <c r="V17" i="15"/>
  <c r="U17" i="15"/>
  <c r="T17" i="15"/>
  <c r="S17" i="15"/>
  <c r="R17" i="15"/>
  <c r="Q17" i="15"/>
  <c r="P17" i="15"/>
  <c r="O17" i="15"/>
  <c r="N17" i="15"/>
  <c r="M17" i="15"/>
  <c r="L17" i="15"/>
  <c r="K17" i="15"/>
  <c r="I17" i="15"/>
  <c r="H17" i="15"/>
  <c r="E17" i="15"/>
  <c r="D17" i="15"/>
  <c r="C17" i="15"/>
  <c r="B17" i="15"/>
  <c r="A17" i="15"/>
  <c r="AI16" i="15"/>
  <c r="AH16" i="15"/>
  <c r="AG16" i="15"/>
  <c r="AF16" i="15"/>
  <c r="AE16" i="15"/>
  <c r="AD16" i="15"/>
  <c r="W16" i="15"/>
  <c r="V16" i="15"/>
  <c r="U16" i="15"/>
  <c r="T16" i="15"/>
  <c r="S16" i="15"/>
  <c r="R16" i="15"/>
  <c r="Q16" i="15"/>
  <c r="P16" i="15"/>
  <c r="O16" i="15"/>
  <c r="N16" i="15"/>
  <c r="M16" i="15"/>
  <c r="L16" i="15"/>
  <c r="K16" i="15"/>
  <c r="I16" i="15"/>
  <c r="H16" i="15"/>
  <c r="E16" i="15"/>
  <c r="D16" i="15"/>
  <c r="C16" i="15"/>
  <c r="B16" i="15"/>
  <c r="A16" i="15"/>
  <c r="AI15" i="15"/>
  <c r="AH15" i="15"/>
  <c r="AG15" i="15"/>
  <c r="AF15" i="15"/>
  <c r="AE15" i="15"/>
  <c r="AD15" i="15"/>
  <c r="W15" i="15"/>
  <c r="V15" i="15"/>
  <c r="U15" i="15"/>
  <c r="T15" i="15"/>
  <c r="S15" i="15"/>
  <c r="R15" i="15"/>
  <c r="Q15" i="15"/>
  <c r="P15" i="15"/>
  <c r="O15" i="15"/>
  <c r="N15" i="15"/>
  <c r="M15" i="15"/>
  <c r="L15" i="15"/>
  <c r="K15" i="15"/>
  <c r="I15" i="15"/>
  <c r="H15" i="15"/>
  <c r="E15" i="15"/>
  <c r="D15" i="15"/>
  <c r="C15" i="15"/>
  <c r="B15" i="15"/>
  <c r="A15" i="15"/>
  <c r="AI14" i="15"/>
  <c r="AH14" i="15"/>
  <c r="AG14" i="15"/>
  <c r="AF14" i="15"/>
  <c r="AE14" i="15"/>
  <c r="AD14" i="15"/>
  <c r="W14" i="15"/>
  <c r="V14" i="15"/>
  <c r="U14" i="15"/>
  <c r="T14" i="15"/>
  <c r="S14" i="15"/>
  <c r="R14" i="15"/>
  <c r="Q14" i="15"/>
  <c r="P14" i="15"/>
  <c r="O14" i="15"/>
  <c r="N14" i="15"/>
  <c r="M14" i="15"/>
  <c r="L14" i="15"/>
  <c r="K14" i="15"/>
  <c r="I14" i="15"/>
  <c r="H14" i="15"/>
  <c r="E14" i="15"/>
  <c r="D14" i="15"/>
  <c r="C14" i="15"/>
  <c r="B14" i="15"/>
  <c r="A14" i="15"/>
  <c r="AI13" i="15"/>
  <c r="AH13" i="15"/>
  <c r="AG13" i="15"/>
  <c r="AF13" i="15"/>
  <c r="AE13" i="15"/>
  <c r="AD13" i="15"/>
  <c r="W13" i="15"/>
  <c r="V13" i="15"/>
  <c r="U13" i="15"/>
  <c r="T13" i="15"/>
  <c r="S13" i="15"/>
  <c r="R13" i="15"/>
  <c r="Q13" i="15"/>
  <c r="P13" i="15"/>
  <c r="O13" i="15"/>
  <c r="N13" i="15"/>
  <c r="M13" i="15"/>
  <c r="L13" i="15"/>
  <c r="K13" i="15"/>
  <c r="I13" i="15"/>
  <c r="H13" i="15"/>
  <c r="E13" i="15"/>
  <c r="D13" i="15"/>
  <c r="C13" i="15"/>
  <c r="B13" i="15"/>
  <c r="A13" i="15"/>
  <c r="AI12" i="15"/>
  <c r="AH12" i="15"/>
  <c r="AG12" i="15"/>
  <c r="AF12" i="15"/>
  <c r="AE12" i="15"/>
  <c r="AD12" i="15"/>
  <c r="W12" i="15"/>
  <c r="V12" i="15"/>
  <c r="U12" i="15"/>
  <c r="T12" i="15"/>
  <c r="S12" i="15"/>
  <c r="R12" i="15"/>
  <c r="Q12" i="15"/>
  <c r="P12" i="15"/>
  <c r="O12" i="15"/>
  <c r="N12" i="15"/>
  <c r="M12" i="15"/>
  <c r="L12" i="15"/>
  <c r="K12" i="15"/>
  <c r="I12" i="15"/>
  <c r="H12" i="15"/>
  <c r="E12" i="15"/>
  <c r="D12" i="15"/>
  <c r="C12" i="15"/>
  <c r="B12" i="15"/>
  <c r="A12" i="15"/>
  <c r="AI11" i="15"/>
  <c r="AH11" i="15"/>
  <c r="AG11" i="15"/>
  <c r="AF11" i="15"/>
  <c r="AE11" i="15"/>
  <c r="AD11" i="15"/>
  <c r="W11" i="15"/>
  <c r="V11" i="15"/>
  <c r="U11" i="15"/>
  <c r="T11" i="15"/>
  <c r="S11" i="15"/>
  <c r="R11" i="15"/>
  <c r="Q11" i="15"/>
  <c r="P11" i="15"/>
  <c r="O11" i="15"/>
  <c r="N11" i="15"/>
  <c r="M11" i="15"/>
  <c r="L11" i="15"/>
  <c r="K11" i="15"/>
  <c r="I11" i="15"/>
  <c r="H11" i="15"/>
  <c r="E11" i="15"/>
  <c r="D11" i="15"/>
  <c r="C11" i="15"/>
  <c r="B11" i="15"/>
  <c r="A11" i="15"/>
  <c r="AI10" i="15"/>
  <c r="AH10" i="15"/>
  <c r="AG10" i="15"/>
  <c r="AF10" i="15"/>
  <c r="AE10" i="15"/>
  <c r="AD10" i="15"/>
  <c r="W10" i="15"/>
  <c r="V10" i="15"/>
  <c r="U10" i="15"/>
  <c r="T10" i="15"/>
  <c r="S10" i="15"/>
  <c r="R10" i="15"/>
  <c r="Q10" i="15"/>
  <c r="P10" i="15"/>
  <c r="O10" i="15"/>
  <c r="N10" i="15"/>
  <c r="M10" i="15"/>
  <c r="L10" i="15"/>
  <c r="K10" i="15"/>
  <c r="I10" i="15"/>
  <c r="H10" i="15"/>
  <c r="E10" i="15"/>
  <c r="D10" i="15"/>
  <c r="C10" i="15"/>
  <c r="B10" i="15"/>
  <c r="A10" i="15"/>
  <c r="AI9" i="15"/>
  <c r="AH9" i="15"/>
  <c r="AG9" i="15"/>
  <c r="AF9" i="15"/>
  <c r="AE9" i="15"/>
  <c r="AD9" i="15"/>
  <c r="W9" i="15"/>
  <c r="V9" i="15"/>
  <c r="U9" i="15"/>
  <c r="T9" i="15"/>
  <c r="S9" i="15"/>
  <c r="R9" i="15"/>
  <c r="Q9" i="15"/>
  <c r="P9" i="15"/>
  <c r="O9" i="15"/>
  <c r="N9" i="15"/>
  <c r="M9" i="15"/>
  <c r="L9" i="15"/>
  <c r="K9" i="15"/>
  <c r="I9" i="15"/>
  <c r="H9" i="15"/>
  <c r="E9" i="15"/>
  <c r="D9" i="15"/>
  <c r="C9" i="15"/>
  <c r="B9" i="15"/>
  <c r="A9" i="15"/>
  <c r="AI8" i="15"/>
  <c r="AH8" i="15"/>
  <c r="AG8" i="15"/>
  <c r="AF8" i="15"/>
  <c r="AE8" i="15"/>
  <c r="AD8" i="15"/>
  <c r="W8" i="15"/>
  <c r="V8" i="15"/>
  <c r="U8" i="15"/>
  <c r="T8" i="15"/>
  <c r="S8" i="15"/>
  <c r="R8" i="15"/>
  <c r="Q8" i="15"/>
  <c r="P8" i="15"/>
  <c r="O8" i="15"/>
  <c r="N8" i="15"/>
  <c r="M8" i="15"/>
  <c r="L8" i="15"/>
  <c r="K8" i="15"/>
  <c r="I8" i="15"/>
  <c r="H8" i="15"/>
  <c r="E8" i="15"/>
  <c r="D8" i="15"/>
  <c r="C8" i="15"/>
  <c r="B8" i="15"/>
  <c r="A8" i="15"/>
  <c r="AI7" i="15"/>
  <c r="AH7" i="15"/>
  <c r="AG7" i="15"/>
  <c r="AF7" i="15"/>
  <c r="AE7" i="15"/>
  <c r="AD7" i="15"/>
  <c r="W7" i="15"/>
  <c r="V7" i="15"/>
  <c r="U7" i="15"/>
  <c r="T7" i="15"/>
  <c r="S7" i="15"/>
  <c r="R7" i="15"/>
  <c r="Q7" i="15"/>
  <c r="P7" i="15"/>
  <c r="O7" i="15"/>
  <c r="N7" i="15"/>
  <c r="M7" i="15"/>
  <c r="L7" i="15"/>
  <c r="K7" i="15"/>
  <c r="I7" i="15"/>
  <c r="H7" i="15"/>
  <c r="E7" i="15"/>
  <c r="D7" i="15"/>
  <c r="C7" i="15"/>
  <c r="B7" i="15"/>
  <c r="A7" i="15"/>
  <c r="AI6" i="15"/>
  <c r="AH6" i="15"/>
  <c r="AG6" i="15"/>
  <c r="AF6" i="15"/>
  <c r="AE6" i="15"/>
  <c r="AD6" i="15"/>
  <c r="W6" i="15"/>
  <c r="V6" i="15"/>
  <c r="U6" i="15"/>
  <c r="T6" i="15"/>
  <c r="S6" i="15"/>
  <c r="R6" i="15"/>
  <c r="Q6" i="15"/>
  <c r="P6" i="15"/>
  <c r="O6" i="15"/>
  <c r="N6" i="15"/>
  <c r="M6" i="15"/>
  <c r="L6" i="15"/>
  <c r="K6" i="15"/>
  <c r="I6" i="15"/>
  <c r="H6" i="15"/>
  <c r="E6" i="15"/>
  <c r="D6" i="15"/>
  <c r="C6" i="15"/>
  <c r="B6" i="15"/>
  <c r="A6" i="15"/>
  <c r="AI5" i="15"/>
  <c r="AH5" i="15"/>
  <c r="AG5" i="15"/>
  <c r="AF5" i="15"/>
  <c r="AE5" i="15"/>
  <c r="AD5" i="15"/>
  <c r="W5" i="15"/>
  <c r="V5" i="15"/>
  <c r="U5" i="15"/>
  <c r="T5" i="15"/>
  <c r="S5" i="15"/>
  <c r="R5" i="15"/>
  <c r="Q5" i="15"/>
  <c r="P5" i="15"/>
  <c r="O5" i="15"/>
  <c r="N5" i="15"/>
  <c r="M5" i="15"/>
  <c r="L5" i="15"/>
  <c r="K5" i="15"/>
  <c r="I5" i="15"/>
  <c r="H5" i="15"/>
  <c r="E5" i="15"/>
  <c r="D5" i="15"/>
  <c r="C5" i="15"/>
  <c r="B5" i="15"/>
  <c r="A5" i="15"/>
  <c r="AI4" i="15"/>
  <c r="AH4" i="15"/>
  <c r="AG4" i="15"/>
  <c r="AF4" i="15"/>
  <c r="AE4" i="15"/>
  <c r="AD4" i="15"/>
  <c r="W4" i="15"/>
  <c r="V4" i="15"/>
  <c r="U4" i="15"/>
  <c r="T4" i="15"/>
  <c r="S4" i="15"/>
  <c r="R4" i="15"/>
  <c r="Q4" i="15"/>
  <c r="P4" i="15"/>
  <c r="O4" i="15"/>
  <c r="N4" i="15"/>
  <c r="M4" i="15"/>
  <c r="L4" i="15"/>
  <c r="K4" i="15"/>
  <c r="I4" i="15"/>
  <c r="H4" i="15"/>
  <c r="E4" i="15"/>
  <c r="D4" i="15"/>
  <c r="C4" i="15"/>
  <c r="B4" i="15"/>
  <c r="A4" i="15"/>
  <c r="AI3" i="15"/>
  <c r="AH3" i="15"/>
  <c r="AG3" i="15"/>
  <c r="AF3" i="15"/>
  <c r="AE3" i="15"/>
  <c r="AD3" i="15"/>
  <c r="W3" i="15"/>
  <c r="V3" i="15"/>
  <c r="U3" i="15"/>
  <c r="T3" i="15"/>
  <c r="S3" i="15"/>
  <c r="R3" i="15"/>
  <c r="Q3" i="15"/>
  <c r="P3" i="15"/>
  <c r="O3" i="15"/>
  <c r="N3" i="15"/>
  <c r="M3" i="15"/>
  <c r="L3" i="15"/>
  <c r="K3" i="15"/>
  <c r="I3" i="15"/>
  <c r="H3" i="15"/>
  <c r="E3" i="15"/>
  <c r="D3" i="15"/>
  <c r="C3" i="15"/>
  <c r="B3" i="15"/>
  <c r="A3" i="15"/>
  <c r="AI2" i="15"/>
  <c r="AH2" i="15"/>
  <c r="AG2" i="15"/>
  <c r="AF2" i="15"/>
  <c r="AE2" i="15"/>
  <c r="AD2" i="15"/>
  <c r="W2" i="15"/>
  <c r="V2" i="15"/>
  <c r="U2" i="15"/>
  <c r="T2" i="15"/>
  <c r="S2" i="15"/>
  <c r="R2" i="15"/>
  <c r="Q2" i="15"/>
  <c r="P2" i="15"/>
  <c r="O2" i="15"/>
  <c r="N2" i="15"/>
  <c r="M2" i="15"/>
  <c r="L2" i="15"/>
  <c r="K2" i="15"/>
  <c r="I2" i="15"/>
  <c r="H2" i="15"/>
  <c r="E2" i="15"/>
  <c r="D2" i="15"/>
  <c r="C2" i="15"/>
  <c r="B2" i="15"/>
  <c r="A2" i="15"/>
  <c r="AI57" i="16"/>
  <c r="AH57" i="16"/>
  <c r="AG57" i="16"/>
  <c r="AF57" i="16"/>
  <c r="AE57" i="16"/>
  <c r="AD57" i="16"/>
  <c r="W57" i="16"/>
  <c r="V57" i="16"/>
  <c r="U57" i="16"/>
  <c r="T57" i="16"/>
  <c r="S57" i="16"/>
  <c r="R57" i="16"/>
  <c r="Q57" i="16"/>
  <c r="P57" i="16"/>
  <c r="O57" i="16"/>
  <c r="N57" i="16"/>
  <c r="M57" i="16"/>
  <c r="L57" i="16"/>
  <c r="K57" i="16"/>
  <c r="I57" i="16"/>
  <c r="H57" i="16"/>
  <c r="E57" i="16"/>
  <c r="D57" i="16"/>
  <c r="C57" i="16"/>
  <c r="B57" i="16"/>
  <c r="A57" i="16"/>
  <c r="AI56" i="16"/>
  <c r="AH56" i="16"/>
  <c r="AG56" i="16"/>
  <c r="AF56" i="16"/>
  <c r="AE56" i="16"/>
  <c r="AD56" i="16"/>
  <c r="W56" i="16"/>
  <c r="V56" i="16"/>
  <c r="U56" i="16"/>
  <c r="T56" i="16"/>
  <c r="S56" i="16"/>
  <c r="R56" i="16"/>
  <c r="Q56" i="16"/>
  <c r="P56" i="16"/>
  <c r="O56" i="16"/>
  <c r="N56" i="16"/>
  <c r="M56" i="16"/>
  <c r="L56" i="16"/>
  <c r="K56" i="16"/>
  <c r="I56" i="16"/>
  <c r="H56" i="16"/>
  <c r="E56" i="16"/>
  <c r="D56" i="16"/>
  <c r="C56" i="16"/>
  <c r="B56" i="16"/>
  <c r="A56" i="16"/>
  <c r="AI55" i="16"/>
  <c r="AH55" i="16"/>
  <c r="AG55" i="16"/>
  <c r="AF55" i="16"/>
  <c r="AE55" i="16"/>
  <c r="AD55" i="16"/>
  <c r="W55" i="16"/>
  <c r="V55" i="16"/>
  <c r="U55" i="16"/>
  <c r="T55" i="16"/>
  <c r="S55" i="16"/>
  <c r="R55" i="16"/>
  <c r="Q55" i="16"/>
  <c r="P55" i="16"/>
  <c r="O55" i="16"/>
  <c r="N55" i="16"/>
  <c r="M55" i="16"/>
  <c r="L55" i="16"/>
  <c r="K55" i="16"/>
  <c r="I55" i="16"/>
  <c r="H55" i="16"/>
  <c r="E55" i="16"/>
  <c r="D55" i="16"/>
  <c r="C55" i="16"/>
  <c r="B55" i="16"/>
  <c r="A55" i="16"/>
  <c r="AI54" i="16"/>
  <c r="AH54" i="16"/>
  <c r="AG54" i="16"/>
  <c r="AF54" i="16"/>
  <c r="AE54" i="16"/>
  <c r="AD54" i="16"/>
  <c r="W54" i="16"/>
  <c r="V54" i="16"/>
  <c r="U54" i="16"/>
  <c r="T54" i="16"/>
  <c r="S54" i="16"/>
  <c r="R54" i="16"/>
  <c r="Q54" i="16"/>
  <c r="P54" i="16"/>
  <c r="O54" i="16"/>
  <c r="N54" i="16"/>
  <c r="M54" i="16"/>
  <c r="L54" i="16"/>
  <c r="K54" i="16"/>
  <c r="I54" i="16"/>
  <c r="H54" i="16"/>
  <c r="E54" i="16"/>
  <c r="D54" i="16"/>
  <c r="C54" i="16"/>
  <c r="B54" i="16"/>
  <c r="A54" i="16"/>
  <c r="AI53" i="16"/>
  <c r="AH53" i="16"/>
  <c r="AG53" i="16"/>
  <c r="AF53" i="16"/>
  <c r="AE53" i="16"/>
  <c r="AD53" i="16"/>
  <c r="W53" i="16"/>
  <c r="V53" i="16"/>
  <c r="U53" i="16"/>
  <c r="T53" i="16"/>
  <c r="S53" i="16"/>
  <c r="R53" i="16"/>
  <c r="Q53" i="16"/>
  <c r="P53" i="16"/>
  <c r="O53" i="16"/>
  <c r="N53" i="16"/>
  <c r="M53" i="16"/>
  <c r="L53" i="16"/>
  <c r="K53" i="16"/>
  <c r="I53" i="16"/>
  <c r="H53" i="16"/>
  <c r="E53" i="16"/>
  <c r="D53" i="16"/>
  <c r="C53" i="16"/>
  <c r="B53" i="16"/>
  <c r="A53" i="16"/>
  <c r="AI52" i="16"/>
  <c r="AH52" i="16"/>
  <c r="AG52" i="16"/>
  <c r="AF52" i="16"/>
  <c r="AE52" i="16"/>
  <c r="AD52" i="16"/>
  <c r="W52" i="16"/>
  <c r="V52" i="16"/>
  <c r="U52" i="16"/>
  <c r="T52" i="16"/>
  <c r="S52" i="16"/>
  <c r="R52" i="16"/>
  <c r="Q52" i="16"/>
  <c r="P52" i="16"/>
  <c r="O52" i="16"/>
  <c r="N52" i="16"/>
  <c r="M52" i="16"/>
  <c r="L52" i="16"/>
  <c r="K52" i="16"/>
  <c r="I52" i="16"/>
  <c r="H52" i="16"/>
  <c r="E52" i="16"/>
  <c r="D52" i="16"/>
  <c r="C52" i="16"/>
  <c r="B52" i="16"/>
  <c r="A52" i="16"/>
  <c r="AI51" i="16"/>
  <c r="AH51" i="16"/>
  <c r="AG51" i="16"/>
  <c r="AF51" i="16"/>
  <c r="AE51" i="16"/>
  <c r="AD51" i="16"/>
  <c r="W51" i="16"/>
  <c r="V51" i="16"/>
  <c r="U51" i="16"/>
  <c r="T51" i="16"/>
  <c r="S51" i="16"/>
  <c r="R51" i="16"/>
  <c r="Q51" i="16"/>
  <c r="P51" i="16"/>
  <c r="O51" i="16"/>
  <c r="N51" i="16"/>
  <c r="M51" i="16"/>
  <c r="L51" i="16"/>
  <c r="K51" i="16"/>
  <c r="I51" i="16"/>
  <c r="H51" i="16"/>
  <c r="E51" i="16"/>
  <c r="D51" i="16"/>
  <c r="C51" i="16"/>
  <c r="B51" i="16"/>
  <c r="A51" i="16"/>
  <c r="AI50" i="16"/>
  <c r="AH50" i="16"/>
  <c r="AG50" i="16"/>
  <c r="AF50" i="16"/>
  <c r="AE50" i="16"/>
  <c r="AD50" i="16"/>
  <c r="W50" i="16"/>
  <c r="V50" i="16"/>
  <c r="U50" i="16"/>
  <c r="T50" i="16"/>
  <c r="S50" i="16"/>
  <c r="R50" i="16"/>
  <c r="Q50" i="16"/>
  <c r="P50" i="16"/>
  <c r="O50" i="16"/>
  <c r="N50" i="16"/>
  <c r="M50" i="16"/>
  <c r="L50" i="16"/>
  <c r="K50" i="16"/>
  <c r="I50" i="16"/>
  <c r="H50" i="16"/>
  <c r="E50" i="16"/>
  <c r="D50" i="16"/>
  <c r="C50" i="16"/>
  <c r="B50" i="16"/>
  <c r="A50" i="16"/>
  <c r="AI49" i="16"/>
  <c r="AH49" i="16"/>
  <c r="AG49" i="16"/>
  <c r="AF49" i="16"/>
  <c r="AE49" i="16"/>
  <c r="AD49" i="16"/>
  <c r="W49" i="16"/>
  <c r="V49" i="16"/>
  <c r="U49" i="16"/>
  <c r="T49" i="16"/>
  <c r="S49" i="16"/>
  <c r="R49" i="16"/>
  <c r="Q49" i="16"/>
  <c r="P49" i="16"/>
  <c r="O49" i="16"/>
  <c r="N49" i="16"/>
  <c r="M49" i="16"/>
  <c r="L49" i="16"/>
  <c r="K49" i="16"/>
  <c r="I49" i="16"/>
  <c r="H49" i="16"/>
  <c r="E49" i="16"/>
  <c r="D49" i="16"/>
  <c r="C49" i="16"/>
  <c r="B49" i="16"/>
  <c r="A49" i="16"/>
  <c r="AI48" i="16"/>
  <c r="AH48" i="16"/>
  <c r="AG48" i="16"/>
  <c r="AF48" i="16"/>
  <c r="AE48" i="16"/>
  <c r="AD48" i="16"/>
  <c r="W48" i="16"/>
  <c r="V48" i="16"/>
  <c r="U48" i="16"/>
  <c r="T48" i="16"/>
  <c r="S48" i="16"/>
  <c r="R48" i="16"/>
  <c r="Q48" i="16"/>
  <c r="P48" i="16"/>
  <c r="O48" i="16"/>
  <c r="N48" i="16"/>
  <c r="M48" i="16"/>
  <c r="L48" i="16"/>
  <c r="K48" i="16"/>
  <c r="I48" i="16"/>
  <c r="H48" i="16"/>
  <c r="E48" i="16"/>
  <c r="D48" i="16"/>
  <c r="C48" i="16"/>
  <c r="B48" i="16"/>
  <c r="A48" i="16"/>
  <c r="AI47" i="16"/>
  <c r="AH47" i="16"/>
  <c r="AG47" i="16"/>
  <c r="AF47" i="16"/>
  <c r="AE47" i="16"/>
  <c r="AD47" i="16"/>
  <c r="W47" i="16"/>
  <c r="V47" i="16"/>
  <c r="U47" i="16"/>
  <c r="T47" i="16"/>
  <c r="S47" i="16"/>
  <c r="R47" i="16"/>
  <c r="Q47" i="16"/>
  <c r="P47" i="16"/>
  <c r="O47" i="16"/>
  <c r="N47" i="16"/>
  <c r="M47" i="16"/>
  <c r="L47" i="16"/>
  <c r="K47" i="16"/>
  <c r="I47" i="16"/>
  <c r="H47" i="16"/>
  <c r="E47" i="16"/>
  <c r="D47" i="16"/>
  <c r="C47" i="16"/>
  <c r="B47" i="16"/>
  <c r="A47" i="16"/>
  <c r="AI46" i="16"/>
  <c r="AH46" i="16"/>
  <c r="AG46" i="16"/>
  <c r="AF46" i="16"/>
  <c r="AE46" i="16"/>
  <c r="AD46" i="16"/>
  <c r="W46" i="16"/>
  <c r="V46" i="16"/>
  <c r="U46" i="16"/>
  <c r="T46" i="16"/>
  <c r="S46" i="16"/>
  <c r="R46" i="16"/>
  <c r="Q46" i="16"/>
  <c r="P46" i="16"/>
  <c r="O46" i="16"/>
  <c r="N46" i="16"/>
  <c r="M46" i="16"/>
  <c r="L46" i="16"/>
  <c r="K46" i="16"/>
  <c r="I46" i="16"/>
  <c r="H46" i="16"/>
  <c r="E46" i="16"/>
  <c r="D46" i="16"/>
  <c r="C46" i="16"/>
  <c r="B46" i="16"/>
  <c r="A46" i="16"/>
  <c r="AI45" i="16"/>
  <c r="AH45" i="16"/>
  <c r="AG45" i="16"/>
  <c r="AF45" i="16"/>
  <c r="AE45" i="16"/>
  <c r="AD45" i="16"/>
  <c r="W45" i="16"/>
  <c r="V45" i="16"/>
  <c r="U45" i="16"/>
  <c r="T45" i="16"/>
  <c r="S45" i="16"/>
  <c r="R45" i="16"/>
  <c r="Q45" i="16"/>
  <c r="P45" i="16"/>
  <c r="O45" i="16"/>
  <c r="N45" i="16"/>
  <c r="M45" i="16"/>
  <c r="L45" i="16"/>
  <c r="K45" i="16"/>
  <c r="I45" i="16"/>
  <c r="H45" i="16"/>
  <c r="E45" i="16"/>
  <c r="D45" i="16"/>
  <c r="C45" i="16"/>
  <c r="B45" i="16"/>
  <c r="A45" i="16"/>
  <c r="AI44" i="16"/>
  <c r="AH44" i="16"/>
  <c r="AG44" i="16"/>
  <c r="AF44" i="16"/>
  <c r="AE44" i="16"/>
  <c r="AD44" i="16"/>
  <c r="W44" i="16"/>
  <c r="V44" i="16"/>
  <c r="U44" i="16"/>
  <c r="T44" i="16"/>
  <c r="S44" i="16"/>
  <c r="R44" i="16"/>
  <c r="Q44" i="16"/>
  <c r="P44" i="16"/>
  <c r="O44" i="16"/>
  <c r="N44" i="16"/>
  <c r="M44" i="16"/>
  <c r="L44" i="16"/>
  <c r="K44" i="16"/>
  <c r="I44" i="16"/>
  <c r="H44" i="16"/>
  <c r="E44" i="16"/>
  <c r="D44" i="16"/>
  <c r="C44" i="16"/>
  <c r="B44" i="16"/>
  <c r="A44" i="16"/>
  <c r="AI43" i="16"/>
  <c r="AH43" i="16"/>
  <c r="AG43" i="16"/>
  <c r="AF43" i="16"/>
  <c r="AE43" i="16"/>
  <c r="AD43" i="16"/>
  <c r="W43" i="16"/>
  <c r="V43" i="16"/>
  <c r="U43" i="16"/>
  <c r="T43" i="16"/>
  <c r="S43" i="16"/>
  <c r="R43" i="16"/>
  <c r="Q43" i="16"/>
  <c r="P43" i="16"/>
  <c r="O43" i="16"/>
  <c r="N43" i="16"/>
  <c r="M43" i="16"/>
  <c r="L43" i="16"/>
  <c r="K43" i="16"/>
  <c r="I43" i="16"/>
  <c r="H43" i="16"/>
  <c r="E43" i="16"/>
  <c r="D43" i="16"/>
  <c r="C43" i="16"/>
  <c r="B43" i="16"/>
  <c r="A43" i="16"/>
  <c r="AI42" i="16"/>
  <c r="AH42" i="16"/>
  <c r="AG42" i="16"/>
  <c r="AF42" i="16"/>
  <c r="AE42" i="16"/>
  <c r="AD42" i="16"/>
  <c r="W42" i="16"/>
  <c r="V42" i="16"/>
  <c r="U42" i="16"/>
  <c r="T42" i="16"/>
  <c r="S42" i="16"/>
  <c r="R42" i="16"/>
  <c r="Q42" i="16"/>
  <c r="P42" i="16"/>
  <c r="O42" i="16"/>
  <c r="N42" i="16"/>
  <c r="M42" i="16"/>
  <c r="L42" i="16"/>
  <c r="K42" i="16"/>
  <c r="I42" i="16"/>
  <c r="H42" i="16"/>
  <c r="E42" i="16"/>
  <c r="D42" i="16"/>
  <c r="C42" i="16"/>
  <c r="B42" i="16"/>
  <c r="A42" i="16"/>
  <c r="AI41" i="16"/>
  <c r="AH41" i="16"/>
  <c r="AG41" i="16"/>
  <c r="AF41" i="16"/>
  <c r="AE41" i="16"/>
  <c r="AD41" i="16"/>
  <c r="W41" i="16"/>
  <c r="V41" i="16"/>
  <c r="U41" i="16"/>
  <c r="T41" i="16"/>
  <c r="S41" i="16"/>
  <c r="R41" i="16"/>
  <c r="Q41" i="16"/>
  <c r="P41" i="16"/>
  <c r="O41" i="16"/>
  <c r="N41" i="16"/>
  <c r="M41" i="16"/>
  <c r="L41" i="16"/>
  <c r="K41" i="16"/>
  <c r="I41" i="16"/>
  <c r="H41" i="16"/>
  <c r="E41" i="16"/>
  <c r="D41" i="16"/>
  <c r="C41" i="16"/>
  <c r="B41" i="16"/>
  <c r="A41" i="16"/>
  <c r="AI40" i="16"/>
  <c r="AH40" i="16"/>
  <c r="AG40" i="16"/>
  <c r="AF40" i="16"/>
  <c r="AE40" i="16"/>
  <c r="AD40" i="16"/>
  <c r="W40" i="16"/>
  <c r="V40" i="16"/>
  <c r="U40" i="16"/>
  <c r="T40" i="16"/>
  <c r="S40" i="16"/>
  <c r="R40" i="16"/>
  <c r="Q40" i="16"/>
  <c r="P40" i="16"/>
  <c r="O40" i="16"/>
  <c r="N40" i="16"/>
  <c r="M40" i="16"/>
  <c r="L40" i="16"/>
  <c r="K40" i="16"/>
  <c r="I40" i="16"/>
  <c r="H40" i="16"/>
  <c r="E40" i="16"/>
  <c r="D40" i="16"/>
  <c r="C40" i="16"/>
  <c r="B40" i="16"/>
  <c r="A40" i="16"/>
  <c r="AI39" i="16"/>
  <c r="AH39" i="16"/>
  <c r="AG39" i="16"/>
  <c r="AF39" i="16"/>
  <c r="AE39" i="16"/>
  <c r="AD39" i="16"/>
  <c r="W39" i="16"/>
  <c r="V39" i="16"/>
  <c r="U39" i="16"/>
  <c r="T39" i="16"/>
  <c r="S39" i="16"/>
  <c r="R39" i="16"/>
  <c r="Q39" i="16"/>
  <c r="P39" i="16"/>
  <c r="O39" i="16"/>
  <c r="N39" i="16"/>
  <c r="M39" i="16"/>
  <c r="L39" i="16"/>
  <c r="K39" i="16"/>
  <c r="I39" i="16"/>
  <c r="H39" i="16"/>
  <c r="E39" i="16"/>
  <c r="D39" i="16"/>
  <c r="C39" i="16"/>
  <c r="B39" i="16"/>
  <c r="A39" i="16"/>
  <c r="AI38" i="16"/>
  <c r="AH38" i="16"/>
  <c r="AG38" i="16"/>
  <c r="AF38" i="16"/>
  <c r="AE38" i="16"/>
  <c r="AD38" i="16"/>
  <c r="W38" i="16"/>
  <c r="V38" i="16"/>
  <c r="U38" i="16"/>
  <c r="T38" i="16"/>
  <c r="S38" i="16"/>
  <c r="R38" i="16"/>
  <c r="Q38" i="16"/>
  <c r="P38" i="16"/>
  <c r="O38" i="16"/>
  <c r="N38" i="16"/>
  <c r="M38" i="16"/>
  <c r="L38" i="16"/>
  <c r="K38" i="16"/>
  <c r="I38" i="16"/>
  <c r="H38" i="16"/>
  <c r="E38" i="16"/>
  <c r="D38" i="16"/>
  <c r="C38" i="16"/>
  <c r="B38" i="16"/>
  <c r="A38" i="16"/>
  <c r="AI37" i="16"/>
  <c r="AH37" i="16"/>
  <c r="AG37" i="16"/>
  <c r="AF37" i="16"/>
  <c r="AE37" i="16"/>
  <c r="AD37" i="16"/>
  <c r="W37" i="16"/>
  <c r="V37" i="16"/>
  <c r="U37" i="16"/>
  <c r="T37" i="16"/>
  <c r="S37" i="16"/>
  <c r="R37" i="16"/>
  <c r="Q37" i="16"/>
  <c r="P37" i="16"/>
  <c r="O37" i="16"/>
  <c r="N37" i="16"/>
  <c r="M37" i="16"/>
  <c r="L37" i="16"/>
  <c r="K37" i="16"/>
  <c r="I37" i="16"/>
  <c r="H37" i="16"/>
  <c r="E37" i="16"/>
  <c r="D37" i="16"/>
  <c r="C37" i="16"/>
  <c r="B37" i="16"/>
  <c r="A37" i="16"/>
  <c r="AI36" i="16"/>
  <c r="AH36" i="16"/>
  <c r="AG36" i="16"/>
  <c r="AF36" i="16"/>
  <c r="AE36" i="16"/>
  <c r="AD36" i="16"/>
  <c r="W36" i="16"/>
  <c r="V36" i="16"/>
  <c r="U36" i="16"/>
  <c r="T36" i="16"/>
  <c r="S36" i="16"/>
  <c r="R36" i="16"/>
  <c r="Q36" i="16"/>
  <c r="P36" i="16"/>
  <c r="O36" i="16"/>
  <c r="N36" i="16"/>
  <c r="M36" i="16"/>
  <c r="L36" i="16"/>
  <c r="K36" i="16"/>
  <c r="I36" i="16"/>
  <c r="H36" i="16"/>
  <c r="E36" i="16"/>
  <c r="D36" i="16"/>
  <c r="C36" i="16"/>
  <c r="B36" i="16"/>
  <c r="A36" i="16"/>
  <c r="AI35" i="16"/>
  <c r="AH35" i="16"/>
  <c r="AG35" i="16"/>
  <c r="AF35" i="16"/>
  <c r="AE35" i="16"/>
  <c r="AD35" i="16"/>
  <c r="W35" i="16"/>
  <c r="V35" i="16"/>
  <c r="U35" i="16"/>
  <c r="T35" i="16"/>
  <c r="S35" i="16"/>
  <c r="R35" i="16"/>
  <c r="Q35" i="16"/>
  <c r="P35" i="16"/>
  <c r="O35" i="16"/>
  <c r="N35" i="16"/>
  <c r="M35" i="16"/>
  <c r="L35" i="16"/>
  <c r="K35" i="16"/>
  <c r="I35" i="16"/>
  <c r="H35" i="16"/>
  <c r="E35" i="16"/>
  <c r="D35" i="16"/>
  <c r="C35" i="16"/>
  <c r="B35" i="16"/>
  <c r="A35" i="16"/>
  <c r="AI34" i="16"/>
  <c r="AH34" i="16"/>
  <c r="AG34" i="16"/>
  <c r="AF34" i="16"/>
  <c r="AE34" i="16"/>
  <c r="AD34" i="16"/>
  <c r="W34" i="16"/>
  <c r="V34" i="16"/>
  <c r="U34" i="16"/>
  <c r="T34" i="16"/>
  <c r="S34" i="16"/>
  <c r="R34" i="16"/>
  <c r="Q34" i="16"/>
  <c r="P34" i="16"/>
  <c r="O34" i="16"/>
  <c r="N34" i="16"/>
  <c r="M34" i="16"/>
  <c r="L34" i="16"/>
  <c r="K34" i="16"/>
  <c r="I34" i="16"/>
  <c r="H34" i="16"/>
  <c r="E34" i="16"/>
  <c r="D34" i="16"/>
  <c r="C34" i="16"/>
  <c r="B34" i="16"/>
  <c r="A34" i="16"/>
  <c r="AI33" i="16"/>
  <c r="AH33" i="16"/>
  <c r="AG33" i="16"/>
  <c r="AF33" i="16"/>
  <c r="AE33" i="16"/>
  <c r="AD33" i="16"/>
  <c r="W33" i="16"/>
  <c r="V33" i="16"/>
  <c r="U33" i="16"/>
  <c r="T33" i="16"/>
  <c r="S33" i="16"/>
  <c r="R33" i="16"/>
  <c r="Q33" i="16"/>
  <c r="P33" i="16"/>
  <c r="O33" i="16"/>
  <c r="N33" i="16"/>
  <c r="M33" i="16"/>
  <c r="L33" i="16"/>
  <c r="K33" i="16"/>
  <c r="I33" i="16"/>
  <c r="H33" i="16"/>
  <c r="E33" i="16"/>
  <c r="D33" i="16"/>
  <c r="C33" i="16"/>
  <c r="B33" i="16"/>
  <c r="A33" i="16"/>
  <c r="AI32" i="16"/>
  <c r="AH32" i="16"/>
  <c r="AG32" i="16"/>
  <c r="AF32" i="16"/>
  <c r="AE32" i="16"/>
  <c r="AD32" i="16"/>
  <c r="W32" i="16"/>
  <c r="V32" i="16"/>
  <c r="U32" i="16"/>
  <c r="T32" i="16"/>
  <c r="S32" i="16"/>
  <c r="R32" i="16"/>
  <c r="Q32" i="16"/>
  <c r="P32" i="16"/>
  <c r="O32" i="16"/>
  <c r="N32" i="16"/>
  <c r="M32" i="16"/>
  <c r="L32" i="16"/>
  <c r="K32" i="16"/>
  <c r="I32" i="16"/>
  <c r="H32" i="16"/>
  <c r="E32" i="16"/>
  <c r="D32" i="16"/>
  <c r="C32" i="16"/>
  <c r="B32" i="16"/>
  <c r="A32" i="16"/>
  <c r="AI31" i="16"/>
  <c r="AH31" i="16"/>
  <c r="AG31" i="16"/>
  <c r="AF31" i="16"/>
  <c r="AE31" i="16"/>
  <c r="AD31" i="16"/>
  <c r="W31" i="16"/>
  <c r="V31" i="16"/>
  <c r="U31" i="16"/>
  <c r="T31" i="16"/>
  <c r="S31" i="16"/>
  <c r="R31" i="16"/>
  <c r="Q31" i="16"/>
  <c r="P31" i="16"/>
  <c r="O31" i="16"/>
  <c r="N31" i="16"/>
  <c r="M31" i="16"/>
  <c r="L31" i="16"/>
  <c r="K31" i="16"/>
  <c r="I31" i="16"/>
  <c r="H31" i="16"/>
  <c r="E31" i="16"/>
  <c r="D31" i="16"/>
  <c r="C31" i="16"/>
  <c r="B31" i="16"/>
  <c r="A31" i="16"/>
  <c r="AI30" i="16"/>
  <c r="AH30" i="16"/>
  <c r="AG30" i="16"/>
  <c r="AF30" i="16"/>
  <c r="AE30" i="16"/>
  <c r="AD30" i="16"/>
  <c r="W30" i="16"/>
  <c r="V30" i="16"/>
  <c r="U30" i="16"/>
  <c r="T30" i="16"/>
  <c r="S30" i="16"/>
  <c r="R30" i="16"/>
  <c r="Q30" i="16"/>
  <c r="P30" i="16"/>
  <c r="O30" i="16"/>
  <c r="N30" i="16"/>
  <c r="M30" i="16"/>
  <c r="L30" i="16"/>
  <c r="K30" i="16"/>
  <c r="I30" i="16"/>
  <c r="H30" i="16"/>
  <c r="E30" i="16"/>
  <c r="D30" i="16"/>
  <c r="C30" i="16"/>
  <c r="B30" i="16"/>
  <c r="A30" i="16"/>
  <c r="AI29" i="16"/>
  <c r="AH29" i="16"/>
  <c r="AG29" i="16"/>
  <c r="AF29" i="16"/>
  <c r="AE29" i="16"/>
  <c r="AD29" i="16"/>
  <c r="W29" i="16"/>
  <c r="V29" i="16"/>
  <c r="U29" i="16"/>
  <c r="T29" i="16"/>
  <c r="S29" i="16"/>
  <c r="R29" i="16"/>
  <c r="Q29" i="16"/>
  <c r="P29" i="16"/>
  <c r="O29" i="16"/>
  <c r="N29" i="16"/>
  <c r="M29" i="16"/>
  <c r="L29" i="16"/>
  <c r="K29" i="16"/>
  <c r="I29" i="16"/>
  <c r="H29" i="16"/>
  <c r="E29" i="16"/>
  <c r="D29" i="16"/>
  <c r="C29" i="16"/>
  <c r="B29" i="16"/>
  <c r="A29" i="16"/>
  <c r="AI28" i="16"/>
  <c r="AH28" i="16"/>
  <c r="AG28" i="16"/>
  <c r="AF28" i="16"/>
  <c r="AE28" i="16"/>
  <c r="AD28" i="16"/>
  <c r="W28" i="16"/>
  <c r="V28" i="16"/>
  <c r="U28" i="16"/>
  <c r="T28" i="16"/>
  <c r="S28" i="16"/>
  <c r="R28" i="16"/>
  <c r="Q28" i="16"/>
  <c r="P28" i="16"/>
  <c r="O28" i="16"/>
  <c r="N28" i="16"/>
  <c r="M28" i="16"/>
  <c r="L28" i="16"/>
  <c r="K28" i="16"/>
  <c r="I28" i="16"/>
  <c r="H28" i="16"/>
  <c r="E28" i="16"/>
  <c r="D28" i="16"/>
  <c r="C28" i="16"/>
  <c r="B28" i="16"/>
  <c r="A28" i="16"/>
  <c r="AI27" i="16"/>
  <c r="AH27" i="16"/>
  <c r="AG27" i="16"/>
  <c r="AF27" i="16"/>
  <c r="AE27" i="16"/>
  <c r="AD27" i="16"/>
  <c r="W27" i="16"/>
  <c r="V27" i="16"/>
  <c r="U27" i="16"/>
  <c r="T27" i="16"/>
  <c r="S27" i="16"/>
  <c r="R27" i="16"/>
  <c r="Q27" i="16"/>
  <c r="P27" i="16"/>
  <c r="O27" i="16"/>
  <c r="N27" i="16"/>
  <c r="M27" i="16"/>
  <c r="L27" i="16"/>
  <c r="K27" i="16"/>
  <c r="I27" i="16"/>
  <c r="H27" i="16"/>
  <c r="E27" i="16"/>
  <c r="D27" i="16"/>
  <c r="C27" i="16"/>
  <c r="B27" i="16"/>
  <c r="A27" i="16"/>
  <c r="AI26" i="16"/>
  <c r="AH26" i="16"/>
  <c r="AG26" i="16"/>
  <c r="AF26" i="16"/>
  <c r="AE26" i="16"/>
  <c r="AD26" i="16"/>
  <c r="W26" i="16"/>
  <c r="V26" i="16"/>
  <c r="U26" i="16"/>
  <c r="T26" i="16"/>
  <c r="S26" i="16"/>
  <c r="R26" i="16"/>
  <c r="Q26" i="16"/>
  <c r="P26" i="16"/>
  <c r="O26" i="16"/>
  <c r="N26" i="16"/>
  <c r="M26" i="16"/>
  <c r="L26" i="16"/>
  <c r="K26" i="16"/>
  <c r="I26" i="16"/>
  <c r="H26" i="16"/>
  <c r="E26" i="16"/>
  <c r="D26" i="16"/>
  <c r="C26" i="16"/>
  <c r="B26" i="16"/>
  <c r="A26" i="16"/>
  <c r="AI25" i="16"/>
  <c r="AH25" i="16"/>
  <c r="AG25" i="16"/>
  <c r="AF25" i="16"/>
  <c r="AE25" i="16"/>
  <c r="AD25" i="16"/>
  <c r="W25" i="16"/>
  <c r="V25" i="16"/>
  <c r="U25" i="16"/>
  <c r="T25" i="16"/>
  <c r="S25" i="16"/>
  <c r="R25" i="16"/>
  <c r="Q25" i="16"/>
  <c r="P25" i="16"/>
  <c r="O25" i="16"/>
  <c r="N25" i="16"/>
  <c r="M25" i="16"/>
  <c r="L25" i="16"/>
  <c r="K25" i="16"/>
  <c r="I25" i="16"/>
  <c r="H25" i="16"/>
  <c r="E25" i="16"/>
  <c r="D25" i="16"/>
  <c r="C25" i="16"/>
  <c r="B25" i="16"/>
  <c r="A25" i="16"/>
  <c r="AI24" i="16"/>
  <c r="AH24" i="16"/>
  <c r="AG24" i="16"/>
  <c r="AF24" i="16"/>
  <c r="AE24" i="16"/>
  <c r="AD24" i="16"/>
  <c r="W24" i="16"/>
  <c r="V24" i="16"/>
  <c r="U24" i="16"/>
  <c r="T24" i="16"/>
  <c r="S24" i="16"/>
  <c r="R24" i="16"/>
  <c r="Q24" i="16"/>
  <c r="P24" i="16"/>
  <c r="O24" i="16"/>
  <c r="N24" i="16"/>
  <c r="M24" i="16"/>
  <c r="L24" i="16"/>
  <c r="K24" i="16"/>
  <c r="I24" i="16"/>
  <c r="H24" i="16"/>
  <c r="E24" i="16"/>
  <c r="D24" i="16"/>
  <c r="C24" i="16"/>
  <c r="B24" i="16"/>
  <c r="A24" i="16"/>
  <c r="AI23" i="16"/>
  <c r="AH23" i="16"/>
  <c r="AG23" i="16"/>
  <c r="AF23" i="16"/>
  <c r="AE23" i="16"/>
  <c r="AD23" i="16"/>
  <c r="W23" i="16"/>
  <c r="V23" i="16"/>
  <c r="U23" i="16"/>
  <c r="T23" i="16"/>
  <c r="S23" i="16"/>
  <c r="R23" i="16"/>
  <c r="Q23" i="16"/>
  <c r="P23" i="16"/>
  <c r="O23" i="16"/>
  <c r="N23" i="16"/>
  <c r="M23" i="16"/>
  <c r="L23" i="16"/>
  <c r="K23" i="16"/>
  <c r="I23" i="16"/>
  <c r="H23" i="16"/>
  <c r="E23" i="16"/>
  <c r="D23" i="16"/>
  <c r="C23" i="16"/>
  <c r="B23" i="16"/>
  <c r="A23" i="16"/>
  <c r="AI22" i="16"/>
  <c r="AH22" i="16"/>
  <c r="AG22" i="16"/>
  <c r="AF22" i="16"/>
  <c r="AE22" i="16"/>
  <c r="AD22" i="16"/>
  <c r="W22" i="16"/>
  <c r="V22" i="16"/>
  <c r="U22" i="16"/>
  <c r="T22" i="16"/>
  <c r="S22" i="16"/>
  <c r="R22" i="16"/>
  <c r="Q22" i="16"/>
  <c r="P22" i="16"/>
  <c r="O22" i="16"/>
  <c r="N22" i="16"/>
  <c r="M22" i="16"/>
  <c r="L22" i="16"/>
  <c r="K22" i="16"/>
  <c r="I22" i="16"/>
  <c r="H22" i="16"/>
  <c r="E22" i="16"/>
  <c r="D22" i="16"/>
  <c r="C22" i="16"/>
  <c r="B22" i="16"/>
  <c r="A22" i="16"/>
  <c r="AI21" i="16"/>
  <c r="AH21" i="16"/>
  <c r="AG21" i="16"/>
  <c r="AF21" i="16"/>
  <c r="AE21" i="16"/>
  <c r="AD21" i="16"/>
  <c r="W21" i="16"/>
  <c r="V21" i="16"/>
  <c r="U21" i="16"/>
  <c r="T21" i="16"/>
  <c r="S21" i="16"/>
  <c r="R21" i="16"/>
  <c r="Q21" i="16"/>
  <c r="P21" i="16"/>
  <c r="O21" i="16"/>
  <c r="N21" i="16"/>
  <c r="M21" i="16"/>
  <c r="L21" i="16"/>
  <c r="K21" i="16"/>
  <c r="I21" i="16"/>
  <c r="H21" i="16"/>
  <c r="E21" i="16"/>
  <c r="D21" i="16"/>
  <c r="C21" i="16"/>
  <c r="B21" i="16"/>
  <c r="A21" i="16"/>
  <c r="AI20" i="16"/>
  <c r="AH20" i="16"/>
  <c r="AG20" i="16"/>
  <c r="AF20" i="16"/>
  <c r="AE20" i="16"/>
  <c r="AD20" i="16"/>
  <c r="W20" i="16"/>
  <c r="V20" i="16"/>
  <c r="U20" i="16"/>
  <c r="T20" i="16"/>
  <c r="S20" i="16"/>
  <c r="R20" i="16"/>
  <c r="Q20" i="16"/>
  <c r="P20" i="16"/>
  <c r="O20" i="16"/>
  <c r="N20" i="16"/>
  <c r="M20" i="16"/>
  <c r="L20" i="16"/>
  <c r="K20" i="16"/>
  <c r="I20" i="16"/>
  <c r="H20" i="16"/>
  <c r="E20" i="16"/>
  <c r="D20" i="16"/>
  <c r="C20" i="16"/>
  <c r="B20" i="16"/>
  <c r="A20" i="16"/>
  <c r="AI19" i="16"/>
  <c r="AH19" i="16"/>
  <c r="AG19" i="16"/>
  <c r="AF19" i="16"/>
  <c r="AE19" i="16"/>
  <c r="AD19" i="16"/>
  <c r="W19" i="16"/>
  <c r="V19" i="16"/>
  <c r="U19" i="16"/>
  <c r="T19" i="16"/>
  <c r="S19" i="16"/>
  <c r="R19" i="16"/>
  <c r="Q19" i="16"/>
  <c r="P19" i="16"/>
  <c r="O19" i="16"/>
  <c r="N19" i="16"/>
  <c r="M19" i="16"/>
  <c r="L19" i="16"/>
  <c r="K19" i="16"/>
  <c r="I19" i="16"/>
  <c r="H19" i="16"/>
  <c r="E19" i="16"/>
  <c r="D19" i="16"/>
  <c r="C19" i="16"/>
  <c r="B19" i="16"/>
  <c r="A19" i="16"/>
  <c r="AI18" i="16"/>
  <c r="AH18" i="16"/>
  <c r="AG18" i="16"/>
  <c r="AF18" i="16"/>
  <c r="AE18" i="16"/>
  <c r="AD18" i="16"/>
  <c r="W18" i="16"/>
  <c r="V18" i="16"/>
  <c r="U18" i="16"/>
  <c r="T18" i="16"/>
  <c r="S18" i="16"/>
  <c r="R18" i="16"/>
  <c r="Q18" i="16"/>
  <c r="P18" i="16"/>
  <c r="O18" i="16"/>
  <c r="N18" i="16"/>
  <c r="M18" i="16"/>
  <c r="L18" i="16"/>
  <c r="K18" i="16"/>
  <c r="I18" i="16"/>
  <c r="H18" i="16"/>
  <c r="E18" i="16"/>
  <c r="D18" i="16"/>
  <c r="C18" i="16"/>
  <c r="B18" i="16"/>
  <c r="A18" i="16"/>
  <c r="AI17" i="16"/>
  <c r="AH17" i="16"/>
  <c r="AG17" i="16"/>
  <c r="AF17" i="16"/>
  <c r="AE17" i="16"/>
  <c r="AD17" i="16"/>
  <c r="W17" i="16"/>
  <c r="V17" i="16"/>
  <c r="U17" i="16"/>
  <c r="T17" i="16"/>
  <c r="S17" i="16"/>
  <c r="R17" i="16"/>
  <c r="Q17" i="16"/>
  <c r="P17" i="16"/>
  <c r="O17" i="16"/>
  <c r="N17" i="16"/>
  <c r="M17" i="16"/>
  <c r="L17" i="16"/>
  <c r="K17" i="16"/>
  <c r="I17" i="16"/>
  <c r="H17" i="16"/>
  <c r="E17" i="16"/>
  <c r="D17" i="16"/>
  <c r="C17" i="16"/>
  <c r="B17" i="16"/>
  <c r="A17" i="16"/>
  <c r="AI16" i="16"/>
  <c r="AH16" i="16"/>
  <c r="AG16" i="16"/>
  <c r="AF16" i="16"/>
  <c r="AE16" i="16"/>
  <c r="AD16" i="16"/>
  <c r="W16" i="16"/>
  <c r="V16" i="16"/>
  <c r="U16" i="16"/>
  <c r="T16" i="16"/>
  <c r="S16" i="16"/>
  <c r="R16" i="16"/>
  <c r="Q16" i="16"/>
  <c r="P16" i="16"/>
  <c r="O16" i="16"/>
  <c r="N16" i="16"/>
  <c r="M16" i="16"/>
  <c r="L16" i="16"/>
  <c r="K16" i="16"/>
  <c r="I16" i="16"/>
  <c r="H16" i="16"/>
  <c r="E16" i="16"/>
  <c r="D16" i="16"/>
  <c r="C16" i="16"/>
  <c r="B16" i="16"/>
  <c r="A16" i="16"/>
  <c r="AI15" i="16"/>
  <c r="AH15" i="16"/>
  <c r="AG15" i="16"/>
  <c r="AF15" i="16"/>
  <c r="AE15" i="16"/>
  <c r="AD15" i="16"/>
  <c r="W15" i="16"/>
  <c r="V15" i="16"/>
  <c r="U15" i="16"/>
  <c r="T15" i="16"/>
  <c r="S15" i="16"/>
  <c r="R15" i="16"/>
  <c r="Q15" i="16"/>
  <c r="P15" i="16"/>
  <c r="O15" i="16"/>
  <c r="N15" i="16"/>
  <c r="M15" i="16"/>
  <c r="L15" i="16"/>
  <c r="K15" i="16"/>
  <c r="I15" i="16"/>
  <c r="H15" i="16"/>
  <c r="E15" i="16"/>
  <c r="D15" i="16"/>
  <c r="C15" i="16"/>
  <c r="B15" i="16"/>
  <c r="A15" i="16"/>
  <c r="AI14" i="16"/>
  <c r="AH14" i="16"/>
  <c r="AG14" i="16"/>
  <c r="AF14" i="16"/>
  <c r="AE14" i="16"/>
  <c r="AD14" i="16"/>
  <c r="W14" i="16"/>
  <c r="V14" i="16"/>
  <c r="U14" i="16"/>
  <c r="T14" i="16"/>
  <c r="S14" i="16"/>
  <c r="R14" i="16"/>
  <c r="Q14" i="16"/>
  <c r="P14" i="16"/>
  <c r="O14" i="16"/>
  <c r="N14" i="16"/>
  <c r="M14" i="16"/>
  <c r="L14" i="16"/>
  <c r="K14" i="16"/>
  <c r="I14" i="16"/>
  <c r="H14" i="16"/>
  <c r="E14" i="16"/>
  <c r="D14" i="16"/>
  <c r="C14" i="16"/>
  <c r="B14" i="16"/>
  <c r="A14" i="16"/>
  <c r="AI13" i="16"/>
  <c r="AH13" i="16"/>
  <c r="AG13" i="16"/>
  <c r="AF13" i="16"/>
  <c r="AE13" i="16"/>
  <c r="AD13" i="16"/>
  <c r="W13" i="16"/>
  <c r="V13" i="16"/>
  <c r="U13" i="16"/>
  <c r="T13" i="16"/>
  <c r="S13" i="16"/>
  <c r="R13" i="16"/>
  <c r="Q13" i="16"/>
  <c r="P13" i="16"/>
  <c r="O13" i="16"/>
  <c r="N13" i="16"/>
  <c r="M13" i="16"/>
  <c r="L13" i="16"/>
  <c r="K13" i="16"/>
  <c r="I13" i="16"/>
  <c r="H13" i="16"/>
  <c r="E13" i="16"/>
  <c r="D13" i="16"/>
  <c r="C13" i="16"/>
  <c r="B13" i="16"/>
  <c r="A13" i="16"/>
  <c r="AI12" i="16"/>
  <c r="AH12" i="16"/>
  <c r="AG12" i="16"/>
  <c r="AF12" i="16"/>
  <c r="AE12" i="16"/>
  <c r="AD12" i="16"/>
  <c r="W12" i="16"/>
  <c r="V12" i="16"/>
  <c r="U12" i="16"/>
  <c r="T12" i="16"/>
  <c r="S12" i="16"/>
  <c r="R12" i="16"/>
  <c r="Q12" i="16"/>
  <c r="P12" i="16"/>
  <c r="O12" i="16"/>
  <c r="N12" i="16"/>
  <c r="M12" i="16"/>
  <c r="L12" i="16"/>
  <c r="K12" i="16"/>
  <c r="I12" i="16"/>
  <c r="H12" i="16"/>
  <c r="E12" i="16"/>
  <c r="D12" i="16"/>
  <c r="C12" i="16"/>
  <c r="B12" i="16"/>
  <c r="A12" i="16"/>
  <c r="AI11" i="16"/>
  <c r="AH11" i="16"/>
  <c r="AG11" i="16"/>
  <c r="AF11" i="16"/>
  <c r="AE11" i="16"/>
  <c r="AD11" i="16"/>
  <c r="W11" i="16"/>
  <c r="V11" i="16"/>
  <c r="U11" i="16"/>
  <c r="T11" i="16"/>
  <c r="S11" i="16"/>
  <c r="R11" i="16"/>
  <c r="Q11" i="16"/>
  <c r="P11" i="16"/>
  <c r="O11" i="16"/>
  <c r="N11" i="16"/>
  <c r="M11" i="16"/>
  <c r="L11" i="16"/>
  <c r="K11" i="16"/>
  <c r="I11" i="16"/>
  <c r="H11" i="16"/>
  <c r="E11" i="16"/>
  <c r="D11" i="16"/>
  <c r="C11" i="16"/>
  <c r="B11" i="16"/>
  <c r="A11" i="16"/>
  <c r="AI10" i="16"/>
  <c r="AH10" i="16"/>
  <c r="AG10" i="16"/>
  <c r="AF10" i="16"/>
  <c r="AE10" i="16"/>
  <c r="AD10" i="16"/>
  <c r="W10" i="16"/>
  <c r="V10" i="16"/>
  <c r="U10" i="16"/>
  <c r="T10" i="16"/>
  <c r="S10" i="16"/>
  <c r="R10" i="16"/>
  <c r="Q10" i="16"/>
  <c r="P10" i="16"/>
  <c r="O10" i="16"/>
  <c r="N10" i="16"/>
  <c r="M10" i="16"/>
  <c r="L10" i="16"/>
  <c r="K10" i="16"/>
  <c r="I10" i="16"/>
  <c r="H10" i="16"/>
  <c r="E10" i="16"/>
  <c r="D10" i="16"/>
  <c r="C10" i="16"/>
  <c r="B10" i="16"/>
  <c r="A10" i="16"/>
  <c r="AI9" i="16"/>
  <c r="AH9" i="16"/>
  <c r="AG9" i="16"/>
  <c r="AF9" i="16"/>
  <c r="AE9" i="16"/>
  <c r="AD9" i="16"/>
  <c r="W9" i="16"/>
  <c r="V9" i="16"/>
  <c r="U9" i="16"/>
  <c r="T9" i="16"/>
  <c r="S9" i="16"/>
  <c r="R9" i="16"/>
  <c r="Q9" i="16"/>
  <c r="P9" i="16"/>
  <c r="O9" i="16"/>
  <c r="N9" i="16"/>
  <c r="M9" i="16"/>
  <c r="L9" i="16"/>
  <c r="K9" i="16"/>
  <c r="I9" i="16"/>
  <c r="H9" i="16"/>
  <c r="E9" i="16"/>
  <c r="D9" i="16"/>
  <c r="C9" i="16"/>
  <c r="B9" i="16"/>
  <c r="A9" i="16"/>
  <c r="AI8" i="16"/>
  <c r="AH8" i="16"/>
  <c r="AG8" i="16"/>
  <c r="AF8" i="16"/>
  <c r="AE8" i="16"/>
  <c r="AD8" i="16"/>
  <c r="W8" i="16"/>
  <c r="V8" i="16"/>
  <c r="U8" i="16"/>
  <c r="T8" i="16"/>
  <c r="S8" i="16"/>
  <c r="R8" i="16"/>
  <c r="Q8" i="16"/>
  <c r="P8" i="16"/>
  <c r="O8" i="16"/>
  <c r="N8" i="16"/>
  <c r="M8" i="16"/>
  <c r="L8" i="16"/>
  <c r="K8" i="16"/>
  <c r="I8" i="16"/>
  <c r="H8" i="16"/>
  <c r="E8" i="16"/>
  <c r="D8" i="16"/>
  <c r="C8" i="16"/>
  <c r="B8" i="16"/>
  <c r="A8" i="16"/>
  <c r="AI7" i="16"/>
  <c r="AH7" i="16"/>
  <c r="AG7" i="16"/>
  <c r="AF7" i="16"/>
  <c r="AE7" i="16"/>
  <c r="AD7" i="16"/>
  <c r="W7" i="16"/>
  <c r="V7" i="16"/>
  <c r="U7" i="16"/>
  <c r="T7" i="16"/>
  <c r="S7" i="16"/>
  <c r="R7" i="16"/>
  <c r="Q7" i="16"/>
  <c r="P7" i="16"/>
  <c r="O7" i="16"/>
  <c r="N7" i="16"/>
  <c r="M7" i="16"/>
  <c r="L7" i="16"/>
  <c r="K7" i="16"/>
  <c r="I7" i="16"/>
  <c r="H7" i="16"/>
  <c r="E7" i="16"/>
  <c r="D7" i="16"/>
  <c r="C7" i="16"/>
  <c r="B7" i="16"/>
  <c r="A7" i="16"/>
  <c r="AI6" i="16"/>
  <c r="AH6" i="16"/>
  <c r="AG6" i="16"/>
  <c r="AF6" i="16"/>
  <c r="AE6" i="16"/>
  <c r="AD6" i="16"/>
  <c r="W6" i="16"/>
  <c r="V6" i="16"/>
  <c r="U6" i="16"/>
  <c r="T6" i="16"/>
  <c r="S6" i="16"/>
  <c r="R6" i="16"/>
  <c r="Q6" i="16"/>
  <c r="P6" i="16"/>
  <c r="O6" i="16"/>
  <c r="N6" i="16"/>
  <c r="M6" i="16"/>
  <c r="L6" i="16"/>
  <c r="K6" i="16"/>
  <c r="I6" i="16"/>
  <c r="H6" i="16"/>
  <c r="E6" i="16"/>
  <c r="D6" i="16"/>
  <c r="C6" i="16"/>
  <c r="B6" i="16"/>
  <c r="A6" i="16"/>
  <c r="AI5" i="16"/>
  <c r="AH5" i="16"/>
  <c r="AG5" i="16"/>
  <c r="AF5" i="16"/>
  <c r="AE5" i="16"/>
  <c r="AD5" i="16"/>
  <c r="W5" i="16"/>
  <c r="V5" i="16"/>
  <c r="U5" i="16"/>
  <c r="T5" i="16"/>
  <c r="S5" i="16"/>
  <c r="R5" i="16"/>
  <c r="Q5" i="16"/>
  <c r="P5" i="16"/>
  <c r="O5" i="16"/>
  <c r="N5" i="16"/>
  <c r="M5" i="16"/>
  <c r="L5" i="16"/>
  <c r="K5" i="16"/>
  <c r="I5" i="16"/>
  <c r="H5" i="16"/>
  <c r="E5" i="16"/>
  <c r="D5" i="16"/>
  <c r="C5" i="16"/>
  <c r="B5" i="16"/>
  <c r="A5" i="16"/>
  <c r="AI4" i="16"/>
  <c r="AH4" i="16"/>
  <c r="AG4" i="16"/>
  <c r="AF4" i="16"/>
  <c r="AE4" i="16"/>
  <c r="AD4" i="16"/>
  <c r="W4" i="16"/>
  <c r="V4" i="16"/>
  <c r="U4" i="16"/>
  <c r="T4" i="16"/>
  <c r="S4" i="16"/>
  <c r="R4" i="16"/>
  <c r="Q4" i="16"/>
  <c r="P4" i="16"/>
  <c r="O4" i="16"/>
  <c r="N4" i="16"/>
  <c r="M4" i="16"/>
  <c r="L4" i="16"/>
  <c r="K4" i="16"/>
  <c r="I4" i="16"/>
  <c r="H4" i="16"/>
  <c r="E4" i="16"/>
  <c r="D4" i="16"/>
  <c r="C4" i="16"/>
  <c r="B4" i="16"/>
  <c r="A4" i="16"/>
  <c r="AI3" i="16"/>
  <c r="AH3" i="16"/>
  <c r="AG3" i="16"/>
  <c r="AF3" i="16"/>
  <c r="AE3" i="16"/>
  <c r="AD3" i="16"/>
  <c r="W3" i="16"/>
  <c r="V3" i="16"/>
  <c r="U3" i="16"/>
  <c r="T3" i="16"/>
  <c r="S3" i="16"/>
  <c r="R3" i="16"/>
  <c r="Q3" i="16"/>
  <c r="P3" i="16"/>
  <c r="O3" i="16"/>
  <c r="N3" i="16"/>
  <c r="M3" i="16"/>
  <c r="L3" i="16"/>
  <c r="K3" i="16"/>
  <c r="I3" i="16"/>
  <c r="H3" i="16"/>
  <c r="E3" i="16"/>
  <c r="D3" i="16"/>
  <c r="C3" i="16"/>
  <c r="B3" i="16"/>
  <c r="A3" i="16"/>
  <c r="AI2" i="16"/>
  <c r="AH2" i="16"/>
  <c r="AG2" i="16"/>
  <c r="AF2" i="16"/>
  <c r="AE2" i="16"/>
  <c r="AD2" i="16"/>
  <c r="W2" i="16"/>
  <c r="V2" i="16"/>
  <c r="U2" i="16"/>
  <c r="T2" i="16"/>
  <c r="S2" i="16"/>
  <c r="R2" i="16"/>
  <c r="Q2" i="16"/>
  <c r="P2" i="16"/>
  <c r="O2" i="16"/>
  <c r="N2" i="16"/>
  <c r="M2" i="16"/>
  <c r="L2" i="16"/>
  <c r="K2" i="16"/>
  <c r="I2" i="16"/>
  <c r="H2" i="16"/>
  <c r="E2" i="16"/>
  <c r="D2" i="16"/>
  <c r="C2" i="16"/>
  <c r="B2" i="16"/>
  <c r="A2" i="16"/>
  <c r="AI55" i="17"/>
  <c r="AH55" i="17"/>
  <c r="AG55" i="17"/>
  <c r="AF55" i="17"/>
  <c r="AE55" i="17"/>
  <c r="AD55" i="17"/>
  <c r="W55" i="17"/>
  <c r="V55" i="17"/>
  <c r="U55" i="17"/>
  <c r="T55" i="17"/>
  <c r="S55" i="17"/>
  <c r="R55" i="17"/>
  <c r="Q55" i="17"/>
  <c r="P55" i="17"/>
  <c r="O55" i="17"/>
  <c r="N55" i="17"/>
  <c r="M55" i="17"/>
  <c r="L55" i="17"/>
  <c r="K55" i="17"/>
  <c r="I55" i="17"/>
  <c r="H55" i="17"/>
  <c r="E55" i="17"/>
  <c r="D55" i="17"/>
  <c r="C55" i="17"/>
  <c r="B55" i="17"/>
  <c r="A55" i="17"/>
  <c r="AI54" i="17"/>
  <c r="AH54" i="17"/>
  <c r="AG54" i="17"/>
  <c r="AF54" i="17"/>
  <c r="AE54" i="17"/>
  <c r="AD54" i="17"/>
  <c r="W54" i="17"/>
  <c r="V54" i="17"/>
  <c r="U54" i="17"/>
  <c r="T54" i="17"/>
  <c r="S54" i="17"/>
  <c r="R54" i="17"/>
  <c r="Q54" i="17"/>
  <c r="P54" i="17"/>
  <c r="O54" i="17"/>
  <c r="N54" i="17"/>
  <c r="M54" i="17"/>
  <c r="L54" i="17"/>
  <c r="K54" i="17"/>
  <c r="I54" i="17"/>
  <c r="H54" i="17"/>
  <c r="E54" i="17"/>
  <c r="D54" i="17"/>
  <c r="C54" i="17"/>
  <c r="B54" i="17"/>
  <c r="A54" i="17"/>
  <c r="AI53" i="17"/>
  <c r="AH53" i="17"/>
  <c r="AG53" i="17"/>
  <c r="AF53" i="17"/>
  <c r="AE53" i="17"/>
  <c r="AD53" i="17"/>
  <c r="W53" i="17"/>
  <c r="V53" i="17"/>
  <c r="U53" i="17"/>
  <c r="T53" i="17"/>
  <c r="S53" i="17"/>
  <c r="R53" i="17"/>
  <c r="Q53" i="17"/>
  <c r="P53" i="17"/>
  <c r="O53" i="17"/>
  <c r="N53" i="17"/>
  <c r="M53" i="17"/>
  <c r="L53" i="17"/>
  <c r="K53" i="17"/>
  <c r="I53" i="17"/>
  <c r="H53" i="17"/>
  <c r="E53" i="17"/>
  <c r="D53" i="17"/>
  <c r="C53" i="17"/>
  <c r="B53" i="17"/>
  <c r="A53" i="17"/>
  <c r="AI52" i="17"/>
  <c r="AH52" i="17"/>
  <c r="AG52" i="17"/>
  <c r="AF52" i="17"/>
  <c r="AE52" i="17"/>
  <c r="AD52" i="17"/>
  <c r="W52" i="17"/>
  <c r="V52" i="17"/>
  <c r="U52" i="17"/>
  <c r="T52" i="17"/>
  <c r="S52" i="17"/>
  <c r="R52" i="17"/>
  <c r="Q52" i="17"/>
  <c r="P52" i="17"/>
  <c r="O52" i="17"/>
  <c r="N52" i="17"/>
  <c r="M52" i="17"/>
  <c r="L52" i="17"/>
  <c r="K52" i="17"/>
  <c r="I52" i="17"/>
  <c r="H52" i="17"/>
  <c r="E52" i="17"/>
  <c r="D52" i="17"/>
  <c r="C52" i="17"/>
  <c r="B52" i="17"/>
  <c r="A52" i="17"/>
  <c r="AI51" i="17"/>
  <c r="AH51" i="17"/>
  <c r="AG51" i="17"/>
  <c r="AF51" i="17"/>
  <c r="AE51" i="17"/>
  <c r="AD51" i="17"/>
  <c r="W51" i="17"/>
  <c r="V51" i="17"/>
  <c r="U51" i="17"/>
  <c r="T51" i="17"/>
  <c r="S51" i="17"/>
  <c r="R51" i="17"/>
  <c r="Q51" i="17"/>
  <c r="P51" i="17"/>
  <c r="O51" i="17"/>
  <c r="N51" i="17"/>
  <c r="M51" i="17"/>
  <c r="L51" i="17"/>
  <c r="K51" i="17"/>
  <c r="I51" i="17"/>
  <c r="H51" i="17"/>
  <c r="E51" i="17"/>
  <c r="D51" i="17"/>
  <c r="C51" i="17"/>
  <c r="B51" i="17"/>
  <c r="A51" i="17"/>
  <c r="AI50" i="17"/>
  <c r="AH50" i="17"/>
  <c r="AG50" i="17"/>
  <c r="AF50" i="17"/>
  <c r="AE50" i="17"/>
  <c r="AD50" i="17"/>
  <c r="W50" i="17"/>
  <c r="V50" i="17"/>
  <c r="U50" i="17"/>
  <c r="T50" i="17"/>
  <c r="S50" i="17"/>
  <c r="R50" i="17"/>
  <c r="Q50" i="17"/>
  <c r="P50" i="17"/>
  <c r="O50" i="17"/>
  <c r="N50" i="17"/>
  <c r="M50" i="17"/>
  <c r="L50" i="17"/>
  <c r="K50" i="17"/>
  <c r="I50" i="17"/>
  <c r="H50" i="17"/>
  <c r="E50" i="17"/>
  <c r="D50" i="17"/>
  <c r="C50" i="17"/>
  <c r="B50" i="17"/>
  <c r="A50" i="17"/>
  <c r="AI49" i="17"/>
  <c r="AH49" i="17"/>
  <c r="AG49" i="17"/>
  <c r="AF49" i="17"/>
  <c r="AE49" i="17"/>
  <c r="AD49" i="17"/>
  <c r="W49" i="17"/>
  <c r="V49" i="17"/>
  <c r="U49" i="17"/>
  <c r="T49" i="17"/>
  <c r="S49" i="17"/>
  <c r="R49" i="17"/>
  <c r="Q49" i="17"/>
  <c r="P49" i="17"/>
  <c r="O49" i="17"/>
  <c r="N49" i="17"/>
  <c r="M49" i="17"/>
  <c r="L49" i="17"/>
  <c r="K49" i="17"/>
  <c r="I49" i="17"/>
  <c r="H49" i="17"/>
  <c r="E49" i="17"/>
  <c r="D49" i="17"/>
  <c r="C49" i="17"/>
  <c r="B49" i="17"/>
  <c r="A49" i="17"/>
  <c r="AI48" i="17"/>
  <c r="AH48" i="17"/>
  <c r="AG48" i="17"/>
  <c r="AF48" i="17"/>
  <c r="AE48" i="17"/>
  <c r="AD48" i="17"/>
  <c r="W48" i="17"/>
  <c r="V48" i="17"/>
  <c r="U48" i="17"/>
  <c r="T48" i="17"/>
  <c r="S48" i="17"/>
  <c r="R48" i="17"/>
  <c r="Q48" i="17"/>
  <c r="P48" i="17"/>
  <c r="O48" i="17"/>
  <c r="N48" i="17"/>
  <c r="M48" i="17"/>
  <c r="L48" i="17"/>
  <c r="K48" i="17"/>
  <c r="I48" i="17"/>
  <c r="H48" i="17"/>
  <c r="E48" i="17"/>
  <c r="D48" i="17"/>
  <c r="C48" i="17"/>
  <c r="B48" i="17"/>
  <c r="A48" i="17"/>
  <c r="AI47" i="17"/>
  <c r="AH47" i="17"/>
  <c r="AG47" i="17"/>
  <c r="AF47" i="17"/>
  <c r="AE47" i="17"/>
  <c r="AD47" i="17"/>
  <c r="W47" i="17"/>
  <c r="V47" i="17"/>
  <c r="U47" i="17"/>
  <c r="T47" i="17"/>
  <c r="S47" i="17"/>
  <c r="R47" i="17"/>
  <c r="Q47" i="17"/>
  <c r="P47" i="17"/>
  <c r="O47" i="17"/>
  <c r="N47" i="17"/>
  <c r="M47" i="17"/>
  <c r="L47" i="17"/>
  <c r="K47" i="17"/>
  <c r="I47" i="17"/>
  <c r="H47" i="17"/>
  <c r="E47" i="17"/>
  <c r="D47" i="17"/>
  <c r="C47" i="17"/>
  <c r="B47" i="17"/>
  <c r="A47" i="17"/>
  <c r="AI46" i="17"/>
  <c r="AH46" i="17"/>
  <c r="AG46" i="17"/>
  <c r="AF46" i="17"/>
  <c r="AE46" i="17"/>
  <c r="AD46" i="17"/>
  <c r="W46" i="17"/>
  <c r="V46" i="17"/>
  <c r="U46" i="17"/>
  <c r="T46" i="17"/>
  <c r="S46" i="17"/>
  <c r="R46" i="17"/>
  <c r="Q46" i="17"/>
  <c r="P46" i="17"/>
  <c r="O46" i="17"/>
  <c r="N46" i="17"/>
  <c r="M46" i="17"/>
  <c r="L46" i="17"/>
  <c r="K46" i="17"/>
  <c r="I46" i="17"/>
  <c r="H46" i="17"/>
  <c r="E46" i="17"/>
  <c r="D46" i="17"/>
  <c r="C46" i="17"/>
  <c r="B46" i="17"/>
  <c r="A46" i="17"/>
  <c r="AI45" i="17"/>
  <c r="AH45" i="17"/>
  <c r="AG45" i="17"/>
  <c r="AF45" i="17"/>
  <c r="AE45" i="17"/>
  <c r="AD45" i="17"/>
  <c r="W45" i="17"/>
  <c r="V45" i="17"/>
  <c r="U45" i="17"/>
  <c r="T45" i="17"/>
  <c r="S45" i="17"/>
  <c r="R45" i="17"/>
  <c r="Q45" i="17"/>
  <c r="P45" i="17"/>
  <c r="O45" i="17"/>
  <c r="N45" i="17"/>
  <c r="M45" i="17"/>
  <c r="L45" i="17"/>
  <c r="K45" i="17"/>
  <c r="I45" i="17"/>
  <c r="H45" i="17"/>
  <c r="E45" i="17"/>
  <c r="D45" i="17"/>
  <c r="C45" i="17"/>
  <c r="B45" i="17"/>
  <c r="A45" i="17"/>
  <c r="AI44" i="17"/>
  <c r="AH44" i="17"/>
  <c r="AG44" i="17"/>
  <c r="AF44" i="17"/>
  <c r="AE44" i="17"/>
  <c r="AD44" i="17"/>
  <c r="W44" i="17"/>
  <c r="V44" i="17"/>
  <c r="U44" i="17"/>
  <c r="T44" i="17"/>
  <c r="S44" i="17"/>
  <c r="R44" i="17"/>
  <c r="Q44" i="17"/>
  <c r="P44" i="17"/>
  <c r="O44" i="17"/>
  <c r="N44" i="17"/>
  <c r="M44" i="17"/>
  <c r="L44" i="17"/>
  <c r="K44" i="17"/>
  <c r="I44" i="17"/>
  <c r="H44" i="17"/>
  <c r="E44" i="17"/>
  <c r="D44" i="17"/>
  <c r="C44" i="17"/>
  <c r="B44" i="17"/>
  <c r="A44" i="17"/>
  <c r="AI43" i="17"/>
  <c r="AH43" i="17"/>
  <c r="AG43" i="17"/>
  <c r="AF43" i="17"/>
  <c r="AE43" i="17"/>
  <c r="AD43" i="17"/>
  <c r="W43" i="17"/>
  <c r="V43" i="17"/>
  <c r="U43" i="17"/>
  <c r="T43" i="17"/>
  <c r="S43" i="17"/>
  <c r="R43" i="17"/>
  <c r="Q43" i="17"/>
  <c r="P43" i="17"/>
  <c r="O43" i="17"/>
  <c r="N43" i="17"/>
  <c r="M43" i="17"/>
  <c r="L43" i="17"/>
  <c r="K43" i="17"/>
  <c r="I43" i="17"/>
  <c r="H43" i="17"/>
  <c r="E43" i="17"/>
  <c r="D43" i="17"/>
  <c r="C43" i="17"/>
  <c r="B43" i="17"/>
  <c r="A43" i="17"/>
  <c r="AI42" i="17"/>
  <c r="AH42" i="17"/>
  <c r="AG42" i="17"/>
  <c r="AF42" i="17"/>
  <c r="AE42" i="17"/>
  <c r="AD42" i="17"/>
  <c r="W42" i="17"/>
  <c r="V42" i="17"/>
  <c r="U42" i="17"/>
  <c r="T42" i="17"/>
  <c r="S42" i="17"/>
  <c r="R42" i="17"/>
  <c r="Q42" i="17"/>
  <c r="P42" i="17"/>
  <c r="O42" i="17"/>
  <c r="N42" i="17"/>
  <c r="M42" i="17"/>
  <c r="L42" i="17"/>
  <c r="K42" i="17"/>
  <c r="I42" i="17"/>
  <c r="H42" i="17"/>
  <c r="E42" i="17"/>
  <c r="D42" i="17"/>
  <c r="C42" i="17"/>
  <c r="B42" i="17"/>
  <c r="A42" i="17"/>
  <c r="AI41" i="17"/>
  <c r="AH41" i="17"/>
  <c r="AG41" i="17"/>
  <c r="AF41" i="17"/>
  <c r="AE41" i="17"/>
  <c r="AD41" i="17"/>
  <c r="W41" i="17"/>
  <c r="V41" i="17"/>
  <c r="U41" i="17"/>
  <c r="T41" i="17"/>
  <c r="S41" i="17"/>
  <c r="R41" i="17"/>
  <c r="Q41" i="17"/>
  <c r="P41" i="17"/>
  <c r="O41" i="17"/>
  <c r="N41" i="17"/>
  <c r="M41" i="17"/>
  <c r="L41" i="17"/>
  <c r="K41" i="17"/>
  <c r="I41" i="17"/>
  <c r="H41" i="17"/>
  <c r="E41" i="17"/>
  <c r="D41" i="17"/>
  <c r="C41" i="17"/>
  <c r="B41" i="17"/>
  <c r="A41" i="17"/>
  <c r="AI40" i="17"/>
  <c r="AH40" i="17"/>
  <c r="AG40" i="17"/>
  <c r="AF40" i="17"/>
  <c r="AE40" i="17"/>
  <c r="AD40" i="17"/>
  <c r="W40" i="17"/>
  <c r="V40" i="17"/>
  <c r="U40" i="17"/>
  <c r="T40" i="17"/>
  <c r="S40" i="17"/>
  <c r="R40" i="17"/>
  <c r="Q40" i="17"/>
  <c r="P40" i="17"/>
  <c r="O40" i="17"/>
  <c r="N40" i="17"/>
  <c r="M40" i="17"/>
  <c r="L40" i="17"/>
  <c r="K40" i="17"/>
  <c r="I40" i="17"/>
  <c r="H40" i="17"/>
  <c r="E40" i="17"/>
  <c r="D40" i="17"/>
  <c r="C40" i="17"/>
  <c r="B40" i="17"/>
  <c r="A40" i="17"/>
  <c r="AI39" i="17"/>
  <c r="AH39" i="17"/>
  <c r="AG39" i="17"/>
  <c r="AF39" i="17"/>
  <c r="AE39" i="17"/>
  <c r="AD39" i="17"/>
  <c r="W39" i="17"/>
  <c r="V39" i="17"/>
  <c r="U39" i="17"/>
  <c r="T39" i="17"/>
  <c r="S39" i="17"/>
  <c r="R39" i="17"/>
  <c r="Q39" i="17"/>
  <c r="P39" i="17"/>
  <c r="O39" i="17"/>
  <c r="N39" i="17"/>
  <c r="M39" i="17"/>
  <c r="L39" i="17"/>
  <c r="K39" i="17"/>
  <c r="I39" i="17"/>
  <c r="H39" i="17"/>
  <c r="E39" i="17"/>
  <c r="D39" i="17"/>
  <c r="C39" i="17"/>
  <c r="B39" i="17"/>
  <c r="A39" i="17"/>
  <c r="AI38" i="17"/>
  <c r="AH38" i="17"/>
  <c r="AG38" i="17"/>
  <c r="AF38" i="17"/>
  <c r="AE38" i="17"/>
  <c r="AD38" i="17"/>
  <c r="W38" i="17"/>
  <c r="V38" i="17"/>
  <c r="U38" i="17"/>
  <c r="T38" i="17"/>
  <c r="S38" i="17"/>
  <c r="R38" i="17"/>
  <c r="Q38" i="17"/>
  <c r="P38" i="17"/>
  <c r="O38" i="17"/>
  <c r="N38" i="17"/>
  <c r="M38" i="17"/>
  <c r="L38" i="17"/>
  <c r="K38" i="17"/>
  <c r="I38" i="17"/>
  <c r="H38" i="17"/>
  <c r="E38" i="17"/>
  <c r="D38" i="17"/>
  <c r="C38" i="17"/>
  <c r="B38" i="17"/>
  <c r="A38" i="17"/>
  <c r="AI37" i="17"/>
  <c r="AH37" i="17"/>
  <c r="AG37" i="17"/>
  <c r="AF37" i="17"/>
  <c r="AE37" i="17"/>
  <c r="AD37" i="17"/>
  <c r="W37" i="17"/>
  <c r="V37" i="17"/>
  <c r="U37" i="17"/>
  <c r="T37" i="17"/>
  <c r="S37" i="17"/>
  <c r="R37" i="17"/>
  <c r="Q37" i="17"/>
  <c r="P37" i="17"/>
  <c r="O37" i="17"/>
  <c r="N37" i="17"/>
  <c r="M37" i="17"/>
  <c r="L37" i="17"/>
  <c r="K37" i="17"/>
  <c r="I37" i="17"/>
  <c r="H37" i="17"/>
  <c r="E37" i="17"/>
  <c r="D37" i="17"/>
  <c r="C37" i="17"/>
  <c r="B37" i="17"/>
  <c r="A37" i="17"/>
  <c r="AI36" i="17"/>
  <c r="AH36" i="17"/>
  <c r="AG36" i="17"/>
  <c r="AF36" i="17"/>
  <c r="AE36" i="17"/>
  <c r="AD36" i="17"/>
  <c r="W36" i="17"/>
  <c r="V36" i="17"/>
  <c r="U36" i="17"/>
  <c r="T36" i="17"/>
  <c r="S36" i="17"/>
  <c r="R36" i="17"/>
  <c r="Q36" i="17"/>
  <c r="P36" i="17"/>
  <c r="O36" i="17"/>
  <c r="N36" i="17"/>
  <c r="M36" i="17"/>
  <c r="L36" i="17"/>
  <c r="K36" i="17"/>
  <c r="I36" i="17"/>
  <c r="H36" i="17"/>
  <c r="E36" i="17"/>
  <c r="D36" i="17"/>
  <c r="C36" i="17"/>
  <c r="B36" i="17"/>
  <c r="A36" i="17"/>
  <c r="AI35" i="17"/>
  <c r="AH35" i="17"/>
  <c r="AG35" i="17"/>
  <c r="AF35" i="17"/>
  <c r="AE35" i="17"/>
  <c r="AD35" i="17"/>
  <c r="W35" i="17"/>
  <c r="V35" i="17"/>
  <c r="U35" i="17"/>
  <c r="T35" i="17"/>
  <c r="S35" i="17"/>
  <c r="R35" i="17"/>
  <c r="Q35" i="17"/>
  <c r="P35" i="17"/>
  <c r="O35" i="17"/>
  <c r="N35" i="17"/>
  <c r="M35" i="17"/>
  <c r="L35" i="17"/>
  <c r="K35" i="17"/>
  <c r="I35" i="17"/>
  <c r="H35" i="17"/>
  <c r="E35" i="17"/>
  <c r="D35" i="17"/>
  <c r="C35" i="17"/>
  <c r="B35" i="17"/>
  <c r="A35" i="17"/>
  <c r="AI34" i="17"/>
  <c r="AH34" i="17"/>
  <c r="AG34" i="17"/>
  <c r="AF34" i="17"/>
  <c r="AE34" i="17"/>
  <c r="AD34" i="17"/>
  <c r="W34" i="17"/>
  <c r="V34" i="17"/>
  <c r="U34" i="17"/>
  <c r="T34" i="17"/>
  <c r="S34" i="17"/>
  <c r="R34" i="17"/>
  <c r="Q34" i="17"/>
  <c r="P34" i="17"/>
  <c r="O34" i="17"/>
  <c r="N34" i="17"/>
  <c r="M34" i="17"/>
  <c r="L34" i="17"/>
  <c r="K34" i="17"/>
  <c r="I34" i="17"/>
  <c r="H34" i="17"/>
  <c r="E34" i="17"/>
  <c r="D34" i="17"/>
  <c r="C34" i="17"/>
  <c r="B34" i="17"/>
  <c r="A34" i="17"/>
  <c r="AI33" i="17"/>
  <c r="AH33" i="17"/>
  <c r="AG33" i="17"/>
  <c r="AF33" i="17"/>
  <c r="AE33" i="17"/>
  <c r="AD33" i="17"/>
  <c r="W33" i="17"/>
  <c r="V33" i="17"/>
  <c r="U33" i="17"/>
  <c r="T33" i="17"/>
  <c r="S33" i="17"/>
  <c r="R33" i="17"/>
  <c r="Q33" i="17"/>
  <c r="P33" i="17"/>
  <c r="O33" i="17"/>
  <c r="N33" i="17"/>
  <c r="M33" i="17"/>
  <c r="L33" i="17"/>
  <c r="K33" i="17"/>
  <c r="I33" i="17"/>
  <c r="H33" i="17"/>
  <c r="E33" i="17"/>
  <c r="D33" i="17"/>
  <c r="C33" i="17"/>
  <c r="B33" i="17"/>
  <c r="A33" i="17"/>
  <c r="AI32" i="17"/>
  <c r="AH32" i="17"/>
  <c r="AG32" i="17"/>
  <c r="AF32" i="17"/>
  <c r="AE32" i="17"/>
  <c r="AD32" i="17"/>
  <c r="W32" i="17"/>
  <c r="V32" i="17"/>
  <c r="U32" i="17"/>
  <c r="T32" i="17"/>
  <c r="S32" i="17"/>
  <c r="R32" i="17"/>
  <c r="Q32" i="17"/>
  <c r="P32" i="17"/>
  <c r="O32" i="17"/>
  <c r="N32" i="17"/>
  <c r="M32" i="17"/>
  <c r="L32" i="17"/>
  <c r="K32" i="17"/>
  <c r="I32" i="17"/>
  <c r="H32" i="17"/>
  <c r="E32" i="17"/>
  <c r="D32" i="17"/>
  <c r="C32" i="17"/>
  <c r="B32" i="17"/>
  <c r="A32" i="17"/>
  <c r="AI31" i="17"/>
  <c r="AH31" i="17"/>
  <c r="AG31" i="17"/>
  <c r="AF31" i="17"/>
  <c r="AE31" i="17"/>
  <c r="AD31" i="17"/>
  <c r="W31" i="17"/>
  <c r="V31" i="17"/>
  <c r="U31" i="17"/>
  <c r="T31" i="17"/>
  <c r="S31" i="17"/>
  <c r="R31" i="17"/>
  <c r="Q31" i="17"/>
  <c r="P31" i="17"/>
  <c r="O31" i="17"/>
  <c r="N31" i="17"/>
  <c r="M31" i="17"/>
  <c r="L31" i="17"/>
  <c r="K31" i="17"/>
  <c r="I31" i="17"/>
  <c r="H31" i="17"/>
  <c r="E31" i="17"/>
  <c r="D31" i="17"/>
  <c r="C31" i="17"/>
  <c r="B31" i="17"/>
  <c r="A31" i="17"/>
  <c r="AI30" i="17"/>
  <c r="AH30" i="17"/>
  <c r="AG30" i="17"/>
  <c r="AF30" i="17"/>
  <c r="AE30" i="17"/>
  <c r="AD30" i="17"/>
  <c r="W30" i="17"/>
  <c r="V30" i="17"/>
  <c r="U30" i="17"/>
  <c r="T30" i="17"/>
  <c r="S30" i="17"/>
  <c r="R30" i="17"/>
  <c r="Q30" i="17"/>
  <c r="P30" i="17"/>
  <c r="O30" i="17"/>
  <c r="N30" i="17"/>
  <c r="M30" i="17"/>
  <c r="L30" i="17"/>
  <c r="K30" i="17"/>
  <c r="I30" i="17"/>
  <c r="H30" i="17"/>
  <c r="E30" i="17"/>
  <c r="D30" i="17"/>
  <c r="C30" i="17"/>
  <c r="B30" i="17"/>
  <c r="A30" i="17"/>
  <c r="AI29" i="17"/>
  <c r="AH29" i="17"/>
  <c r="AG29" i="17"/>
  <c r="AF29" i="17"/>
  <c r="AE29" i="17"/>
  <c r="AD29" i="17"/>
  <c r="W29" i="17"/>
  <c r="V29" i="17"/>
  <c r="U29" i="17"/>
  <c r="T29" i="17"/>
  <c r="S29" i="17"/>
  <c r="R29" i="17"/>
  <c r="Q29" i="17"/>
  <c r="P29" i="17"/>
  <c r="O29" i="17"/>
  <c r="N29" i="17"/>
  <c r="M29" i="17"/>
  <c r="L29" i="17"/>
  <c r="K29" i="17"/>
  <c r="I29" i="17"/>
  <c r="H29" i="17"/>
  <c r="E29" i="17"/>
  <c r="D29" i="17"/>
  <c r="C29" i="17"/>
  <c r="B29" i="17"/>
  <c r="A29" i="17"/>
  <c r="AI28" i="17"/>
  <c r="AH28" i="17"/>
  <c r="AG28" i="17"/>
  <c r="AF28" i="17"/>
  <c r="AE28" i="17"/>
  <c r="AD28" i="17"/>
  <c r="W28" i="17"/>
  <c r="V28" i="17"/>
  <c r="U28" i="17"/>
  <c r="T28" i="17"/>
  <c r="S28" i="17"/>
  <c r="R28" i="17"/>
  <c r="Q28" i="17"/>
  <c r="P28" i="17"/>
  <c r="O28" i="17"/>
  <c r="N28" i="17"/>
  <c r="M28" i="17"/>
  <c r="L28" i="17"/>
  <c r="K28" i="17"/>
  <c r="I28" i="17"/>
  <c r="H28" i="17"/>
  <c r="E28" i="17"/>
  <c r="D28" i="17"/>
  <c r="C28" i="17"/>
  <c r="B28" i="17"/>
  <c r="A28" i="17"/>
  <c r="AI27" i="17"/>
  <c r="AH27" i="17"/>
  <c r="AG27" i="17"/>
  <c r="AF27" i="17"/>
  <c r="AE27" i="17"/>
  <c r="AD27" i="17"/>
  <c r="W27" i="17"/>
  <c r="V27" i="17"/>
  <c r="U27" i="17"/>
  <c r="T27" i="17"/>
  <c r="S27" i="17"/>
  <c r="R27" i="17"/>
  <c r="Q27" i="17"/>
  <c r="P27" i="17"/>
  <c r="O27" i="17"/>
  <c r="N27" i="17"/>
  <c r="M27" i="17"/>
  <c r="L27" i="17"/>
  <c r="K27" i="17"/>
  <c r="I27" i="17"/>
  <c r="H27" i="17"/>
  <c r="E27" i="17"/>
  <c r="D27" i="17"/>
  <c r="C27" i="17"/>
  <c r="B27" i="17"/>
  <c r="A27" i="17"/>
  <c r="AI26" i="17"/>
  <c r="AH26" i="17"/>
  <c r="AG26" i="17"/>
  <c r="AF26" i="17"/>
  <c r="AE26" i="17"/>
  <c r="AD26" i="17"/>
  <c r="W26" i="17"/>
  <c r="V26" i="17"/>
  <c r="U26" i="17"/>
  <c r="T26" i="17"/>
  <c r="S26" i="17"/>
  <c r="R26" i="17"/>
  <c r="Q26" i="17"/>
  <c r="P26" i="17"/>
  <c r="O26" i="17"/>
  <c r="N26" i="17"/>
  <c r="M26" i="17"/>
  <c r="L26" i="17"/>
  <c r="K26" i="17"/>
  <c r="I26" i="17"/>
  <c r="H26" i="17"/>
  <c r="E26" i="17"/>
  <c r="D26" i="17"/>
  <c r="C26" i="17"/>
  <c r="B26" i="17"/>
  <c r="A26" i="17"/>
  <c r="AI25" i="17"/>
  <c r="AH25" i="17"/>
  <c r="AG25" i="17"/>
  <c r="AF25" i="17"/>
  <c r="AE25" i="17"/>
  <c r="AD25" i="17"/>
  <c r="W25" i="17"/>
  <c r="V25" i="17"/>
  <c r="U25" i="17"/>
  <c r="T25" i="17"/>
  <c r="S25" i="17"/>
  <c r="R25" i="17"/>
  <c r="Q25" i="17"/>
  <c r="P25" i="17"/>
  <c r="O25" i="17"/>
  <c r="N25" i="17"/>
  <c r="M25" i="17"/>
  <c r="L25" i="17"/>
  <c r="K25" i="17"/>
  <c r="I25" i="17"/>
  <c r="H25" i="17"/>
  <c r="E25" i="17"/>
  <c r="D25" i="17"/>
  <c r="C25" i="17"/>
  <c r="B25" i="17"/>
  <c r="A25" i="17"/>
  <c r="AI24" i="17"/>
  <c r="AH24" i="17"/>
  <c r="AG24" i="17"/>
  <c r="AF24" i="17"/>
  <c r="AE24" i="17"/>
  <c r="AD24" i="17"/>
  <c r="W24" i="17"/>
  <c r="V24" i="17"/>
  <c r="U24" i="17"/>
  <c r="T24" i="17"/>
  <c r="S24" i="17"/>
  <c r="R24" i="17"/>
  <c r="Q24" i="17"/>
  <c r="P24" i="17"/>
  <c r="O24" i="17"/>
  <c r="N24" i="17"/>
  <c r="M24" i="17"/>
  <c r="L24" i="17"/>
  <c r="K24" i="17"/>
  <c r="I24" i="17"/>
  <c r="H24" i="17"/>
  <c r="E24" i="17"/>
  <c r="D24" i="17"/>
  <c r="C24" i="17"/>
  <c r="B24" i="17"/>
  <c r="A24" i="17"/>
  <c r="AI23" i="17"/>
  <c r="AH23" i="17"/>
  <c r="AG23" i="17"/>
  <c r="AF23" i="17"/>
  <c r="AE23" i="17"/>
  <c r="AD23" i="17"/>
  <c r="W23" i="17"/>
  <c r="V23" i="17"/>
  <c r="U23" i="17"/>
  <c r="T23" i="17"/>
  <c r="S23" i="17"/>
  <c r="R23" i="17"/>
  <c r="Q23" i="17"/>
  <c r="P23" i="17"/>
  <c r="O23" i="17"/>
  <c r="N23" i="17"/>
  <c r="M23" i="17"/>
  <c r="L23" i="17"/>
  <c r="K23" i="17"/>
  <c r="I23" i="17"/>
  <c r="H23" i="17"/>
  <c r="E23" i="17"/>
  <c r="D23" i="17"/>
  <c r="C23" i="17"/>
  <c r="B23" i="17"/>
  <c r="A23" i="17"/>
  <c r="AI22" i="17"/>
  <c r="AH22" i="17"/>
  <c r="AG22" i="17"/>
  <c r="AF22" i="17"/>
  <c r="AE22" i="17"/>
  <c r="AD22" i="17"/>
  <c r="W22" i="17"/>
  <c r="V22" i="17"/>
  <c r="U22" i="17"/>
  <c r="T22" i="17"/>
  <c r="S22" i="17"/>
  <c r="R22" i="17"/>
  <c r="Q22" i="17"/>
  <c r="P22" i="17"/>
  <c r="O22" i="17"/>
  <c r="N22" i="17"/>
  <c r="M22" i="17"/>
  <c r="L22" i="17"/>
  <c r="K22" i="17"/>
  <c r="I22" i="17"/>
  <c r="H22" i="17"/>
  <c r="E22" i="17"/>
  <c r="D22" i="17"/>
  <c r="C22" i="17"/>
  <c r="B22" i="17"/>
  <c r="A22" i="17"/>
  <c r="AI21" i="17"/>
  <c r="AH21" i="17"/>
  <c r="AG21" i="17"/>
  <c r="AF21" i="17"/>
  <c r="AE21" i="17"/>
  <c r="AD21" i="17"/>
  <c r="W21" i="17"/>
  <c r="V21" i="17"/>
  <c r="U21" i="17"/>
  <c r="T21" i="17"/>
  <c r="S21" i="17"/>
  <c r="R21" i="17"/>
  <c r="Q21" i="17"/>
  <c r="P21" i="17"/>
  <c r="O21" i="17"/>
  <c r="N21" i="17"/>
  <c r="M21" i="17"/>
  <c r="L21" i="17"/>
  <c r="K21" i="17"/>
  <c r="I21" i="17"/>
  <c r="H21" i="17"/>
  <c r="E21" i="17"/>
  <c r="D21" i="17"/>
  <c r="C21" i="17"/>
  <c r="B21" i="17"/>
  <c r="A21" i="17"/>
  <c r="AI20" i="17"/>
  <c r="AH20" i="17"/>
  <c r="AG20" i="17"/>
  <c r="AF20" i="17"/>
  <c r="AE20" i="17"/>
  <c r="AD20" i="17"/>
  <c r="W20" i="17"/>
  <c r="V20" i="17"/>
  <c r="U20" i="17"/>
  <c r="T20" i="17"/>
  <c r="S20" i="17"/>
  <c r="R20" i="17"/>
  <c r="Q20" i="17"/>
  <c r="P20" i="17"/>
  <c r="O20" i="17"/>
  <c r="N20" i="17"/>
  <c r="M20" i="17"/>
  <c r="L20" i="17"/>
  <c r="K20" i="17"/>
  <c r="I20" i="17"/>
  <c r="H20" i="17"/>
  <c r="E20" i="17"/>
  <c r="D20" i="17"/>
  <c r="C20" i="17"/>
  <c r="B20" i="17"/>
  <c r="A20" i="17"/>
  <c r="AI19" i="17"/>
  <c r="AH19" i="17"/>
  <c r="AG19" i="17"/>
  <c r="AF19" i="17"/>
  <c r="AE19" i="17"/>
  <c r="AD19" i="17"/>
  <c r="W19" i="17"/>
  <c r="V19" i="17"/>
  <c r="U19" i="17"/>
  <c r="T19" i="17"/>
  <c r="S19" i="17"/>
  <c r="R19" i="17"/>
  <c r="Q19" i="17"/>
  <c r="P19" i="17"/>
  <c r="O19" i="17"/>
  <c r="N19" i="17"/>
  <c r="M19" i="17"/>
  <c r="L19" i="17"/>
  <c r="K19" i="17"/>
  <c r="I19" i="17"/>
  <c r="H19" i="17"/>
  <c r="E19" i="17"/>
  <c r="D19" i="17"/>
  <c r="C19" i="17"/>
  <c r="B19" i="17"/>
  <c r="A19" i="17"/>
  <c r="AI18" i="17"/>
  <c r="AH18" i="17"/>
  <c r="AG18" i="17"/>
  <c r="AF18" i="17"/>
  <c r="AE18" i="17"/>
  <c r="AD18" i="17"/>
  <c r="W18" i="17"/>
  <c r="V18" i="17"/>
  <c r="U18" i="17"/>
  <c r="T18" i="17"/>
  <c r="S18" i="17"/>
  <c r="R18" i="17"/>
  <c r="Q18" i="17"/>
  <c r="P18" i="17"/>
  <c r="O18" i="17"/>
  <c r="N18" i="17"/>
  <c r="M18" i="17"/>
  <c r="L18" i="17"/>
  <c r="K18" i="17"/>
  <c r="I18" i="17"/>
  <c r="H18" i="17"/>
  <c r="E18" i="17"/>
  <c r="D18" i="17"/>
  <c r="C18" i="17"/>
  <c r="B18" i="17"/>
  <c r="A18" i="17"/>
  <c r="AI17" i="17"/>
  <c r="AH17" i="17"/>
  <c r="AG17" i="17"/>
  <c r="AF17" i="17"/>
  <c r="AE17" i="17"/>
  <c r="AD17" i="17"/>
  <c r="W17" i="17"/>
  <c r="V17" i="17"/>
  <c r="U17" i="17"/>
  <c r="T17" i="17"/>
  <c r="S17" i="17"/>
  <c r="R17" i="17"/>
  <c r="Q17" i="17"/>
  <c r="P17" i="17"/>
  <c r="O17" i="17"/>
  <c r="N17" i="17"/>
  <c r="M17" i="17"/>
  <c r="L17" i="17"/>
  <c r="K17" i="17"/>
  <c r="I17" i="17"/>
  <c r="H17" i="17"/>
  <c r="E17" i="17"/>
  <c r="D17" i="17"/>
  <c r="C17" i="17"/>
  <c r="B17" i="17"/>
  <c r="A17" i="17"/>
  <c r="AI16" i="17"/>
  <c r="AH16" i="17"/>
  <c r="AG16" i="17"/>
  <c r="AF16" i="17"/>
  <c r="AE16" i="17"/>
  <c r="AD16" i="17"/>
  <c r="W16" i="17"/>
  <c r="V16" i="17"/>
  <c r="U16" i="17"/>
  <c r="T16" i="17"/>
  <c r="S16" i="17"/>
  <c r="R16" i="17"/>
  <c r="Q16" i="17"/>
  <c r="P16" i="17"/>
  <c r="O16" i="17"/>
  <c r="N16" i="17"/>
  <c r="M16" i="17"/>
  <c r="L16" i="17"/>
  <c r="K16" i="17"/>
  <c r="I16" i="17"/>
  <c r="H16" i="17"/>
  <c r="E16" i="17"/>
  <c r="D16" i="17"/>
  <c r="C16" i="17"/>
  <c r="B16" i="17"/>
  <c r="A16" i="17"/>
  <c r="AI15" i="17"/>
  <c r="AH15" i="17"/>
  <c r="AG15" i="17"/>
  <c r="AF15" i="17"/>
  <c r="AE15" i="17"/>
  <c r="AD15" i="17"/>
  <c r="W15" i="17"/>
  <c r="V15" i="17"/>
  <c r="U15" i="17"/>
  <c r="T15" i="17"/>
  <c r="S15" i="17"/>
  <c r="R15" i="17"/>
  <c r="Q15" i="17"/>
  <c r="P15" i="17"/>
  <c r="O15" i="17"/>
  <c r="N15" i="17"/>
  <c r="M15" i="17"/>
  <c r="L15" i="17"/>
  <c r="K15" i="17"/>
  <c r="I15" i="17"/>
  <c r="H15" i="17"/>
  <c r="E15" i="17"/>
  <c r="D15" i="17"/>
  <c r="C15" i="17"/>
  <c r="B15" i="17"/>
  <c r="A15" i="17"/>
  <c r="AI14" i="17"/>
  <c r="AH14" i="17"/>
  <c r="AG14" i="17"/>
  <c r="AF14" i="17"/>
  <c r="AE14" i="17"/>
  <c r="AD14" i="17"/>
  <c r="W14" i="17"/>
  <c r="V14" i="17"/>
  <c r="U14" i="17"/>
  <c r="T14" i="17"/>
  <c r="S14" i="17"/>
  <c r="R14" i="17"/>
  <c r="Q14" i="17"/>
  <c r="P14" i="17"/>
  <c r="O14" i="17"/>
  <c r="N14" i="17"/>
  <c r="M14" i="17"/>
  <c r="L14" i="17"/>
  <c r="K14" i="17"/>
  <c r="I14" i="17"/>
  <c r="H14" i="17"/>
  <c r="E14" i="17"/>
  <c r="D14" i="17"/>
  <c r="C14" i="17"/>
  <c r="B14" i="17"/>
  <c r="A14" i="17"/>
  <c r="AI13" i="17"/>
  <c r="AH13" i="17"/>
  <c r="AG13" i="17"/>
  <c r="AF13" i="17"/>
  <c r="AE13" i="17"/>
  <c r="AD13" i="17"/>
  <c r="W13" i="17"/>
  <c r="V13" i="17"/>
  <c r="U13" i="17"/>
  <c r="T13" i="17"/>
  <c r="S13" i="17"/>
  <c r="R13" i="17"/>
  <c r="Q13" i="17"/>
  <c r="P13" i="17"/>
  <c r="O13" i="17"/>
  <c r="N13" i="17"/>
  <c r="M13" i="17"/>
  <c r="L13" i="17"/>
  <c r="K13" i="17"/>
  <c r="I13" i="17"/>
  <c r="H13" i="17"/>
  <c r="E13" i="17"/>
  <c r="D13" i="17"/>
  <c r="C13" i="17"/>
  <c r="B13" i="17"/>
  <c r="A13" i="17"/>
  <c r="AI12" i="17"/>
  <c r="AH12" i="17"/>
  <c r="AG12" i="17"/>
  <c r="AF12" i="17"/>
  <c r="AE12" i="17"/>
  <c r="AD12" i="17"/>
  <c r="W12" i="17"/>
  <c r="V12" i="17"/>
  <c r="U12" i="17"/>
  <c r="T12" i="17"/>
  <c r="S12" i="17"/>
  <c r="R12" i="17"/>
  <c r="Q12" i="17"/>
  <c r="P12" i="17"/>
  <c r="O12" i="17"/>
  <c r="N12" i="17"/>
  <c r="M12" i="17"/>
  <c r="L12" i="17"/>
  <c r="K12" i="17"/>
  <c r="I12" i="17"/>
  <c r="H12" i="17"/>
  <c r="E12" i="17"/>
  <c r="D12" i="17"/>
  <c r="C12" i="17"/>
  <c r="B12" i="17"/>
  <c r="A12" i="17"/>
  <c r="AI11" i="17"/>
  <c r="AH11" i="17"/>
  <c r="AG11" i="17"/>
  <c r="AF11" i="17"/>
  <c r="AE11" i="17"/>
  <c r="AD11" i="17"/>
  <c r="W11" i="17"/>
  <c r="V11" i="17"/>
  <c r="U11" i="17"/>
  <c r="T11" i="17"/>
  <c r="S11" i="17"/>
  <c r="R11" i="17"/>
  <c r="Q11" i="17"/>
  <c r="P11" i="17"/>
  <c r="O11" i="17"/>
  <c r="N11" i="17"/>
  <c r="M11" i="17"/>
  <c r="L11" i="17"/>
  <c r="K11" i="17"/>
  <c r="I11" i="17"/>
  <c r="H11" i="17"/>
  <c r="E11" i="17"/>
  <c r="D11" i="17"/>
  <c r="C11" i="17"/>
  <c r="B11" i="17"/>
  <c r="A11" i="17"/>
  <c r="AI10" i="17"/>
  <c r="AH10" i="17"/>
  <c r="AG10" i="17"/>
  <c r="AF10" i="17"/>
  <c r="AE10" i="17"/>
  <c r="AD10" i="17"/>
  <c r="W10" i="17"/>
  <c r="V10" i="17"/>
  <c r="U10" i="17"/>
  <c r="T10" i="17"/>
  <c r="S10" i="17"/>
  <c r="R10" i="17"/>
  <c r="Q10" i="17"/>
  <c r="P10" i="17"/>
  <c r="O10" i="17"/>
  <c r="N10" i="17"/>
  <c r="M10" i="17"/>
  <c r="L10" i="17"/>
  <c r="K10" i="17"/>
  <c r="I10" i="17"/>
  <c r="H10" i="17"/>
  <c r="E10" i="17"/>
  <c r="D10" i="17"/>
  <c r="C10" i="17"/>
  <c r="B10" i="17"/>
  <c r="A10" i="17"/>
  <c r="AI9" i="17"/>
  <c r="AH9" i="17"/>
  <c r="AG9" i="17"/>
  <c r="AF9" i="17"/>
  <c r="AE9" i="17"/>
  <c r="AD9" i="17"/>
  <c r="W9" i="17"/>
  <c r="V9" i="17"/>
  <c r="U9" i="17"/>
  <c r="T9" i="17"/>
  <c r="S9" i="17"/>
  <c r="R9" i="17"/>
  <c r="Q9" i="17"/>
  <c r="P9" i="17"/>
  <c r="O9" i="17"/>
  <c r="N9" i="17"/>
  <c r="M9" i="17"/>
  <c r="L9" i="17"/>
  <c r="K9" i="17"/>
  <c r="I9" i="17"/>
  <c r="H9" i="17"/>
  <c r="E9" i="17"/>
  <c r="D9" i="17"/>
  <c r="C9" i="17"/>
  <c r="B9" i="17"/>
  <c r="A9" i="17"/>
  <c r="AI8" i="17"/>
  <c r="AH8" i="17"/>
  <c r="AG8" i="17"/>
  <c r="AF8" i="17"/>
  <c r="AE8" i="17"/>
  <c r="AD8" i="17"/>
  <c r="W8" i="17"/>
  <c r="V8" i="17"/>
  <c r="U8" i="17"/>
  <c r="T8" i="17"/>
  <c r="S8" i="17"/>
  <c r="R8" i="17"/>
  <c r="Q8" i="17"/>
  <c r="P8" i="17"/>
  <c r="O8" i="17"/>
  <c r="N8" i="17"/>
  <c r="M8" i="17"/>
  <c r="L8" i="17"/>
  <c r="K8" i="17"/>
  <c r="I8" i="17"/>
  <c r="H8" i="17"/>
  <c r="E8" i="17"/>
  <c r="D8" i="17"/>
  <c r="C8" i="17"/>
  <c r="B8" i="17"/>
  <c r="A8" i="17"/>
  <c r="AI7" i="17"/>
  <c r="AH7" i="17"/>
  <c r="AG7" i="17"/>
  <c r="AF7" i="17"/>
  <c r="AE7" i="17"/>
  <c r="AD7" i="17"/>
  <c r="W7" i="17"/>
  <c r="V7" i="17"/>
  <c r="U7" i="17"/>
  <c r="T7" i="17"/>
  <c r="S7" i="17"/>
  <c r="R7" i="17"/>
  <c r="Q7" i="17"/>
  <c r="P7" i="17"/>
  <c r="O7" i="17"/>
  <c r="N7" i="17"/>
  <c r="M7" i="17"/>
  <c r="L7" i="17"/>
  <c r="K7" i="17"/>
  <c r="I7" i="17"/>
  <c r="H7" i="17"/>
  <c r="E7" i="17"/>
  <c r="D7" i="17"/>
  <c r="C7" i="17"/>
  <c r="B7" i="17"/>
  <c r="A7" i="17"/>
  <c r="AI6" i="17"/>
  <c r="AH6" i="17"/>
  <c r="AG6" i="17"/>
  <c r="AF6" i="17"/>
  <c r="AE6" i="17"/>
  <c r="AD6" i="17"/>
  <c r="W6" i="17"/>
  <c r="V6" i="17"/>
  <c r="U6" i="17"/>
  <c r="T6" i="17"/>
  <c r="S6" i="17"/>
  <c r="R6" i="17"/>
  <c r="Q6" i="17"/>
  <c r="P6" i="17"/>
  <c r="O6" i="17"/>
  <c r="N6" i="17"/>
  <c r="M6" i="17"/>
  <c r="L6" i="17"/>
  <c r="K6" i="17"/>
  <c r="I6" i="17"/>
  <c r="H6" i="17"/>
  <c r="E6" i="17"/>
  <c r="D6" i="17"/>
  <c r="C6" i="17"/>
  <c r="B6" i="17"/>
  <c r="A6" i="17"/>
  <c r="AI5" i="17"/>
  <c r="AH5" i="17"/>
  <c r="AG5" i="17"/>
  <c r="AF5" i="17"/>
  <c r="AE5" i="17"/>
  <c r="AD5" i="17"/>
  <c r="W5" i="17"/>
  <c r="V5" i="17"/>
  <c r="U5" i="17"/>
  <c r="T5" i="17"/>
  <c r="S5" i="17"/>
  <c r="R5" i="17"/>
  <c r="Q5" i="17"/>
  <c r="P5" i="17"/>
  <c r="O5" i="17"/>
  <c r="N5" i="17"/>
  <c r="M5" i="17"/>
  <c r="L5" i="17"/>
  <c r="K5" i="17"/>
  <c r="I5" i="17"/>
  <c r="H5" i="17"/>
  <c r="E5" i="17"/>
  <c r="D5" i="17"/>
  <c r="C5" i="17"/>
  <c r="B5" i="17"/>
  <c r="A5" i="17"/>
  <c r="AI4" i="17"/>
  <c r="AH4" i="17"/>
  <c r="AG4" i="17"/>
  <c r="AF4" i="17"/>
  <c r="AE4" i="17"/>
  <c r="AD4" i="17"/>
  <c r="W4" i="17"/>
  <c r="V4" i="17"/>
  <c r="U4" i="17"/>
  <c r="T4" i="17"/>
  <c r="S4" i="17"/>
  <c r="R4" i="17"/>
  <c r="Q4" i="17"/>
  <c r="P4" i="17"/>
  <c r="O4" i="17"/>
  <c r="N4" i="17"/>
  <c r="M4" i="17"/>
  <c r="L4" i="17"/>
  <c r="K4" i="17"/>
  <c r="I4" i="17"/>
  <c r="H4" i="17"/>
  <c r="E4" i="17"/>
  <c r="D4" i="17"/>
  <c r="C4" i="17"/>
  <c r="B4" i="17"/>
  <c r="A4" i="17"/>
  <c r="AI3" i="17"/>
  <c r="AH3" i="17"/>
  <c r="AG3" i="17"/>
  <c r="AF3" i="17"/>
  <c r="AE3" i="17"/>
  <c r="AD3" i="17"/>
  <c r="W3" i="17"/>
  <c r="V3" i="17"/>
  <c r="U3" i="17"/>
  <c r="T3" i="17"/>
  <c r="S3" i="17"/>
  <c r="R3" i="17"/>
  <c r="Q3" i="17"/>
  <c r="P3" i="17"/>
  <c r="O3" i="17"/>
  <c r="N3" i="17"/>
  <c r="M3" i="17"/>
  <c r="L3" i="17"/>
  <c r="K3" i="17"/>
  <c r="I3" i="17"/>
  <c r="H3" i="17"/>
  <c r="E3" i="17"/>
  <c r="D3" i="17"/>
  <c r="C3" i="17"/>
  <c r="B3" i="17"/>
  <c r="A3" i="17"/>
  <c r="AI2" i="17"/>
  <c r="AH2" i="17"/>
  <c r="AG2" i="17"/>
  <c r="AF2" i="17"/>
  <c r="AE2" i="17"/>
  <c r="AD2" i="17"/>
  <c r="W2" i="17"/>
  <c r="V2" i="17"/>
  <c r="U2" i="17"/>
  <c r="T2" i="17"/>
  <c r="S2" i="17"/>
  <c r="R2" i="17"/>
  <c r="Q2" i="17"/>
  <c r="P2" i="17"/>
  <c r="O2" i="17"/>
  <c r="N2" i="17"/>
  <c r="M2" i="17"/>
  <c r="L2" i="17"/>
  <c r="K2" i="17"/>
  <c r="I2" i="17"/>
  <c r="H2" i="17"/>
  <c r="E2" i="17"/>
  <c r="D2" i="17"/>
  <c r="C2" i="17"/>
  <c r="B2" i="17"/>
  <c r="A2" i="17"/>
  <c r="CL2" i="18"/>
  <c r="CK2" i="18"/>
  <c r="CJ2" i="18"/>
  <c r="CI2" i="18"/>
  <c r="CH2" i="18"/>
  <c r="CG2" i="18"/>
  <c r="CF2" i="18"/>
  <c r="CE2" i="18"/>
  <c r="CD2" i="18"/>
  <c r="CC2" i="18"/>
  <c r="CB2" i="18"/>
  <c r="CA2" i="18"/>
  <c r="BZ2" i="18"/>
  <c r="BY2" i="18"/>
  <c r="BX2" i="18"/>
  <c r="BW2" i="18"/>
  <c r="BV2" i="18"/>
  <c r="BU2" i="18"/>
  <c r="BT2" i="18"/>
  <c r="BS2" i="18"/>
  <c r="BR2" i="18"/>
  <c r="BQ2" i="18"/>
  <c r="BP2" i="18"/>
  <c r="BO2" i="18"/>
  <c r="BN2" i="18"/>
  <c r="BM2" i="18"/>
  <c r="BL2" i="18"/>
  <c r="BK2" i="18"/>
  <c r="BJ2" i="18"/>
  <c r="BI2" i="18"/>
  <c r="BH2" i="18"/>
  <c r="BG2" i="18"/>
  <c r="BF2" i="18"/>
  <c r="BE2" i="18"/>
  <c r="BD2" i="18"/>
  <c r="BC2" i="18"/>
  <c r="BB2" i="18"/>
  <c r="BA2" i="18"/>
  <c r="AZ2" i="18"/>
  <c r="AY2" i="18"/>
  <c r="AX2" i="18"/>
  <c r="AW2" i="18"/>
  <c r="AV2" i="18"/>
  <c r="AU2" i="18"/>
  <c r="AT2" i="18"/>
  <c r="AS2" i="18"/>
  <c r="AR2" i="18"/>
  <c r="AQ2" i="18"/>
  <c r="AP2" i="18"/>
  <c r="AO2" i="18"/>
  <c r="AN2" i="18"/>
  <c r="AM2" i="18"/>
  <c r="AL2" i="18"/>
  <c r="AK2" i="18"/>
  <c r="AJ2" i="18"/>
  <c r="AI2" i="18"/>
  <c r="AH2" i="18"/>
  <c r="AG2" i="18"/>
  <c r="AF2" i="18"/>
  <c r="AE2" i="18"/>
  <c r="AD2" i="18"/>
  <c r="AC2" i="18"/>
  <c r="AB2" i="18"/>
  <c r="AA2" i="18"/>
  <c r="W2" i="18"/>
  <c r="V2" i="18"/>
  <c r="U2" i="18"/>
  <c r="T2" i="18"/>
  <c r="S2" i="18"/>
  <c r="R2" i="18"/>
  <c r="Q2" i="18"/>
  <c r="P2" i="18"/>
  <c r="O2" i="18"/>
  <c r="N2" i="18"/>
  <c r="M2" i="18"/>
  <c r="L2" i="18"/>
  <c r="K2" i="18"/>
  <c r="I2" i="18"/>
  <c r="H2" i="18"/>
  <c r="E2" i="18"/>
  <c r="D2" i="18"/>
  <c r="C2" i="18"/>
  <c r="B2" i="18"/>
  <c r="A2" i="18"/>
  <c r="W76" i="19"/>
  <c r="V76" i="19"/>
  <c r="U76" i="19"/>
  <c r="T76" i="19"/>
  <c r="S76" i="19"/>
  <c r="R76" i="19"/>
  <c r="Q76" i="19"/>
  <c r="P76" i="19"/>
  <c r="O76" i="19"/>
  <c r="N76" i="19"/>
  <c r="M76" i="19"/>
  <c r="L76" i="19"/>
  <c r="K76" i="19"/>
  <c r="I76" i="19"/>
  <c r="H76" i="19"/>
  <c r="E76" i="19"/>
  <c r="D76" i="19"/>
  <c r="C76" i="19"/>
  <c r="B76" i="19"/>
  <c r="A76" i="19"/>
  <c r="W75" i="19"/>
  <c r="V75" i="19"/>
  <c r="U75" i="19"/>
  <c r="T75" i="19"/>
  <c r="S75" i="19"/>
  <c r="R75" i="19"/>
  <c r="Q75" i="19"/>
  <c r="P75" i="19"/>
  <c r="O75" i="19"/>
  <c r="N75" i="19"/>
  <c r="M75" i="19"/>
  <c r="L75" i="19"/>
  <c r="K75" i="19"/>
  <c r="I75" i="19"/>
  <c r="H75" i="19"/>
  <c r="E75" i="19"/>
  <c r="D75" i="19"/>
  <c r="C75" i="19"/>
  <c r="B75" i="19"/>
  <c r="A75" i="19"/>
  <c r="W74" i="19"/>
  <c r="V74" i="19"/>
  <c r="U74" i="19"/>
  <c r="T74" i="19"/>
  <c r="S74" i="19"/>
  <c r="R74" i="19"/>
  <c r="Q74" i="19"/>
  <c r="P74" i="19"/>
  <c r="O74" i="19"/>
  <c r="N74" i="19"/>
  <c r="M74" i="19"/>
  <c r="L74" i="19"/>
  <c r="K74" i="19"/>
  <c r="I74" i="19"/>
  <c r="H74" i="19"/>
  <c r="E74" i="19"/>
  <c r="D74" i="19"/>
  <c r="C74" i="19"/>
  <c r="B74" i="19"/>
  <c r="A74" i="19"/>
  <c r="W73" i="19"/>
  <c r="V73" i="19"/>
  <c r="U73" i="19"/>
  <c r="T73" i="19"/>
  <c r="S73" i="19"/>
  <c r="R73" i="19"/>
  <c r="Q73" i="19"/>
  <c r="P73" i="19"/>
  <c r="O73" i="19"/>
  <c r="N73" i="19"/>
  <c r="M73" i="19"/>
  <c r="L73" i="19"/>
  <c r="K73" i="19"/>
  <c r="I73" i="19"/>
  <c r="H73" i="19"/>
  <c r="E73" i="19"/>
  <c r="D73" i="19"/>
  <c r="C73" i="19"/>
  <c r="B73" i="19"/>
  <c r="A73" i="19"/>
  <c r="W72" i="19"/>
  <c r="V72" i="19"/>
  <c r="U72" i="19"/>
  <c r="T72" i="19"/>
  <c r="S72" i="19"/>
  <c r="R72" i="19"/>
  <c r="Q72" i="19"/>
  <c r="P72" i="19"/>
  <c r="O72" i="19"/>
  <c r="N72" i="19"/>
  <c r="M72" i="19"/>
  <c r="L72" i="19"/>
  <c r="K72" i="19"/>
  <c r="I72" i="19"/>
  <c r="H72" i="19"/>
  <c r="E72" i="19"/>
  <c r="D72" i="19"/>
  <c r="C72" i="19"/>
  <c r="B72" i="19"/>
  <c r="A72" i="19"/>
  <c r="W71" i="19"/>
  <c r="V71" i="19"/>
  <c r="U71" i="19"/>
  <c r="T71" i="19"/>
  <c r="S71" i="19"/>
  <c r="R71" i="19"/>
  <c r="Q71" i="19"/>
  <c r="P71" i="19"/>
  <c r="O71" i="19"/>
  <c r="N71" i="19"/>
  <c r="M71" i="19"/>
  <c r="L71" i="19"/>
  <c r="K71" i="19"/>
  <c r="I71" i="19"/>
  <c r="H71" i="19"/>
  <c r="E71" i="19"/>
  <c r="D71" i="19"/>
  <c r="C71" i="19"/>
  <c r="B71" i="19"/>
  <c r="A71" i="19"/>
  <c r="W70" i="19"/>
  <c r="V70" i="19"/>
  <c r="U70" i="19"/>
  <c r="T70" i="19"/>
  <c r="S70" i="19"/>
  <c r="R70" i="19"/>
  <c r="Q70" i="19"/>
  <c r="P70" i="19"/>
  <c r="O70" i="19"/>
  <c r="N70" i="19"/>
  <c r="M70" i="19"/>
  <c r="L70" i="19"/>
  <c r="K70" i="19"/>
  <c r="I70" i="19"/>
  <c r="H70" i="19"/>
  <c r="E70" i="19"/>
  <c r="D70" i="19"/>
  <c r="C70" i="19"/>
  <c r="B70" i="19"/>
  <c r="A70" i="19"/>
  <c r="W69" i="19"/>
  <c r="V69" i="19"/>
  <c r="U69" i="19"/>
  <c r="T69" i="19"/>
  <c r="S69" i="19"/>
  <c r="R69" i="19"/>
  <c r="Q69" i="19"/>
  <c r="P69" i="19"/>
  <c r="O69" i="19"/>
  <c r="N69" i="19"/>
  <c r="M69" i="19"/>
  <c r="L69" i="19"/>
  <c r="K69" i="19"/>
  <c r="I69" i="19"/>
  <c r="H69" i="19"/>
  <c r="E69" i="19"/>
  <c r="D69" i="19"/>
  <c r="C69" i="19"/>
  <c r="B69" i="19"/>
  <c r="A69" i="19"/>
  <c r="W68" i="19"/>
  <c r="V68" i="19"/>
  <c r="U68" i="19"/>
  <c r="T68" i="19"/>
  <c r="S68" i="19"/>
  <c r="R68" i="19"/>
  <c r="Q68" i="19"/>
  <c r="P68" i="19"/>
  <c r="O68" i="19"/>
  <c r="N68" i="19"/>
  <c r="M68" i="19"/>
  <c r="L68" i="19"/>
  <c r="K68" i="19"/>
  <c r="I68" i="19"/>
  <c r="H68" i="19"/>
  <c r="E68" i="19"/>
  <c r="D68" i="19"/>
  <c r="C68" i="19"/>
  <c r="B68" i="19"/>
  <c r="A68" i="19"/>
  <c r="W67" i="19"/>
  <c r="V67" i="19"/>
  <c r="U67" i="19"/>
  <c r="T67" i="19"/>
  <c r="S67" i="19"/>
  <c r="R67" i="19"/>
  <c r="Q67" i="19"/>
  <c r="P67" i="19"/>
  <c r="O67" i="19"/>
  <c r="N67" i="19"/>
  <c r="M67" i="19"/>
  <c r="L67" i="19"/>
  <c r="K67" i="19"/>
  <c r="I67" i="19"/>
  <c r="H67" i="19"/>
  <c r="E67" i="19"/>
  <c r="D67" i="19"/>
  <c r="C67" i="19"/>
  <c r="B67" i="19"/>
  <c r="A67" i="19"/>
  <c r="W66" i="19"/>
  <c r="V66" i="19"/>
  <c r="U66" i="19"/>
  <c r="T66" i="19"/>
  <c r="S66" i="19"/>
  <c r="R66" i="19"/>
  <c r="Q66" i="19"/>
  <c r="P66" i="19"/>
  <c r="O66" i="19"/>
  <c r="N66" i="19"/>
  <c r="M66" i="19"/>
  <c r="L66" i="19"/>
  <c r="K66" i="19"/>
  <c r="I66" i="19"/>
  <c r="H66" i="19"/>
  <c r="E66" i="19"/>
  <c r="D66" i="19"/>
  <c r="C66" i="19"/>
  <c r="B66" i="19"/>
  <c r="A66" i="19"/>
  <c r="W65" i="19"/>
  <c r="V65" i="19"/>
  <c r="U65" i="19"/>
  <c r="T65" i="19"/>
  <c r="S65" i="19"/>
  <c r="R65" i="19"/>
  <c r="Q65" i="19"/>
  <c r="P65" i="19"/>
  <c r="O65" i="19"/>
  <c r="N65" i="19"/>
  <c r="M65" i="19"/>
  <c r="L65" i="19"/>
  <c r="K65" i="19"/>
  <c r="I65" i="19"/>
  <c r="H65" i="19"/>
  <c r="E65" i="19"/>
  <c r="D65" i="19"/>
  <c r="C65" i="19"/>
  <c r="B65" i="19"/>
  <c r="A65" i="19"/>
  <c r="W64" i="19"/>
  <c r="V64" i="19"/>
  <c r="U64" i="19"/>
  <c r="T64" i="19"/>
  <c r="S64" i="19"/>
  <c r="R64" i="19"/>
  <c r="Q64" i="19"/>
  <c r="P64" i="19"/>
  <c r="O64" i="19"/>
  <c r="N64" i="19"/>
  <c r="M64" i="19"/>
  <c r="L64" i="19"/>
  <c r="K64" i="19"/>
  <c r="I64" i="19"/>
  <c r="H64" i="19"/>
  <c r="E64" i="19"/>
  <c r="D64" i="19"/>
  <c r="C64" i="19"/>
  <c r="B64" i="19"/>
  <c r="A64" i="19"/>
  <c r="W63" i="19"/>
  <c r="V63" i="19"/>
  <c r="U63" i="19"/>
  <c r="T63" i="19"/>
  <c r="S63" i="19"/>
  <c r="R63" i="19"/>
  <c r="Q63" i="19"/>
  <c r="P63" i="19"/>
  <c r="O63" i="19"/>
  <c r="N63" i="19"/>
  <c r="M63" i="19"/>
  <c r="L63" i="19"/>
  <c r="K63" i="19"/>
  <c r="I63" i="19"/>
  <c r="H63" i="19"/>
  <c r="E63" i="19"/>
  <c r="D63" i="19"/>
  <c r="C63" i="19"/>
  <c r="B63" i="19"/>
  <c r="A63" i="19"/>
  <c r="W62" i="19"/>
  <c r="V62" i="19"/>
  <c r="U62" i="19"/>
  <c r="T62" i="19"/>
  <c r="S62" i="19"/>
  <c r="R62" i="19"/>
  <c r="Q62" i="19"/>
  <c r="P62" i="19"/>
  <c r="O62" i="19"/>
  <c r="N62" i="19"/>
  <c r="M62" i="19"/>
  <c r="L62" i="19"/>
  <c r="K62" i="19"/>
  <c r="I62" i="19"/>
  <c r="H62" i="19"/>
  <c r="E62" i="19"/>
  <c r="D62" i="19"/>
  <c r="C62" i="19"/>
  <c r="B62" i="19"/>
  <c r="A62" i="19"/>
  <c r="W61" i="19"/>
  <c r="V61" i="19"/>
  <c r="U61" i="19"/>
  <c r="T61" i="19"/>
  <c r="S61" i="19"/>
  <c r="R61" i="19"/>
  <c r="Q61" i="19"/>
  <c r="P61" i="19"/>
  <c r="O61" i="19"/>
  <c r="N61" i="19"/>
  <c r="M61" i="19"/>
  <c r="L61" i="19"/>
  <c r="K61" i="19"/>
  <c r="I61" i="19"/>
  <c r="H61" i="19"/>
  <c r="E61" i="19"/>
  <c r="D61" i="19"/>
  <c r="C61" i="19"/>
  <c r="B61" i="19"/>
  <c r="A61" i="19"/>
  <c r="W60" i="19"/>
  <c r="V60" i="19"/>
  <c r="U60" i="19"/>
  <c r="T60" i="19"/>
  <c r="S60" i="19"/>
  <c r="R60" i="19"/>
  <c r="Q60" i="19"/>
  <c r="P60" i="19"/>
  <c r="O60" i="19"/>
  <c r="N60" i="19"/>
  <c r="M60" i="19"/>
  <c r="L60" i="19"/>
  <c r="K60" i="19"/>
  <c r="I60" i="19"/>
  <c r="H60" i="19"/>
  <c r="E60" i="19"/>
  <c r="D60" i="19"/>
  <c r="C60" i="19"/>
  <c r="B60" i="19"/>
  <c r="A60" i="19"/>
  <c r="W59" i="19"/>
  <c r="V59" i="19"/>
  <c r="U59" i="19"/>
  <c r="T59" i="19"/>
  <c r="S59" i="19"/>
  <c r="R59" i="19"/>
  <c r="Q59" i="19"/>
  <c r="P59" i="19"/>
  <c r="O59" i="19"/>
  <c r="N59" i="19"/>
  <c r="M59" i="19"/>
  <c r="L59" i="19"/>
  <c r="K59" i="19"/>
  <c r="I59" i="19"/>
  <c r="H59" i="19"/>
  <c r="E59" i="19"/>
  <c r="D59" i="19"/>
  <c r="C59" i="19"/>
  <c r="B59" i="19"/>
  <c r="A59" i="19"/>
  <c r="W58" i="19"/>
  <c r="V58" i="19"/>
  <c r="U58" i="19"/>
  <c r="T58" i="19"/>
  <c r="S58" i="19"/>
  <c r="R58" i="19"/>
  <c r="Q58" i="19"/>
  <c r="P58" i="19"/>
  <c r="O58" i="19"/>
  <c r="N58" i="19"/>
  <c r="M58" i="19"/>
  <c r="L58" i="19"/>
  <c r="K58" i="19"/>
  <c r="I58" i="19"/>
  <c r="H58" i="19"/>
  <c r="E58" i="19"/>
  <c r="D58" i="19"/>
  <c r="C58" i="19"/>
  <c r="B58" i="19"/>
  <c r="A58" i="19"/>
  <c r="W57" i="19"/>
  <c r="V57" i="19"/>
  <c r="U57" i="19"/>
  <c r="T57" i="19"/>
  <c r="S57" i="19"/>
  <c r="R57" i="19"/>
  <c r="Q57" i="19"/>
  <c r="P57" i="19"/>
  <c r="O57" i="19"/>
  <c r="N57" i="19"/>
  <c r="M57" i="19"/>
  <c r="L57" i="19"/>
  <c r="K57" i="19"/>
  <c r="I57" i="19"/>
  <c r="H57" i="19"/>
  <c r="E57" i="19"/>
  <c r="D57" i="19"/>
  <c r="C57" i="19"/>
  <c r="B57" i="19"/>
  <c r="A57" i="19"/>
  <c r="W56" i="19"/>
  <c r="V56" i="19"/>
  <c r="U56" i="19"/>
  <c r="T56" i="19"/>
  <c r="S56" i="19"/>
  <c r="R56" i="19"/>
  <c r="Q56" i="19"/>
  <c r="P56" i="19"/>
  <c r="O56" i="19"/>
  <c r="N56" i="19"/>
  <c r="M56" i="19"/>
  <c r="L56" i="19"/>
  <c r="K56" i="19"/>
  <c r="I56" i="19"/>
  <c r="H56" i="19"/>
  <c r="E56" i="19"/>
  <c r="D56" i="19"/>
  <c r="C56" i="19"/>
  <c r="B56" i="19"/>
  <c r="A56" i="19"/>
  <c r="W55" i="19"/>
  <c r="V55" i="19"/>
  <c r="U55" i="19"/>
  <c r="T55" i="19"/>
  <c r="S55" i="19"/>
  <c r="R55" i="19"/>
  <c r="Q55" i="19"/>
  <c r="P55" i="19"/>
  <c r="O55" i="19"/>
  <c r="N55" i="19"/>
  <c r="M55" i="19"/>
  <c r="L55" i="19"/>
  <c r="K55" i="19"/>
  <c r="I55" i="19"/>
  <c r="H55" i="19"/>
  <c r="E55" i="19"/>
  <c r="D55" i="19"/>
  <c r="C55" i="19"/>
  <c r="B55" i="19"/>
  <c r="A55" i="19"/>
  <c r="W54" i="19"/>
  <c r="V54" i="19"/>
  <c r="U54" i="19"/>
  <c r="T54" i="19"/>
  <c r="S54" i="19"/>
  <c r="R54" i="19"/>
  <c r="Q54" i="19"/>
  <c r="P54" i="19"/>
  <c r="O54" i="19"/>
  <c r="N54" i="19"/>
  <c r="M54" i="19"/>
  <c r="L54" i="19"/>
  <c r="K54" i="19"/>
  <c r="I54" i="19"/>
  <c r="H54" i="19"/>
  <c r="E54" i="19"/>
  <c r="D54" i="19"/>
  <c r="C54" i="19"/>
  <c r="B54" i="19"/>
  <c r="A54" i="19"/>
  <c r="W53" i="19"/>
  <c r="V53" i="19"/>
  <c r="U53" i="19"/>
  <c r="T53" i="19"/>
  <c r="S53" i="19"/>
  <c r="R53" i="19"/>
  <c r="Q53" i="19"/>
  <c r="P53" i="19"/>
  <c r="O53" i="19"/>
  <c r="N53" i="19"/>
  <c r="M53" i="19"/>
  <c r="L53" i="19"/>
  <c r="K53" i="19"/>
  <c r="I53" i="19"/>
  <c r="H53" i="19"/>
  <c r="E53" i="19"/>
  <c r="D53" i="19"/>
  <c r="C53" i="19"/>
  <c r="B53" i="19"/>
  <c r="A53" i="19"/>
  <c r="W52" i="19"/>
  <c r="V52" i="19"/>
  <c r="U52" i="19"/>
  <c r="T52" i="19"/>
  <c r="S52" i="19"/>
  <c r="R52" i="19"/>
  <c r="Q52" i="19"/>
  <c r="P52" i="19"/>
  <c r="O52" i="19"/>
  <c r="N52" i="19"/>
  <c r="M52" i="19"/>
  <c r="L52" i="19"/>
  <c r="K52" i="19"/>
  <c r="I52" i="19"/>
  <c r="H52" i="19"/>
  <c r="E52" i="19"/>
  <c r="D52" i="19"/>
  <c r="C52" i="19"/>
  <c r="B52" i="19"/>
  <c r="A52" i="19"/>
  <c r="W51" i="19"/>
  <c r="V51" i="19"/>
  <c r="U51" i="19"/>
  <c r="T51" i="19"/>
  <c r="S51" i="19"/>
  <c r="R51" i="19"/>
  <c r="Q51" i="19"/>
  <c r="P51" i="19"/>
  <c r="O51" i="19"/>
  <c r="N51" i="19"/>
  <c r="M51" i="19"/>
  <c r="L51" i="19"/>
  <c r="K51" i="19"/>
  <c r="I51" i="19"/>
  <c r="H51" i="19"/>
  <c r="E51" i="19"/>
  <c r="D51" i="19"/>
  <c r="C51" i="19"/>
  <c r="B51" i="19"/>
  <c r="A51" i="19"/>
  <c r="W50" i="19"/>
  <c r="V50" i="19"/>
  <c r="U50" i="19"/>
  <c r="T50" i="19"/>
  <c r="S50" i="19"/>
  <c r="R50" i="19"/>
  <c r="Q50" i="19"/>
  <c r="P50" i="19"/>
  <c r="O50" i="19"/>
  <c r="N50" i="19"/>
  <c r="M50" i="19"/>
  <c r="L50" i="19"/>
  <c r="K50" i="19"/>
  <c r="I50" i="19"/>
  <c r="H50" i="19"/>
  <c r="E50" i="19"/>
  <c r="D50" i="19"/>
  <c r="C50" i="19"/>
  <c r="B50" i="19"/>
  <c r="A50" i="19"/>
  <c r="W49" i="19"/>
  <c r="V49" i="19"/>
  <c r="U49" i="19"/>
  <c r="T49" i="19"/>
  <c r="S49" i="19"/>
  <c r="R49" i="19"/>
  <c r="Q49" i="19"/>
  <c r="P49" i="19"/>
  <c r="O49" i="19"/>
  <c r="N49" i="19"/>
  <c r="M49" i="19"/>
  <c r="L49" i="19"/>
  <c r="K49" i="19"/>
  <c r="I49" i="19"/>
  <c r="H49" i="19"/>
  <c r="E49" i="19"/>
  <c r="D49" i="19"/>
  <c r="C49" i="19"/>
  <c r="B49" i="19"/>
  <c r="A49" i="19"/>
  <c r="W48" i="19"/>
  <c r="V48" i="19"/>
  <c r="U48" i="19"/>
  <c r="T48" i="19"/>
  <c r="S48" i="19"/>
  <c r="R48" i="19"/>
  <c r="Q48" i="19"/>
  <c r="P48" i="19"/>
  <c r="O48" i="19"/>
  <c r="N48" i="19"/>
  <c r="M48" i="19"/>
  <c r="L48" i="19"/>
  <c r="K48" i="19"/>
  <c r="I48" i="19"/>
  <c r="H48" i="19"/>
  <c r="E48" i="19"/>
  <c r="D48" i="19"/>
  <c r="C48" i="19"/>
  <c r="B48" i="19"/>
  <c r="A48" i="19"/>
  <c r="W47" i="19"/>
  <c r="V47" i="19"/>
  <c r="U47" i="19"/>
  <c r="T47" i="19"/>
  <c r="S47" i="19"/>
  <c r="R47" i="19"/>
  <c r="Q47" i="19"/>
  <c r="P47" i="19"/>
  <c r="O47" i="19"/>
  <c r="N47" i="19"/>
  <c r="M47" i="19"/>
  <c r="L47" i="19"/>
  <c r="K47" i="19"/>
  <c r="I47" i="19"/>
  <c r="H47" i="19"/>
  <c r="E47" i="19"/>
  <c r="D47" i="19"/>
  <c r="C47" i="19"/>
  <c r="B47" i="19"/>
  <c r="A47" i="19"/>
  <c r="W46" i="19"/>
  <c r="V46" i="19"/>
  <c r="U46" i="19"/>
  <c r="T46" i="19"/>
  <c r="S46" i="19"/>
  <c r="R46" i="19"/>
  <c r="Q46" i="19"/>
  <c r="P46" i="19"/>
  <c r="O46" i="19"/>
  <c r="N46" i="19"/>
  <c r="M46" i="19"/>
  <c r="L46" i="19"/>
  <c r="K46" i="19"/>
  <c r="I46" i="19"/>
  <c r="H46" i="19"/>
  <c r="E46" i="19"/>
  <c r="D46" i="19"/>
  <c r="C46" i="19"/>
  <c r="B46" i="19"/>
  <c r="A46" i="19"/>
  <c r="W45" i="19"/>
  <c r="V45" i="19"/>
  <c r="U45" i="19"/>
  <c r="T45" i="19"/>
  <c r="S45" i="19"/>
  <c r="R45" i="19"/>
  <c r="Q45" i="19"/>
  <c r="P45" i="19"/>
  <c r="O45" i="19"/>
  <c r="N45" i="19"/>
  <c r="M45" i="19"/>
  <c r="L45" i="19"/>
  <c r="K45" i="19"/>
  <c r="I45" i="19"/>
  <c r="H45" i="19"/>
  <c r="E45" i="19"/>
  <c r="D45" i="19"/>
  <c r="C45" i="19"/>
  <c r="B45" i="19"/>
  <c r="A45" i="19"/>
  <c r="W44" i="19"/>
  <c r="V44" i="19"/>
  <c r="U44" i="19"/>
  <c r="T44" i="19"/>
  <c r="S44" i="19"/>
  <c r="R44" i="19"/>
  <c r="Q44" i="19"/>
  <c r="P44" i="19"/>
  <c r="O44" i="19"/>
  <c r="N44" i="19"/>
  <c r="M44" i="19"/>
  <c r="L44" i="19"/>
  <c r="K44" i="19"/>
  <c r="I44" i="19"/>
  <c r="H44" i="19"/>
  <c r="E44" i="19"/>
  <c r="D44" i="19"/>
  <c r="C44" i="19"/>
  <c r="B44" i="19"/>
  <c r="A44" i="19"/>
  <c r="W43" i="19"/>
  <c r="V43" i="19"/>
  <c r="U43" i="19"/>
  <c r="T43" i="19"/>
  <c r="S43" i="19"/>
  <c r="R43" i="19"/>
  <c r="Q43" i="19"/>
  <c r="P43" i="19"/>
  <c r="O43" i="19"/>
  <c r="N43" i="19"/>
  <c r="M43" i="19"/>
  <c r="L43" i="19"/>
  <c r="K43" i="19"/>
  <c r="I43" i="19"/>
  <c r="H43" i="19"/>
  <c r="E43" i="19"/>
  <c r="D43" i="19"/>
  <c r="C43" i="19"/>
  <c r="B43" i="19"/>
  <c r="A43" i="19"/>
  <c r="W42" i="19"/>
  <c r="V42" i="19"/>
  <c r="U42" i="19"/>
  <c r="T42" i="19"/>
  <c r="S42" i="19"/>
  <c r="R42" i="19"/>
  <c r="Q42" i="19"/>
  <c r="P42" i="19"/>
  <c r="O42" i="19"/>
  <c r="N42" i="19"/>
  <c r="M42" i="19"/>
  <c r="L42" i="19"/>
  <c r="K42" i="19"/>
  <c r="I42" i="19"/>
  <c r="H42" i="19"/>
  <c r="E42" i="19"/>
  <c r="D42" i="19"/>
  <c r="C42" i="19"/>
  <c r="B42" i="19"/>
  <c r="A42" i="19"/>
  <c r="W41" i="19"/>
  <c r="V41" i="19"/>
  <c r="U41" i="19"/>
  <c r="T41" i="19"/>
  <c r="S41" i="19"/>
  <c r="R41" i="19"/>
  <c r="Q41" i="19"/>
  <c r="P41" i="19"/>
  <c r="O41" i="19"/>
  <c r="N41" i="19"/>
  <c r="M41" i="19"/>
  <c r="L41" i="19"/>
  <c r="K41" i="19"/>
  <c r="I41" i="19"/>
  <c r="H41" i="19"/>
  <c r="E41" i="19"/>
  <c r="D41" i="19"/>
  <c r="C41" i="19"/>
  <c r="B41" i="19"/>
  <c r="A41" i="19"/>
  <c r="W40" i="19"/>
  <c r="V40" i="19"/>
  <c r="U40" i="19"/>
  <c r="T40" i="19"/>
  <c r="S40" i="19"/>
  <c r="R40" i="19"/>
  <c r="Q40" i="19"/>
  <c r="P40" i="19"/>
  <c r="O40" i="19"/>
  <c r="N40" i="19"/>
  <c r="M40" i="19"/>
  <c r="L40" i="19"/>
  <c r="K40" i="19"/>
  <c r="I40" i="19"/>
  <c r="H40" i="19"/>
  <c r="E40" i="19"/>
  <c r="D40" i="19"/>
  <c r="C40" i="19"/>
  <c r="B40" i="19"/>
  <c r="A40" i="19"/>
  <c r="W39" i="19"/>
  <c r="V39" i="19"/>
  <c r="U39" i="19"/>
  <c r="T39" i="19"/>
  <c r="S39" i="19"/>
  <c r="R39" i="19"/>
  <c r="Q39" i="19"/>
  <c r="P39" i="19"/>
  <c r="O39" i="19"/>
  <c r="N39" i="19"/>
  <c r="M39" i="19"/>
  <c r="L39" i="19"/>
  <c r="K39" i="19"/>
  <c r="I39" i="19"/>
  <c r="H39" i="19"/>
  <c r="E39" i="19"/>
  <c r="D39" i="19"/>
  <c r="C39" i="19"/>
  <c r="B39" i="19"/>
  <c r="A39" i="19"/>
  <c r="W38" i="19"/>
  <c r="V38" i="19"/>
  <c r="U38" i="19"/>
  <c r="T38" i="19"/>
  <c r="S38" i="19"/>
  <c r="R38" i="19"/>
  <c r="Q38" i="19"/>
  <c r="P38" i="19"/>
  <c r="O38" i="19"/>
  <c r="N38" i="19"/>
  <c r="M38" i="19"/>
  <c r="L38" i="19"/>
  <c r="K38" i="19"/>
  <c r="I38" i="19"/>
  <c r="H38" i="19"/>
  <c r="E38" i="19"/>
  <c r="D38" i="19"/>
  <c r="C38" i="19"/>
  <c r="B38" i="19"/>
  <c r="A38" i="19"/>
  <c r="W37" i="19"/>
  <c r="V37" i="19"/>
  <c r="U37" i="19"/>
  <c r="T37" i="19"/>
  <c r="S37" i="19"/>
  <c r="R37" i="19"/>
  <c r="Q37" i="19"/>
  <c r="P37" i="19"/>
  <c r="O37" i="19"/>
  <c r="N37" i="19"/>
  <c r="M37" i="19"/>
  <c r="L37" i="19"/>
  <c r="K37" i="19"/>
  <c r="I37" i="19"/>
  <c r="H37" i="19"/>
  <c r="E37" i="19"/>
  <c r="D37" i="19"/>
  <c r="C37" i="19"/>
  <c r="B37" i="19"/>
  <c r="A37" i="19"/>
  <c r="W36" i="19"/>
  <c r="V36" i="19"/>
  <c r="U36" i="19"/>
  <c r="T36" i="19"/>
  <c r="S36" i="19"/>
  <c r="R36" i="19"/>
  <c r="Q36" i="19"/>
  <c r="P36" i="19"/>
  <c r="O36" i="19"/>
  <c r="N36" i="19"/>
  <c r="M36" i="19"/>
  <c r="L36" i="19"/>
  <c r="K36" i="19"/>
  <c r="I36" i="19"/>
  <c r="H36" i="19"/>
  <c r="E36" i="19"/>
  <c r="D36" i="19"/>
  <c r="C36" i="19"/>
  <c r="B36" i="19"/>
  <c r="A36" i="19"/>
  <c r="W35" i="19"/>
  <c r="V35" i="19"/>
  <c r="U35" i="19"/>
  <c r="T35" i="19"/>
  <c r="S35" i="19"/>
  <c r="R35" i="19"/>
  <c r="Q35" i="19"/>
  <c r="P35" i="19"/>
  <c r="O35" i="19"/>
  <c r="N35" i="19"/>
  <c r="M35" i="19"/>
  <c r="L35" i="19"/>
  <c r="K35" i="19"/>
  <c r="I35" i="19"/>
  <c r="H35" i="19"/>
  <c r="E35" i="19"/>
  <c r="D35" i="19"/>
  <c r="C35" i="19"/>
  <c r="B35" i="19"/>
  <c r="A35" i="19"/>
  <c r="W34" i="19"/>
  <c r="V34" i="19"/>
  <c r="U34" i="19"/>
  <c r="T34" i="19"/>
  <c r="S34" i="19"/>
  <c r="R34" i="19"/>
  <c r="Q34" i="19"/>
  <c r="P34" i="19"/>
  <c r="O34" i="19"/>
  <c r="N34" i="19"/>
  <c r="M34" i="19"/>
  <c r="L34" i="19"/>
  <c r="K34" i="19"/>
  <c r="I34" i="19"/>
  <c r="H34" i="19"/>
  <c r="E34" i="19"/>
  <c r="D34" i="19"/>
  <c r="C34" i="19"/>
  <c r="B34" i="19"/>
  <c r="A34" i="19"/>
  <c r="W33" i="19"/>
  <c r="V33" i="19"/>
  <c r="U33" i="19"/>
  <c r="T33" i="19"/>
  <c r="S33" i="19"/>
  <c r="R33" i="19"/>
  <c r="Q33" i="19"/>
  <c r="P33" i="19"/>
  <c r="O33" i="19"/>
  <c r="N33" i="19"/>
  <c r="M33" i="19"/>
  <c r="L33" i="19"/>
  <c r="K33" i="19"/>
  <c r="I33" i="19"/>
  <c r="H33" i="19"/>
  <c r="E33" i="19"/>
  <c r="D33" i="19"/>
  <c r="C33" i="19"/>
  <c r="B33" i="19"/>
  <c r="A33" i="19"/>
  <c r="W32" i="19"/>
  <c r="V32" i="19"/>
  <c r="U32" i="19"/>
  <c r="T32" i="19"/>
  <c r="S32" i="19"/>
  <c r="R32" i="19"/>
  <c r="Q32" i="19"/>
  <c r="P32" i="19"/>
  <c r="O32" i="19"/>
  <c r="N32" i="19"/>
  <c r="M32" i="19"/>
  <c r="L32" i="19"/>
  <c r="K32" i="19"/>
  <c r="I32" i="19"/>
  <c r="H32" i="19"/>
  <c r="E32" i="19"/>
  <c r="D32" i="19"/>
  <c r="C32" i="19"/>
  <c r="B32" i="19"/>
  <c r="A32" i="19"/>
  <c r="W31" i="19"/>
  <c r="V31" i="19"/>
  <c r="U31" i="19"/>
  <c r="T31" i="19"/>
  <c r="S31" i="19"/>
  <c r="R31" i="19"/>
  <c r="Q31" i="19"/>
  <c r="P31" i="19"/>
  <c r="O31" i="19"/>
  <c r="N31" i="19"/>
  <c r="M31" i="19"/>
  <c r="L31" i="19"/>
  <c r="K31" i="19"/>
  <c r="I31" i="19"/>
  <c r="H31" i="19"/>
  <c r="E31" i="19"/>
  <c r="D31" i="19"/>
  <c r="C31" i="19"/>
  <c r="B31" i="19"/>
  <c r="A31" i="19"/>
  <c r="W30" i="19"/>
  <c r="V30" i="19"/>
  <c r="U30" i="19"/>
  <c r="T30" i="19"/>
  <c r="S30" i="19"/>
  <c r="R30" i="19"/>
  <c r="Q30" i="19"/>
  <c r="P30" i="19"/>
  <c r="O30" i="19"/>
  <c r="N30" i="19"/>
  <c r="M30" i="19"/>
  <c r="L30" i="19"/>
  <c r="K30" i="19"/>
  <c r="I30" i="19"/>
  <c r="H30" i="19"/>
  <c r="E30" i="19"/>
  <c r="D30" i="19"/>
  <c r="C30" i="19"/>
  <c r="B30" i="19"/>
  <c r="A30" i="19"/>
  <c r="W29" i="19"/>
  <c r="V29" i="19"/>
  <c r="U29" i="19"/>
  <c r="T29" i="19"/>
  <c r="S29" i="19"/>
  <c r="R29" i="19"/>
  <c r="Q29" i="19"/>
  <c r="P29" i="19"/>
  <c r="O29" i="19"/>
  <c r="N29" i="19"/>
  <c r="M29" i="19"/>
  <c r="L29" i="19"/>
  <c r="K29" i="19"/>
  <c r="I29" i="19"/>
  <c r="H29" i="19"/>
  <c r="E29" i="19"/>
  <c r="D29" i="19"/>
  <c r="C29" i="19"/>
  <c r="B29" i="19"/>
  <c r="A29" i="19"/>
  <c r="W28" i="19"/>
  <c r="V28" i="19"/>
  <c r="U28" i="19"/>
  <c r="T28" i="19"/>
  <c r="S28" i="19"/>
  <c r="R28" i="19"/>
  <c r="Q28" i="19"/>
  <c r="P28" i="19"/>
  <c r="O28" i="19"/>
  <c r="N28" i="19"/>
  <c r="M28" i="19"/>
  <c r="L28" i="19"/>
  <c r="K28" i="19"/>
  <c r="I28" i="19"/>
  <c r="H28" i="19"/>
  <c r="E28" i="19"/>
  <c r="D28" i="19"/>
  <c r="C28" i="19"/>
  <c r="B28" i="19"/>
  <c r="A28" i="19"/>
  <c r="W27" i="19"/>
  <c r="V27" i="19"/>
  <c r="U27" i="19"/>
  <c r="T27" i="19"/>
  <c r="S27" i="19"/>
  <c r="R27" i="19"/>
  <c r="Q27" i="19"/>
  <c r="P27" i="19"/>
  <c r="O27" i="19"/>
  <c r="N27" i="19"/>
  <c r="M27" i="19"/>
  <c r="L27" i="19"/>
  <c r="K27" i="19"/>
  <c r="I27" i="19"/>
  <c r="H27" i="19"/>
  <c r="E27" i="19"/>
  <c r="D27" i="19"/>
  <c r="C27" i="19"/>
  <c r="B27" i="19"/>
  <c r="A27" i="19"/>
  <c r="W26" i="19"/>
  <c r="V26" i="19"/>
  <c r="U26" i="19"/>
  <c r="T26" i="19"/>
  <c r="S26" i="19"/>
  <c r="R26" i="19"/>
  <c r="Q26" i="19"/>
  <c r="P26" i="19"/>
  <c r="O26" i="19"/>
  <c r="N26" i="19"/>
  <c r="M26" i="19"/>
  <c r="L26" i="19"/>
  <c r="K26" i="19"/>
  <c r="I26" i="19"/>
  <c r="H26" i="19"/>
  <c r="E26" i="19"/>
  <c r="D26" i="19"/>
  <c r="C26" i="19"/>
  <c r="B26" i="19"/>
  <c r="A26" i="19"/>
  <c r="W25" i="19"/>
  <c r="V25" i="19"/>
  <c r="U25" i="19"/>
  <c r="T25" i="19"/>
  <c r="S25" i="19"/>
  <c r="R25" i="19"/>
  <c r="Q25" i="19"/>
  <c r="P25" i="19"/>
  <c r="O25" i="19"/>
  <c r="N25" i="19"/>
  <c r="M25" i="19"/>
  <c r="L25" i="19"/>
  <c r="K25" i="19"/>
  <c r="I25" i="19"/>
  <c r="H25" i="19"/>
  <c r="E25" i="19"/>
  <c r="D25" i="19"/>
  <c r="C25" i="19"/>
  <c r="B25" i="19"/>
  <c r="A25" i="19"/>
  <c r="W24" i="19"/>
  <c r="V24" i="19"/>
  <c r="U24" i="19"/>
  <c r="T24" i="19"/>
  <c r="S24" i="19"/>
  <c r="R24" i="19"/>
  <c r="Q24" i="19"/>
  <c r="P24" i="19"/>
  <c r="O24" i="19"/>
  <c r="N24" i="19"/>
  <c r="M24" i="19"/>
  <c r="L24" i="19"/>
  <c r="K24" i="19"/>
  <c r="I24" i="19"/>
  <c r="H24" i="19"/>
  <c r="E24" i="19"/>
  <c r="D24" i="19"/>
  <c r="C24" i="19"/>
  <c r="B24" i="19"/>
  <c r="A24" i="19"/>
  <c r="W23" i="19"/>
  <c r="V23" i="19"/>
  <c r="U23" i="19"/>
  <c r="T23" i="19"/>
  <c r="S23" i="19"/>
  <c r="R23" i="19"/>
  <c r="Q23" i="19"/>
  <c r="P23" i="19"/>
  <c r="O23" i="19"/>
  <c r="N23" i="19"/>
  <c r="M23" i="19"/>
  <c r="L23" i="19"/>
  <c r="K23" i="19"/>
  <c r="I23" i="19"/>
  <c r="H23" i="19"/>
  <c r="E23" i="19"/>
  <c r="D23" i="19"/>
  <c r="C23" i="19"/>
  <c r="B23" i="19"/>
  <c r="A23" i="19"/>
  <c r="W22" i="19"/>
  <c r="V22" i="19"/>
  <c r="U22" i="19"/>
  <c r="T22" i="19"/>
  <c r="S22" i="19"/>
  <c r="R22" i="19"/>
  <c r="Q22" i="19"/>
  <c r="P22" i="19"/>
  <c r="O22" i="19"/>
  <c r="N22" i="19"/>
  <c r="M22" i="19"/>
  <c r="L22" i="19"/>
  <c r="K22" i="19"/>
  <c r="I22" i="19"/>
  <c r="H22" i="19"/>
  <c r="E22" i="19"/>
  <c r="D22" i="19"/>
  <c r="C22" i="19"/>
  <c r="B22" i="19"/>
  <c r="A22" i="19"/>
  <c r="W21" i="19"/>
  <c r="V21" i="19"/>
  <c r="U21" i="19"/>
  <c r="T21" i="19"/>
  <c r="S21" i="19"/>
  <c r="R21" i="19"/>
  <c r="Q21" i="19"/>
  <c r="P21" i="19"/>
  <c r="O21" i="19"/>
  <c r="N21" i="19"/>
  <c r="M21" i="19"/>
  <c r="L21" i="19"/>
  <c r="K21" i="19"/>
  <c r="I21" i="19"/>
  <c r="H21" i="19"/>
  <c r="E21" i="19"/>
  <c r="D21" i="19"/>
  <c r="C21" i="19"/>
  <c r="B21" i="19"/>
  <c r="A21" i="19"/>
  <c r="W20" i="19"/>
  <c r="V20" i="19"/>
  <c r="U20" i="19"/>
  <c r="T20" i="19"/>
  <c r="S20" i="19"/>
  <c r="R20" i="19"/>
  <c r="Q20" i="19"/>
  <c r="P20" i="19"/>
  <c r="O20" i="19"/>
  <c r="N20" i="19"/>
  <c r="M20" i="19"/>
  <c r="L20" i="19"/>
  <c r="K20" i="19"/>
  <c r="I20" i="19"/>
  <c r="H20" i="19"/>
  <c r="E20" i="19"/>
  <c r="D20" i="19"/>
  <c r="C20" i="19"/>
  <c r="B20" i="19"/>
  <c r="A20" i="19"/>
  <c r="W19" i="19"/>
  <c r="V19" i="19"/>
  <c r="U19" i="19"/>
  <c r="T19" i="19"/>
  <c r="S19" i="19"/>
  <c r="R19" i="19"/>
  <c r="Q19" i="19"/>
  <c r="P19" i="19"/>
  <c r="O19" i="19"/>
  <c r="N19" i="19"/>
  <c r="M19" i="19"/>
  <c r="L19" i="19"/>
  <c r="K19" i="19"/>
  <c r="I19" i="19"/>
  <c r="H19" i="19"/>
  <c r="E19" i="19"/>
  <c r="D19" i="19"/>
  <c r="C19" i="19"/>
  <c r="B19" i="19"/>
  <c r="A19" i="19"/>
  <c r="W18" i="19"/>
  <c r="V18" i="19"/>
  <c r="U18" i="19"/>
  <c r="T18" i="19"/>
  <c r="S18" i="19"/>
  <c r="R18" i="19"/>
  <c r="Q18" i="19"/>
  <c r="P18" i="19"/>
  <c r="O18" i="19"/>
  <c r="N18" i="19"/>
  <c r="M18" i="19"/>
  <c r="L18" i="19"/>
  <c r="K18" i="19"/>
  <c r="I18" i="19"/>
  <c r="H18" i="19"/>
  <c r="E18" i="19"/>
  <c r="D18" i="19"/>
  <c r="C18" i="19"/>
  <c r="B18" i="19"/>
  <c r="A18" i="19"/>
  <c r="W17" i="19"/>
  <c r="V17" i="19"/>
  <c r="U17" i="19"/>
  <c r="T17" i="19"/>
  <c r="S17" i="19"/>
  <c r="R17" i="19"/>
  <c r="Q17" i="19"/>
  <c r="P17" i="19"/>
  <c r="O17" i="19"/>
  <c r="N17" i="19"/>
  <c r="M17" i="19"/>
  <c r="L17" i="19"/>
  <c r="K17" i="19"/>
  <c r="I17" i="19"/>
  <c r="H17" i="19"/>
  <c r="E17" i="19"/>
  <c r="D17" i="19"/>
  <c r="C17" i="19"/>
  <c r="B17" i="19"/>
  <c r="A17" i="19"/>
  <c r="W16" i="19"/>
  <c r="V16" i="19"/>
  <c r="U16" i="19"/>
  <c r="T16" i="19"/>
  <c r="S16" i="19"/>
  <c r="R16" i="19"/>
  <c r="Q16" i="19"/>
  <c r="P16" i="19"/>
  <c r="O16" i="19"/>
  <c r="N16" i="19"/>
  <c r="M16" i="19"/>
  <c r="L16" i="19"/>
  <c r="K16" i="19"/>
  <c r="I16" i="19"/>
  <c r="H16" i="19"/>
  <c r="E16" i="19"/>
  <c r="D16" i="19"/>
  <c r="C16" i="19"/>
  <c r="B16" i="19"/>
  <c r="A16" i="19"/>
  <c r="W15" i="19"/>
  <c r="V15" i="19"/>
  <c r="U15" i="19"/>
  <c r="T15" i="19"/>
  <c r="S15" i="19"/>
  <c r="R15" i="19"/>
  <c r="Q15" i="19"/>
  <c r="P15" i="19"/>
  <c r="O15" i="19"/>
  <c r="N15" i="19"/>
  <c r="M15" i="19"/>
  <c r="L15" i="19"/>
  <c r="K15" i="19"/>
  <c r="I15" i="19"/>
  <c r="H15" i="19"/>
  <c r="E15" i="19"/>
  <c r="D15" i="19"/>
  <c r="C15" i="19"/>
  <c r="B15" i="19"/>
  <c r="A15" i="19"/>
  <c r="W14" i="19"/>
  <c r="V14" i="19"/>
  <c r="U14" i="19"/>
  <c r="T14" i="19"/>
  <c r="S14" i="19"/>
  <c r="R14" i="19"/>
  <c r="Q14" i="19"/>
  <c r="P14" i="19"/>
  <c r="O14" i="19"/>
  <c r="N14" i="19"/>
  <c r="M14" i="19"/>
  <c r="L14" i="19"/>
  <c r="K14" i="19"/>
  <c r="I14" i="19"/>
  <c r="H14" i="19"/>
  <c r="E14" i="19"/>
  <c r="D14" i="19"/>
  <c r="C14" i="19"/>
  <c r="B14" i="19"/>
  <c r="A14" i="19"/>
  <c r="W13" i="19"/>
  <c r="V13" i="19"/>
  <c r="U13" i="19"/>
  <c r="T13" i="19"/>
  <c r="S13" i="19"/>
  <c r="R13" i="19"/>
  <c r="Q13" i="19"/>
  <c r="P13" i="19"/>
  <c r="O13" i="19"/>
  <c r="N13" i="19"/>
  <c r="M13" i="19"/>
  <c r="L13" i="19"/>
  <c r="K13" i="19"/>
  <c r="I13" i="19"/>
  <c r="H13" i="19"/>
  <c r="E13" i="19"/>
  <c r="D13" i="19"/>
  <c r="C13" i="19"/>
  <c r="B13" i="19"/>
  <c r="A13" i="19"/>
  <c r="W12" i="19"/>
  <c r="V12" i="19"/>
  <c r="U12" i="19"/>
  <c r="T12" i="19"/>
  <c r="S12" i="19"/>
  <c r="R12" i="19"/>
  <c r="Q12" i="19"/>
  <c r="P12" i="19"/>
  <c r="O12" i="19"/>
  <c r="N12" i="19"/>
  <c r="M12" i="19"/>
  <c r="L12" i="19"/>
  <c r="K12" i="19"/>
  <c r="I12" i="19"/>
  <c r="H12" i="19"/>
  <c r="E12" i="19"/>
  <c r="D12" i="19"/>
  <c r="C12" i="19"/>
  <c r="B12" i="19"/>
  <c r="A12" i="19"/>
  <c r="W11" i="19"/>
  <c r="V11" i="19"/>
  <c r="U11" i="19"/>
  <c r="T11" i="19"/>
  <c r="S11" i="19"/>
  <c r="R11" i="19"/>
  <c r="Q11" i="19"/>
  <c r="P11" i="19"/>
  <c r="O11" i="19"/>
  <c r="N11" i="19"/>
  <c r="M11" i="19"/>
  <c r="L11" i="19"/>
  <c r="K11" i="19"/>
  <c r="I11" i="19"/>
  <c r="H11" i="19"/>
  <c r="E11" i="19"/>
  <c r="D11" i="19"/>
  <c r="C11" i="19"/>
  <c r="B11" i="19"/>
  <c r="A11" i="19"/>
  <c r="W10" i="19"/>
  <c r="V10" i="19"/>
  <c r="U10" i="19"/>
  <c r="T10" i="19"/>
  <c r="S10" i="19"/>
  <c r="R10" i="19"/>
  <c r="Q10" i="19"/>
  <c r="P10" i="19"/>
  <c r="O10" i="19"/>
  <c r="N10" i="19"/>
  <c r="M10" i="19"/>
  <c r="L10" i="19"/>
  <c r="K10" i="19"/>
  <c r="I10" i="19"/>
  <c r="H10" i="19"/>
  <c r="E10" i="19"/>
  <c r="D10" i="19"/>
  <c r="C10" i="19"/>
  <c r="B10" i="19"/>
  <c r="A10" i="19"/>
  <c r="W9" i="19"/>
  <c r="V9" i="19"/>
  <c r="U9" i="19"/>
  <c r="T9" i="19"/>
  <c r="S9" i="19"/>
  <c r="R9" i="19"/>
  <c r="Q9" i="19"/>
  <c r="P9" i="19"/>
  <c r="O9" i="19"/>
  <c r="N9" i="19"/>
  <c r="M9" i="19"/>
  <c r="L9" i="19"/>
  <c r="K9" i="19"/>
  <c r="I9" i="19"/>
  <c r="H9" i="19"/>
  <c r="E9" i="19"/>
  <c r="D9" i="19"/>
  <c r="C9" i="19"/>
  <c r="B9" i="19"/>
  <c r="A9" i="19"/>
  <c r="W8" i="19"/>
  <c r="V8" i="19"/>
  <c r="U8" i="19"/>
  <c r="T8" i="19"/>
  <c r="S8" i="19"/>
  <c r="R8" i="19"/>
  <c r="Q8" i="19"/>
  <c r="P8" i="19"/>
  <c r="O8" i="19"/>
  <c r="N8" i="19"/>
  <c r="M8" i="19"/>
  <c r="L8" i="19"/>
  <c r="K8" i="19"/>
  <c r="I8" i="19"/>
  <c r="H8" i="19"/>
  <c r="E8" i="19"/>
  <c r="D8" i="19"/>
  <c r="C8" i="19"/>
  <c r="B8" i="19"/>
  <c r="A8" i="19"/>
  <c r="W7" i="19"/>
  <c r="V7" i="19"/>
  <c r="U7" i="19"/>
  <c r="T7" i="19"/>
  <c r="S7" i="19"/>
  <c r="R7" i="19"/>
  <c r="Q7" i="19"/>
  <c r="P7" i="19"/>
  <c r="O7" i="19"/>
  <c r="N7" i="19"/>
  <c r="M7" i="19"/>
  <c r="L7" i="19"/>
  <c r="K7" i="19"/>
  <c r="I7" i="19"/>
  <c r="H7" i="19"/>
  <c r="E7" i="19"/>
  <c r="D7" i="19"/>
  <c r="C7" i="19"/>
  <c r="B7" i="19"/>
  <c r="A7" i="19"/>
  <c r="W6" i="19"/>
  <c r="V6" i="19"/>
  <c r="U6" i="19"/>
  <c r="T6" i="19"/>
  <c r="S6" i="19"/>
  <c r="R6" i="19"/>
  <c r="Q6" i="19"/>
  <c r="P6" i="19"/>
  <c r="O6" i="19"/>
  <c r="N6" i="19"/>
  <c r="M6" i="19"/>
  <c r="L6" i="19"/>
  <c r="K6" i="19"/>
  <c r="I6" i="19"/>
  <c r="H6" i="19"/>
  <c r="E6" i="19"/>
  <c r="D6" i="19"/>
  <c r="C6" i="19"/>
  <c r="B6" i="19"/>
  <c r="A6" i="19"/>
  <c r="W5" i="19"/>
  <c r="V5" i="19"/>
  <c r="U5" i="19"/>
  <c r="T5" i="19"/>
  <c r="S5" i="19"/>
  <c r="R5" i="19"/>
  <c r="Q5" i="19"/>
  <c r="P5" i="19"/>
  <c r="O5" i="19"/>
  <c r="N5" i="19"/>
  <c r="M5" i="19"/>
  <c r="L5" i="19"/>
  <c r="K5" i="19"/>
  <c r="I5" i="19"/>
  <c r="H5" i="19"/>
  <c r="E5" i="19"/>
  <c r="D5" i="19"/>
  <c r="C5" i="19"/>
  <c r="B5" i="19"/>
  <c r="A5" i="19"/>
  <c r="W4" i="19"/>
  <c r="V4" i="19"/>
  <c r="U4" i="19"/>
  <c r="T4" i="19"/>
  <c r="S4" i="19"/>
  <c r="R4" i="19"/>
  <c r="Q4" i="19"/>
  <c r="P4" i="19"/>
  <c r="O4" i="19"/>
  <c r="N4" i="19"/>
  <c r="M4" i="19"/>
  <c r="L4" i="19"/>
  <c r="K4" i="19"/>
  <c r="I4" i="19"/>
  <c r="H4" i="19"/>
  <c r="E4" i="19"/>
  <c r="D4" i="19"/>
  <c r="C4" i="19"/>
  <c r="B4" i="19"/>
  <c r="A4" i="19"/>
  <c r="W3" i="19"/>
  <c r="V3" i="19"/>
  <c r="U3" i="19"/>
  <c r="T3" i="19"/>
  <c r="S3" i="19"/>
  <c r="R3" i="19"/>
  <c r="Q3" i="19"/>
  <c r="P3" i="19"/>
  <c r="O3" i="19"/>
  <c r="N3" i="19"/>
  <c r="M3" i="19"/>
  <c r="L3" i="19"/>
  <c r="K3" i="19"/>
  <c r="I3" i="19"/>
  <c r="H3" i="19"/>
  <c r="E3" i="19"/>
  <c r="D3" i="19"/>
  <c r="C3" i="19"/>
  <c r="B3" i="19"/>
  <c r="A3" i="19"/>
  <c r="W2" i="19"/>
  <c r="V2" i="19"/>
  <c r="U2" i="19"/>
  <c r="T2" i="19"/>
  <c r="S2" i="19"/>
  <c r="R2" i="19"/>
  <c r="Q2" i="19"/>
  <c r="P2" i="19"/>
  <c r="O2" i="19"/>
  <c r="N2" i="19"/>
  <c r="M2" i="19"/>
  <c r="L2" i="19"/>
  <c r="K2" i="19"/>
  <c r="I2" i="19"/>
  <c r="H2" i="19"/>
  <c r="E2" i="19"/>
  <c r="D2" i="19"/>
  <c r="C2" i="19"/>
  <c r="B2" i="19"/>
  <c r="A2" i="19"/>
  <c r="AI50" i="20"/>
  <c r="AH50" i="20"/>
  <c r="AG50" i="20"/>
  <c r="AF50" i="20"/>
  <c r="AE50" i="20"/>
  <c r="AD50" i="20"/>
  <c r="W50" i="20"/>
  <c r="V50" i="20"/>
  <c r="U50" i="20"/>
  <c r="T50" i="20"/>
  <c r="S50" i="20"/>
  <c r="R50" i="20"/>
  <c r="Q50" i="20"/>
  <c r="P50" i="20"/>
  <c r="O50" i="20"/>
  <c r="N50" i="20"/>
  <c r="M50" i="20"/>
  <c r="L50" i="20"/>
  <c r="K50" i="20"/>
  <c r="I50" i="20"/>
  <c r="H50" i="20"/>
  <c r="E50" i="20"/>
  <c r="D50" i="20"/>
  <c r="C50" i="20"/>
  <c r="B50" i="20"/>
  <c r="A50" i="20"/>
  <c r="AI49" i="20"/>
  <c r="AH49" i="20"/>
  <c r="AG49" i="20"/>
  <c r="AF49" i="20"/>
  <c r="AE49" i="20"/>
  <c r="AD49" i="20"/>
  <c r="W49" i="20"/>
  <c r="V49" i="20"/>
  <c r="U49" i="20"/>
  <c r="T49" i="20"/>
  <c r="S49" i="20"/>
  <c r="R49" i="20"/>
  <c r="Q49" i="20"/>
  <c r="P49" i="20"/>
  <c r="O49" i="20"/>
  <c r="N49" i="20"/>
  <c r="M49" i="20"/>
  <c r="L49" i="20"/>
  <c r="K49" i="20"/>
  <c r="I49" i="20"/>
  <c r="H49" i="20"/>
  <c r="E49" i="20"/>
  <c r="D49" i="20"/>
  <c r="C49" i="20"/>
  <c r="B49" i="20"/>
  <c r="A49" i="20"/>
  <c r="AI48" i="20"/>
  <c r="AH48" i="20"/>
  <c r="AG48" i="20"/>
  <c r="AF48" i="20"/>
  <c r="AE48" i="20"/>
  <c r="AD48" i="20"/>
  <c r="W48" i="20"/>
  <c r="V48" i="20"/>
  <c r="U48" i="20"/>
  <c r="T48" i="20"/>
  <c r="S48" i="20"/>
  <c r="R48" i="20"/>
  <c r="Q48" i="20"/>
  <c r="P48" i="20"/>
  <c r="O48" i="20"/>
  <c r="N48" i="20"/>
  <c r="M48" i="20"/>
  <c r="L48" i="20"/>
  <c r="K48" i="20"/>
  <c r="I48" i="20"/>
  <c r="H48" i="20"/>
  <c r="E48" i="20"/>
  <c r="D48" i="20"/>
  <c r="C48" i="20"/>
  <c r="B48" i="20"/>
  <c r="A48" i="20"/>
  <c r="AI47" i="20"/>
  <c r="AH47" i="20"/>
  <c r="AG47" i="20"/>
  <c r="AF47" i="20"/>
  <c r="AE47" i="20"/>
  <c r="AD47" i="20"/>
  <c r="W47" i="20"/>
  <c r="V47" i="20"/>
  <c r="U47" i="20"/>
  <c r="T47" i="20"/>
  <c r="S47" i="20"/>
  <c r="R47" i="20"/>
  <c r="Q47" i="20"/>
  <c r="P47" i="20"/>
  <c r="O47" i="20"/>
  <c r="N47" i="20"/>
  <c r="M47" i="20"/>
  <c r="L47" i="20"/>
  <c r="K47" i="20"/>
  <c r="I47" i="20"/>
  <c r="H47" i="20"/>
  <c r="E47" i="20"/>
  <c r="D47" i="20"/>
  <c r="C47" i="20"/>
  <c r="B47" i="20"/>
  <c r="A47" i="20"/>
  <c r="AI46" i="20"/>
  <c r="AH46" i="20"/>
  <c r="AG46" i="20"/>
  <c r="AF46" i="20"/>
  <c r="AE46" i="20"/>
  <c r="AD46" i="20"/>
  <c r="W46" i="20"/>
  <c r="V46" i="20"/>
  <c r="U46" i="20"/>
  <c r="T46" i="20"/>
  <c r="S46" i="20"/>
  <c r="R46" i="20"/>
  <c r="Q46" i="20"/>
  <c r="P46" i="20"/>
  <c r="O46" i="20"/>
  <c r="N46" i="20"/>
  <c r="M46" i="20"/>
  <c r="L46" i="20"/>
  <c r="K46" i="20"/>
  <c r="I46" i="20"/>
  <c r="H46" i="20"/>
  <c r="E46" i="20"/>
  <c r="D46" i="20"/>
  <c r="C46" i="20"/>
  <c r="B46" i="20"/>
  <c r="A46" i="20"/>
  <c r="AI45" i="20"/>
  <c r="AH45" i="20"/>
  <c r="AG45" i="20"/>
  <c r="AF45" i="20"/>
  <c r="AE45" i="20"/>
  <c r="AD45" i="20"/>
  <c r="W45" i="20"/>
  <c r="V45" i="20"/>
  <c r="U45" i="20"/>
  <c r="T45" i="20"/>
  <c r="S45" i="20"/>
  <c r="R45" i="20"/>
  <c r="Q45" i="20"/>
  <c r="P45" i="20"/>
  <c r="O45" i="20"/>
  <c r="N45" i="20"/>
  <c r="M45" i="20"/>
  <c r="L45" i="20"/>
  <c r="K45" i="20"/>
  <c r="I45" i="20"/>
  <c r="H45" i="20"/>
  <c r="E45" i="20"/>
  <c r="D45" i="20"/>
  <c r="C45" i="20"/>
  <c r="B45" i="20"/>
  <c r="A45" i="20"/>
  <c r="AI44" i="20"/>
  <c r="AH44" i="20"/>
  <c r="AG44" i="20"/>
  <c r="AF44" i="20"/>
  <c r="AE44" i="20"/>
  <c r="AD44" i="20"/>
  <c r="W44" i="20"/>
  <c r="V44" i="20"/>
  <c r="U44" i="20"/>
  <c r="T44" i="20"/>
  <c r="S44" i="20"/>
  <c r="R44" i="20"/>
  <c r="Q44" i="20"/>
  <c r="P44" i="20"/>
  <c r="O44" i="20"/>
  <c r="N44" i="20"/>
  <c r="M44" i="20"/>
  <c r="L44" i="20"/>
  <c r="K44" i="20"/>
  <c r="I44" i="20"/>
  <c r="H44" i="20"/>
  <c r="E44" i="20"/>
  <c r="D44" i="20"/>
  <c r="C44" i="20"/>
  <c r="B44" i="20"/>
  <c r="A44" i="20"/>
  <c r="AI43" i="20"/>
  <c r="AH43" i="20"/>
  <c r="AG43" i="20"/>
  <c r="AF43" i="20"/>
  <c r="AE43" i="20"/>
  <c r="AD43" i="20"/>
  <c r="W43" i="20"/>
  <c r="V43" i="20"/>
  <c r="U43" i="20"/>
  <c r="T43" i="20"/>
  <c r="S43" i="20"/>
  <c r="R43" i="20"/>
  <c r="Q43" i="20"/>
  <c r="P43" i="20"/>
  <c r="O43" i="20"/>
  <c r="N43" i="20"/>
  <c r="M43" i="20"/>
  <c r="L43" i="20"/>
  <c r="K43" i="20"/>
  <c r="I43" i="20"/>
  <c r="H43" i="20"/>
  <c r="E43" i="20"/>
  <c r="D43" i="20"/>
  <c r="C43" i="20"/>
  <c r="B43" i="20"/>
  <c r="A43" i="20"/>
  <c r="AI42" i="20"/>
  <c r="AH42" i="20"/>
  <c r="AG42" i="20"/>
  <c r="AF42" i="20"/>
  <c r="AE42" i="20"/>
  <c r="AD42" i="20"/>
  <c r="W42" i="20"/>
  <c r="V42" i="20"/>
  <c r="U42" i="20"/>
  <c r="T42" i="20"/>
  <c r="S42" i="20"/>
  <c r="R42" i="20"/>
  <c r="Q42" i="20"/>
  <c r="P42" i="20"/>
  <c r="O42" i="20"/>
  <c r="N42" i="20"/>
  <c r="M42" i="20"/>
  <c r="L42" i="20"/>
  <c r="K42" i="20"/>
  <c r="I42" i="20"/>
  <c r="H42" i="20"/>
  <c r="E42" i="20"/>
  <c r="D42" i="20"/>
  <c r="C42" i="20"/>
  <c r="B42" i="20"/>
  <c r="A42" i="20"/>
  <c r="AI41" i="20"/>
  <c r="AH41" i="20"/>
  <c r="AG41" i="20"/>
  <c r="AF41" i="20"/>
  <c r="AE41" i="20"/>
  <c r="AD41" i="20"/>
  <c r="W41" i="20"/>
  <c r="V41" i="20"/>
  <c r="U41" i="20"/>
  <c r="T41" i="20"/>
  <c r="S41" i="20"/>
  <c r="R41" i="20"/>
  <c r="Q41" i="20"/>
  <c r="P41" i="20"/>
  <c r="O41" i="20"/>
  <c r="N41" i="20"/>
  <c r="M41" i="20"/>
  <c r="L41" i="20"/>
  <c r="K41" i="20"/>
  <c r="I41" i="20"/>
  <c r="H41" i="20"/>
  <c r="E41" i="20"/>
  <c r="D41" i="20"/>
  <c r="C41" i="20"/>
  <c r="B41" i="20"/>
  <c r="A41" i="20"/>
  <c r="AI40" i="20"/>
  <c r="AH40" i="20"/>
  <c r="AG40" i="20"/>
  <c r="AF40" i="20"/>
  <c r="AE40" i="20"/>
  <c r="AD40" i="20"/>
  <c r="W40" i="20"/>
  <c r="V40" i="20"/>
  <c r="U40" i="20"/>
  <c r="T40" i="20"/>
  <c r="S40" i="20"/>
  <c r="R40" i="20"/>
  <c r="Q40" i="20"/>
  <c r="P40" i="20"/>
  <c r="O40" i="20"/>
  <c r="N40" i="20"/>
  <c r="M40" i="20"/>
  <c r="L40" i="20"/>
  <c r="K40" i="20"/>
  <c r="I40" i="20"/>
  <c r="H40" i="20"/>
  <c r="E40" i="20"/>
  <c r="D40" i="20"/>
  <c r="C40" i="20"/>
  <c r="B40" i="20"/>
  <c r="A40" i="20"/>
  <c r="AI39" i="20"/>
  <c r="AH39" i="20"/>
  <c r="AG39" i="20"/>
  <c r="AF39" i="20"/>
  <c r="AE39" i="20"/>
  <c r="AD39" i="20"/>
  <c r="W39" i="20"/>
  <c r="V39" i="20"/>
  <c r="U39" i="20"/>
  <c r="T39" i="20"/>
  <c r="S39" i="20"/>
  <c r="R39" i="20"/>
  <c r="Q39" i="20"/>
  <c r="P39" i="20"/>
  <c r="O39" i="20"/>
  <c r="N39" i="20"/>
  <c r="M39" i="20"/>
  <c r="L39" i="20"/>
  <c r="K39" i="20"/>
  <c r="I39" i="20"/>
  <c r="H39" i="20"/>
  <c r="E39" i="20"/>
  <c r="D39" i="20"/>
  <c r="C39" i="20"/>
  <c r="B39" i="20"/>
  <c r="A39" i="20"/>
  <c r="AI38" i="20"/>
  <c r="AH38" i="20"/>
  <c r="AG38" i="20"/>
  <c r="AF38" i="20"/>
  <c r="AE38" i="20"/>
  <c r="AD38" i="20"/>
  <c r="W38" i="20"/>
  <c r="V38" i="20"/>
  <c r="U38" i="20"/>
  <c r="T38" i="20"/>
  <c r="S38" i="20"/>
  <c r="R38" i="20"/>
  <c r="Q38" i="20"/>
  <c r="P38" i="20"/>
  <c r="O38" i="20"/>
  <c r="N38" i="20"/>
  <c r="M38" i="20"/>
  <c r="L38" i="20"/>
  <c r="K38" i="20"/>
  <c r="I38" i="20"/>
  <c r="H38" i="20"/>
  <c r="E38" i="20"/>
  <c r="D38" i="20"/>
  <c r="C38" i="20"/>
  <c r="B38" i="20"/>
  <c r="A38" i="20"/>
  <c r="AI37" i="20"/>
  <c r="AH37" i="20"/>
  <c r="AG37" i="20"/>
  <c r="AF37" i="20"/>
  <c r="AE37" i="20"/>
  <c r="AD37" i="20"/>
  <c r="W37" i="20"/>
  <c r="V37" i="20"/>
  <c r="U37" i="20"/>
  <c r="T37" i="20"/>
  <c r="S37" i="20"/>
  <c r="R37" i="20"/>
  <c r="Q37" i="20"/>
  <c r="P37" i="20"/>
  <c r="O37" i="20"/>
  <c r="N37" i="20"/>
  <c r="M37" i="20"/>
  <c r="L37" i="20"/>
  <c r="K37" i="20"/>
  <c r="I37" i="20"/>
  <c r="H37" i="20"/>
  <c r="E37" i="20"/>
  <c r="D37" i="20"/>
  <c r="C37" i="20"/>
  <c r="B37" i="20"/>
  <c r="A37" i="20"/>
  <c r="AI36" i="20"/>
  <c r="AH36" i="20"/>
  <c r="AG36" i="20"/>
  <c r="AF36" i="20"/>
  <c r="AE36" i="20"/>
  <c r="AD36" i="20"/>
  <c r="W36" i="20"/>
  <c r="V36" i="20"/>
  <c r="U36" i="20"/>
  <c r="T36" i="20"/>
  <c r="S36" i="20"/>
  <c r="R36" i="20"/>
  <c r="Q36" i="20"/>
  <c r="P36" i="20"/>
  <c r="O36" i="20"/>
  <c r="N36" i="20"/>
  <c r="M36" i="20"/>
  <c r="L36" i="20"/>
  <c r="K36" i="20"/>
  <c r="I36" i="20"/>
  <c r="H36" i="20"/>
  <c r="E36" i="20"/>
  <c r="D36" i="20"/>
  <c r="C36" i="20"/>
  <c r="B36" i="20"/>
  <c r="A36" i="20"/>
  <c r="AI35" i="20"/>
  <c r="AH35" i="20"/>
  <c r="AG35" i="20"/>
  <c r="AF35" i="20"/>
  <c r="AE35" i="20"/>
  <c r="AD35" i="20"/>
  <c r="W35" i="20"/>
  <c r="V35" i="20"/>
  <c r="U35" i="20"/>
  <c r="T35" i="20"/>
  <c r="S35" i="20"/>
  <c r="R35" i="20"/>
  <c r="Q35" i="20"/>
  <c r="P35" i="20"/>
  <c r="O35" i="20"/>
  <c r="N35" i="20"/>
  <c r="M35" i="20"/>
  <c r="L35" i="20"/>
  <c r="K35" i="20"/>
  <c r="I35" i="20"/>
  <c r="H35" i="20"/>
  <c r="E35" i="20"/>
  <c r="D35" i="20"/>
  <c r="C35" i="20"/>
  <c r="B35" i="20"/>
  <c r="A35" i="20"/>
  <c r="AI34" i="20"/>
  <c r="AH34" i="20"/>
  <c r="AG34" i="20"/>
  <c r="AF34" i="20"/>
  <c r="AE34" i="20"/>
  <c r="AD34" i="20"/>
  <c r="W34" i="20"/>
  <c r="V34" i="20"/>
  <c r="U34" i="20"/>
  <c r="T34" i="20"/>
  <c r="S34" i="20"/>
  <c r="R34" i="20"/>
  <c r="Q34" i="20"/>
  <c r="P34" i="20"/>
  <c r="O34" i="20"/>
  <c r="N34" i="20"/>
  <c r="M34" i="20"/>
  <c r="L34" i="20"/>
  <c r="K34" i="20"/>
  <c r="I34" i="20"/>
  <c r="H34" i="20"/>
  <c r="E34" i="20"/>
  <c r="D34" i="20"/>
  <c r="C34" i="20"/>
  <c r="B34" i="20"/>
  <c r="A34" i="20"/>
  <c r="AI33" i="20"/>
  <c r="AH33" i="20"/>
  <c r="AG33" i="20"/>
  <c r="AF33" i="20"/>
  <c r="AE33" i="20"/>
  <c r="AD33" i="20"/>
  <c r="W33" i="20"/>
  <c r="V33" i="20"/>
  <c r="U33" i="20"/>
  <c r="T33" i="20"/>
  <c r="S33" i="20"/>
  <c r="R33" i="20"/>
  <c r="Q33" i="20"/>
  <c r="P33" i="20"/>
  <c r="O33" i="20"/>
  <c r="N33" i="20"/>
  <c r="M33" i="20"/>
  <c r="L33" i="20"/>
  <c r="K33" i="20"/>
  <c r="I33" i="20"/>
  <c r="H33" i="20"/>
  <c r="E33" i="20"/>
  <c r="D33" i="20"/>
  <c r="C33" i="20"/>
  <c r="B33" i="20"/>
  <c r="A33" i="20"/>
  <c r="AI32" i="20"/>
  <c r="AH32" i="20"/>
  <c r="AG32" i="20"/>
  <c r="AF32" i="20"/>
  <c r="AE32" i="20"/>
  <c r="AD32" i="20"/>
  <c r="W32" i="20"/>
  <c r="V32" i="20"/>
  <c r="U32" i="20"/>
  <c r="T32" i="20"/>
  <c r="S32" i="20"/>
  <c r="R32" i="20"/>
  <c r="Q32" i="20"/>
  <c r="P32" i="20"/>
  <c r="O32" i="20"/>
  <c r="N32" i="20"/>
  <c r="M32" i="20"/>
  <c r="L32" i="20"/>
  <c r="K32" i="20"/>
  <c r="I32" i="20"/>
  <c r="H32" i="20"/>
  <c r="E32" i="20"/>
  <c r="D32" i="20"/>
  <c r="C32" i="20"/>
  <c r="B32" i="20"/>
  <c r="A32" i="20"/>
  <c r="AI31" i="20"/>
  <c r="AH31" i="20"/>
  <c r="AG31" i="20"/>
  <c r="AF31" i="20"/>
  <c r="AE31" i="20"/>
  <c r="AD31" i="20"/>
  <c r="W31" i="20"/>
  <c r="V31" i="20"/>
  <c r="U31" i="20"/>
  <c r="T31" i="20"/>
  <c r="S31" i="20"/>
  <c r="R31" i="20"/>
  <c r="Q31" i="20"/>
  <c r="P31" i="20"/>
  <c r="O31" i="20"/>
  <c r="N31" i="20"/>
  <c r="M31" i="20"/>
  <c r="L31" i="20"/>
  <c r="K31" i="20"/>
  <c r="I31" i="20"/>
  <c r="H31" i="20"/>
  <c r="E31" i="20"/>
  <c r="D31" i="20"/>
  <c r="C31" i="20"/>
  <c r="B31" i="20"/>
  <c r="A31" i="20"/>
  <c r="AI30" i="20"/>
  <c r="AH30" i="20"/>
  <c r="AG30" i="20"/>
  <c r="AF30" i="20"/>
  <c r="AE30" i="20"/>
  <c r="AD30" i="20"/>
  <c r="W30" i="20"/>
  <c r="V30" i="20"/>
  <c r="U30" i="20"/>
  <c r="T30" i="20"/>
  <c r="S30" i="20"/>
  <c r="R30" i="20"/>
  <c r="Q30" i="20"/>
  <c r="P30" i="20"/>
  <c r="O30" i="20"/>
  <c r="N30" i="20"/>
  <c r="M30" i="20"/>
  <c r="L30" i="20"/>
  <c r="K30" i="20"/>
  <c r="I30" i="20"/>
  <c r="H30" i="20"/>
  <c r="E30" i="20"/>
  <c r="D30" i="20"/>
  <c r="C30" i="20"/>
  <c r="B30" i="20"/>
  <c r="A30" i="20"/>
  <c r="AI29" i="20"/>
  <c r="AH29" i="20"/>
  <c r="AG29" i="20"/>
  <c r="AF29" i="20"/>
  <c r="AE29" i="20"/>
  <c r="AD29" i="20"/>
  <c r="W29" i="20"/>
  <c r="V29" i="20"/>
  <c r="U29" i="20"/>
  <c r="T29" i="20"/>
  <c r="S29" i="20"/>
  <c r="R29" i="20"/>
  <c r="Q29" i="20"/>
  <c r="P29" i="20"/>
  <c r="O29" i="20"/>
  <c r="N29" i="20"/>
  <c r="M29" i="20"/>
  <c r="L29" i="20"/>
  <c r="K29" i="20"/>
  <c r="I29" i="20"/>
  <c r="H29" i="20"/>
  <c r="E29" i="20"/>
  <c r="D29" i="20"/>
  <c r="C29" i="20"/>
  <c r="B29" i="20"/>
  <c r="A29" i="20"/>
  <c r="AI28" i="20"/>
  <c r="AH28" i="20"/>
  <c r="AG28" i="20"/>
  <c r="AF28" i="20"/>
  <c r="AE28" i="20"/>
  <c r="AD28" i="20"/>
  <c r="W28" i="20"/>
  <c r="V28" i="20"/>
  <c r="U28" i="20"/>
  <c r="T28" i="20"/>
  <c r="S28" i="20"/>
  <c r="R28" i="20"/>
  <c r="Q28" i="20"/>
  <c r="P28" i="20"/>
  <c r="O28" i="20"/>
  <c r="N28" i="20"/>
  <c r="M28" i="20"/>
  <c r="L28" i="20"/>
  <c r="K28" i="20"/>
  <c r="I28" i="20"/>
  <c r="H28" i="20"/>
  <c r="E28" i="20"/>
  <c r="D28" i="20"/>
  <c r="C28" i="20"/>
  <c r="B28" i="20"/>
  <c r="A28" i="20"/>
  <c r="AI27" i="20"/>
  <c r="AH27" i="20"/>
  <c r="AG27" i="20"/>
  <c r="AF27" i="20"/>
  <c r="AE27" i="20"/>
  <c r="AD27" i="20"/>
  <c r="W27" i="20"/>
  <c r="V27" i="20"/>
  <c r="U27" i="20"/>
  <c r="T27" i="20"/>
  <c r="S27" i="20"/>
  <c r="R27" i="20"/>
  <c r="Q27" i="20"/>
  <c r="P27" i="20"/>
  <c r="O27" i="20"/>
  <c r="N27" i="20"/>
  <c r="M27" i="20"/>
  <c r="L27" i="20"/>
  <c r="K27" i="20"/>
  <c r="I27" i="20"/>
  <c r="H27" i="20"/>
  <c r="E27" i="20"/>
  <c r="D27" i="20"/>
  <c r="C27" i="20"/>
  <c r="B27" i="20"/>
  <c r="A27" i="20"/>
  <c r="AI26" i="20"/>
  <c r="AH26" i="20"/>
  <c r="AG26" i="20"/>
  <c r="AF26" i="20"/>
  <c r="AE26" i="20"/>
  <c r="AD26" i="20"/>
  <c r="W26" i="20"/>
  <c r="V26" i="20"/>
  <c r="U26" i="20"/>
  <c r="T26" i="20"/>
  <c r="S26" i="20"/>
  <c r="R26" i="20"/>
  <c r="Q26" i="20"/>
  <c r="P26" i="20"/>
  <c r="O26" i="20"/>
  <c r="N26" i="20"/>
  <c r="M26" i="20"/>
  <c r="L26" i="20"/>
  <c r="K26" i="20"/>
  <c r="I26" i="20"/>
  <c r="H26" i="20"/>
  <c r="E26" i="20"/>
  <c r="D26" i="20"/>
  <c r="C26" i="20"/>
  <c r="B26" i="20"/>
  <c r="A26" i="20"/>
  <c r="AI25" i="20"/>
  <c r="AH25" i="20"/>
  <c r="AG25" i="20"/>
  <c r="AF25" i="20"/>
  <c r="AE25" i="20"/>
  <c r="AD25" i="20"/>
  <c r="W25" i="20"/>
  <c r="V25" i="20"/>
  <c r="U25" i="20"/>
  <c r="T25" i="20"/>
  <c r="S25" i="20"/>
  <c r="R25" i="20"/>
  <c r="Q25" i="20"/>
  <c r="P25" i="20"/>
  <c r="O25" i="20"/>
  <c r="N25" i="20"/>
  <c r="M25" i="20"/>
  <c r="L25" i="20"/>
  <c r="K25" i="20"/>
  <c r="I25" i="20"/>
  <c r="H25" i="20"/>
  <c r="E25" i="20"/>
  <c r="D25" i="20"/>
  <c r="C25" i="20"/>
  <c r="B25" i="20"/>
  <c r="A25" i="20"/>
  <c r="AI24" i="20"/>
  <c r="AH24" i="20"/>
  <c r="AG24" i="20"/>
  <c r="AF24" i="20"/>
  <c r="AE24" i="20"/>
  <c r="AD24" i="20"/>
  <c r="W24" i="20"/>
  <c r="V24" i="20"/>
  <c r="U24" i="20"/>
  <c r="T24" i="20"/>
  <c r="S24" i="20"/>
  <c r="R24" i="20"/>
  <c r="Q24" i="20"/>
  <c r="P24" i="20"/>
  <c r="O24" i="20"/>
  <c r="N24" i="20"/>
  <c r="M24" i="20"/>
  <c r="L24" i="20"/>
  <c r="K24" i="20"/>
  <c r="I24" i="20"/>
  <c r="H24" i="20"/>
  <c r="E24" i="20"/>
  <c r="D24" i="20"/>
  <c r="C24" i="20"/>
  <c r="B24" i="20"/>
  <c r="A24" i="20"/>
  <c r="AI23" i="20"/>
  <c r="AH23" i="20"/>
  <c r="AG23" i="20"/>
  <c r="AF23" i="20"/>
  <c r="AE23" i="20"/>
  <c r="AD23" i="20"/>
  <c r="W23" i="20"/>
  <c r="V23" i="20"/>
  <c r="U23" i="20"/>
  <c r="T23" i="20"/>
  <c r="S23" i="20"/>
  <c r="R23" i="20"/>
  <c r="Q23" i="20"/>
  <c r="P23" i="20"/>
  <c r="O23" i="20"/>
  <c r="N23" i="20"/>
  <c r="M23" i="20"/>
  <c r="L23" i="20"/>
  <c r="K23" i="20"/>
  <c r="I23" i="20"/>
  <c r="H23" i="20"/>
  <c r="E23" i="20"/>
  <c r="D23" i="20"/>
  <c r="C23" i="20"/>
  <c r="B23" i="20"/>
  <c r="A23" i="20"/>
  <c r="AI22" i="20"/>
  <c r="AH22" i="20"/>
  <c r="AG22" i="20"/>
  <c r="AF22" i="20"/>
  <c r="AE22" i="20"/>
  <c r="AD22" i="20"/>
  <c r="W22" i="20"/>
  <c r="V22" i="20"/>
  <c r="U22" i="20"/>
  <c r="T22" i="20"/>
  <c r="S22" i="20"/>
  <c r="R22" i="20"/>
  <c r="Q22" i="20"/>
  <c r="P22" i="20"/>
  <c r="O22" i="20"/>
  <c r="N22" i="20"/>
  <c r="M22" i="20"/>
  <c r="L22" i="20"/>
  <c r="K22" i="20"/>
  <c r="I22" i="20"/>
  <c r="H22" i="20"/>
  <c r="E22" i="20"/>
  <c r="D22" i="20"/>
  <c r="C22" i="20"/>
  <c r="B22" i="20"/>
  <c r="A22" i="20"/>
  <c r="AI21" i="20"/>
  <c r="AH21" i="20"/>
  <c r="AG21" i="20"/>
  <c r="AF21" i="20"/>
  <c r="AE21" i="20"/>
  <c r="AD21" i="20"/>
  <c r="W21" i="20"/>
  <c r="V21" i="20"/>
  <c r="U21" i="20"/>
  <c r="T21" i="20"/>
  <c r="S21" i="20"/>
  <c r="R21" i="20"/>
  <c r="Q21" i="20"/>
  <c r="P21" i="20"/>
  <c r="O21" i="20"/>
  <c r="N21" i="20"/>
  <c r="M21" i="20"/>
  <c r="L21" i="20"/>
  <c r="K21" i="20"/>
  <c r="I21" i="20"/>
  <c r="H21" i="20"/>
  <c r="E21" i="20"/>
  <c r="D21" i="20"/>
  <c r="C21" i="20"/>
  <c r="B21" i="20"/>
  <c r="A21" i="20"/>
  <c r="AI20" i="20"/>
  <c r="AH20" i="20"/>
  <c r="AG20" i="20"/>
  <c r="AF20" i="20"/>
  <c r="AE20" i="20"/>
  <c r="AD20" i="20"/>
  <c r="W20" i="20"/>
  <c r="V20" i="20"/>
  <c r="U20" i="20"/>
  <c r="T20" i="20"/>
  <c r="S20" i="20"/>
  <c r="R20" i="20"/>
  <c r="Q20" i="20"/>
  <c r="P20" i="20"/>
  <c r="O20" i="20"/>
  <c r="N20" i="20"/>
  <c r="M20" i="20"/>
  <c r="L20" i="20"/>
  <c r="K20" i="20"/>
  <c r="I20" i="20"/>
  <c r="H20" i="20"/>
  <c r="E20" i="20"/>
  <c r="D20" i="20"/>
  <c r="C20" i="20"/>
  <c r="B20" i="20"/>
  <c r="A20" i="20"/>
  <c r="AI19" i="20"/>
  <c r="AH19" i="20"/>
  <c r="AG19" i="20"/>
  <c r="AF19" i="20"/>
  <c r="AE19" i="20"/>
  <c r="AD19" i="20"/>
  <c r="W19" i="20"/>
  <c r="V19" i="20"/>
  <c r="U19" i="20"/>
  <c r="T19" i="20"/>
  <c r="S19" i="20"/>
  <c r="R19" i="20"/>
  <c r="Q19" i="20"/>
  <c r="P19" i="20"/>
  <c r="O19" i="20"/>
  <c r="N19" i="20"/>
  <c r="M19" i="20"/>
  <c r="L19" i="20"/>
  <c r="K19" i="20"/>
  <c r="I19" i="20"/>
  <c r="H19" i="20"/>
  <c r="E19" i="20"/>
  <c r="D19" i="20"/>
  <c r="C19" i="20"/>
  <c r="B19" i="20"/>
  <c r="A19" i="20"/>
  <c r="AI18" i="20"/>
  <c r="AH18" i="20"/>
  <c r="AG18" i="20"/>
  <c r="AF18" i="20"/>
  <c r="AE18" i="20"/>
  <c r="AD18" i="20"/>
  <c r="W18" i="20"/>
  <c r="V18" i="20"/>
  <c r="U18" i="20"/>
  <c r="T18" i="20"/>
  <c r="S18" i="20"/>
  <c r="R18" i="20"/>
  <c r="Q18" i="20"/>
  <c r="P18" i="20"/>
  <c r="O18" i="20"/>
  <c r="N18" i="20"/>
  <c r="M18" i="20"/>
  <c r="L18" i="20"/>
  <c r="K18" i="20"/>
  <c r="I18" i="20"/>
  <c r="H18" i="20"/>
  <c r="E18" i="20"/>
  <c r="D18" i="20"/>
  <c r="C18" i="20"/>
  <c r="B18" i="20"/>
  <c r="A18" i="20"/>
  <c r="AI17" i="20"/>
  <c r="AH17" i="20"/>
  <c r="AG17" i="20"/>
  <c r="AF17" i="20"/>
  <c r="AE17" i="20"/>
  <c r="AD17" i="20"/>
  <c r="W17" i="20"/>
  <c r="V17" i="20"/>
  <c r="U17" i="20"/>
  <c r="T17" i="20"/>
  <c r="S17" i="20"/>
  <c r="R17" i="20"/>
  <c r="Q17" i="20"/>
  <c r="P17" i="20"/>
  <c r="O17" i="20"/>
  <c r="N17" i="20"/>
  <c r="M17" i="20"/>
  <c r="L17" i="20"/>
  <c r="K17" i="20"/>
  <c r="I17" i="20"/>
  <c r="H17" i="20"/>
  <c r="E17" i="20"/>
  <c r="D17" i="20"/>
  <c r="C17" i="20"/>
  <c r="B17" i="20"/>
  <c r="A17" i="20"/>
  <c r="AI16" i="20"/>
  <c r="AH16" i="20"/>
  <c r="AG16" i="20"/>
  <c r="AF16" i="20"/>
  <c r="AE16" i="20"/>
  <c r="AD16" i="20"/>
  <c r="W16" i="20"/>
  <c r="V16" i="20"/>
  <c r="U16" i="20"/>
  <c r="T16" i="20"/>
  <c r="S16" i="20"/>
  <c r="R16" i="20"/>
  <c r="Q16" i="20"/>
  <c r="P16" i="20"/>
  <c r="O16" i="20"/>
  <c r="N16" i="20"/>
  <c r="M16" i="20"/>
  <c r="L16" i="20"/>
  <c r="K16" i="20"/>
  <c r="I16" i="20"/>
  <c r="H16" i="20"/>
  <c r="E16" i="20"/>
  <c r="D16" i="20"/>
  <c r="C16" i="20"/>
  <c r="B16" i="20"/>
  <c r="A16" i="20"/>
  <c r="AI15" i="20"/>
  <c r="AH15" i="20"/>
  <c r="AG15" i="20"/>
  <c r="AF15" i="20"/>
  <c r="AE15" i="20"/>
  <c r="AD15" i="20"/>
  <c r="W15" i="20"/>
  <c r="V15" i="20"/>
  <c r="U15" i="20"/>
  <c r="T15" i="20"/>
  <c r="S15" i="20"/>
  <c r="R15" i="20"/>
  <c r="Q15" i="20"/>
  <c r="P15" i="20"/>
  <c r="O15" i="20"/>
  <c r="N15" i="20"/>
  <c r="M15" i="20"/>
  <c r="L15" i="20"/>
  <c r="K15" i="20"/>
  <c r="I15" i="20"/>
  <c r="H15" i="20"/>
  <c r="E15" i="20"/>
  <c r="D15" i="20"/>
  <c r="C15" i="20"/>
  <c r="B15" i="20"/>
  <c r="A15" i="20"/>
  <c r="AI14" i="20"/>
  <c r="AH14" i="20"/>
  <c r="AG14" i="20"/>
  <c r="AF14" i="20"/>
  <c r="AE14" i="20"/>
  <c r="AD14" i="20"/>
  <c r="W14" i="20"/>
  <c r="V14" i="20"/>
  <c r="U14" i="20"/>
  <c r="T14" i="20"/>
  <c r="S14" i="20"/>
  <c r="R14" i="20"/>
  <c r="Q14" i="20"/>
  <c r="P14" i="20"/>
  <c r="O14" i="20"/>
  <c r="N14" i="20"/>
  <c r="M14" i="20"/>
  <c r="L14" i="20"/>
  <c r="K14" i="20"/>
  <c r="I14" i="20"/>
  <c r="H14" i="20"/>
  <c r="E14" i="20"/>
  <c r="D14" i="20"/>
  <c r="C14" i="20"/>
  <c r="B14" i="20"/>
  <c r="A14" i="20"/>
  <c r="AI13" i="20"/>
  <c r="AH13" i="20"/>
  <c r="AG13" i="20"/>
  <c r="AF13" i="20"/>
  <c r="AE13" i="20"/>
  <c r="AD13" i="20"/>
  <c r="W13" i="20"/>
  <c r="V13" i="20"/>
  <c r="U13" i="20"/>
  <c r="T13" i="20"/>
  <c r="S13" i="20"/>
  <c r="R13" i="20"/>
  <c r="Q13" i="20"/>
  <c r="P13" i="20"/>
  <c r="O13" i="20"/>
  <c r="N13" i="20"/>
  <c r="M13" i="20"/>
  <c r="L13" i="20"/>
  <c r="K13" i="20"/>
  <c r="I13" i="20"/>
  <c r="H13" i="20"/>
  <c r="E13" i="20"/>
  <c r="D13" i="20"/>
  <c r="C13" i="20"/>
  <c r="B13" i="20"/>
  <c r="A13" i="20"/>
  <c r="AI12" i="20"/>
  <c r="AH12" i="20"/>
  <c r="AG12" i="20"/>
  <c r="AF12" i="20"/>
  <c r="AE12" i="20"/>
  <c r="AD12" i="20"/>
  <c r="W12" i="20"/>
  <c r="V12" i="20"/>
  <c r="U12" i="20"/>
  <c r="T12" i="20"/>
  <c r="S12" i="20"/>
  <c r="R12" i="20"/>
  <c r="Q12" i="20"/>
  <c r="P12" i="20"/>
  <c r="O12" i="20"/>
  <c r="N12" i="20"/>
  <c r="M12" i="20"/>
  <c r="L12" i="20"/>
  <c r="K12" i="20"/>
  <c r="I12" i="20"/>
  <c r="H12" i="20"/>
  <c r="E12" i="20"/>
  <c r="D12" i="20"/>
  <c r="C12" i="20"/>
  <c r="B12" i="20"/>
  <c r="A12" i="20"/>
  <c r="AI11" i="20"/>
  <c r="AH11" i="20"/>
  <c r="AG11" i="20"/>
  <c r="AF11" i="20"/>
  <c r="AE11" i="20"/>
  <c r="AD11" i="20"/>
  <c r="W11" i="20"/>
  <c r="V11" i="20"/>
  <c r="U11" i="20"/>
  <c r="T11" i="20"/>
  <c r="S11" i="20"/>
  <c r="R11" i="20"/>
  <c r="Q11" i="20"/>
  <c r="P11" i="20"/>
  <c r="O11" i="20"/>
  <c r="N11" i="20"/>
  <c r="M11" i="20"/>
  <c r="L11" i="20"/>
  <c r="K11" i="20"/>
  <c r="I11" i="20"/>
  <c r="H11" i="20"/>
  <c r="E11" i="20"/>
  <c r="D11" i="20"/>
  <c r="C11" i="20"/>
  <c r="B11" i="20"/>
  <c r="A11" i="20"/>
  <c r="AI10" i="20"/>
  <c r="AH10" i="20"/>
  <c r="AG10" i="20"/>
  <c r="AF10" i="20"/>
  <c r="AE10" i="20"/>
  <c r="AD10" i="20"/>
  <c r="W10" i="20"/>
  <c r="V10" i="20"/>
  <c r="U10" i="20"/>
  <c r="T10" i="20"/>
  <c r="S10" i="20"/>
  <c r="R10" i="20"/>
  <c r="Q10" i="20"/>
  <c r="P10" i="20"/>
  <c r="O10" i="20"/>
  <c r="N10" i="20"/>
  <c r="M10" i="20"/>
  <c r="L10" i="20"/>
  <c r="K10" i="20"/>
  <c r="I10" i="20"/>
  <c r="H10" i="20"/>
  <c r="E10" i="20"/>
  <c r="D10" i="20"/>
  <c r="C10" i="20"/>
  <c r="B10" i="20"/>
  <c r="A10" i="20"/>
  <c r="AI9" i="20"/>
  <c r="AH9" i="20"/>
  <c r="AG9" i="20"/>
  <c r="AF9" i="20"/>
  <c r="AE9" i="20"/>
  <c r="AD9" i="20"/>
  <c r="W9" i="20"/>
  <c r="V9" i="20"/>
  <c r="U9" i="20"/>
  <c r="T9" i="20"/>
  <c r="S9" i="20"/>
  <c r="R9" i="20"/>
  <c r="Q9" i="20"/>
  <c r="P9" i="20"/>
  <c r="O9" i="20"/>
  <c r="N9" i="20"/>
  <c r="M9" i="20"/>
  <c r="L9" i="20"/>
  <c r="K9" i="20"/>
  <c r="I9" i="20"/>
  <c r="H9" i="20"/>
  <c r="E9" i="20"/>
  <c r="D9" i="20"/>
  <c r="C9" i="20"/>
  <c r="B9" i="20"/>
  <c r="A9" i="20"/>
  <c r="AI8" i="20"/>
  <c r="AH8" i="20"/>
  <c r="AG8" i="20"/>
  <c r="AF8" i="20"/>
  <c r="AE8" i="20"/>
  <c r="AD8" i="20"/>
  <c r="W8" i="20"/>
  <c r="V8" i="20"/>
  <c r="U8" i="20"/>
  <c r="T8" i="20"/>
  <c r="S8" i="20"/>
  <c r="R8" i="20"/>
  <c r="Q8" i="20"/>
  <c r="P8" i="20"/>
  <c r="O8" i="20"/>
  <c r="N8" i="20"/>
  <c r="M8" i="20"/>
  <c r="L8" i="20"/>
  <c r="K8" i="20"/>
  <c r="I8" i="20"/>
  <c r="H8" i="20"/>
  <c r="E8" i="20"/>
  <c r="D8" i="20"/>
  <c r="C8" i="20"/>
  <c r="B8" i="20"/>
  <c r="A8" i="20"/>
  <c r="AI7" i="20"/>
  <c r="AH7" i="20"/>
  <c r="AG7" i="20"/>
  <c r="AF7" i="20"/>
  <c r="AE7" i="20"/>
  <c r="AD7" i="20"/>
  <c r="W7" i="20"/>
  <c r="V7" i="20"/>
  <c r="U7" i="20"/>
  <c r="T7" i="20"/>
  <c r="S7" i="20"/>
  <c r="R7" i="20"/>
  <c r="Q7" i="20"/>
  <c r="P7" i="20"/>
  <c r="O7" i="20"/>
  <c r="N7" i="20"/>
  <c r="M7" i="20"/>
  <c r="L7" i="20"/>
  <c r="K7" i="20"/>
  <c r="I7" i="20"/>
  <c r="H7" i="20"/>
  <c r="E7" i="20"/>
  <c r="D7" i="20"/>
  <c r="C7" i="20"/>
  <c r="B7" i="20"/>
  <c r="A7" i="20"/>
  <c r="AI6" i="20"/>
  <c r="AH6" i="20"/>
  <c r="AG6" i="20"/>
  <c r="AF6" i="20"/>
  <c r="AE6" i="20"/>
  <c r="AD6" i="20"/>
  <c r="W6" i="20"/>
  <c r="V6" i="20"/>
  <c r="U6" i="20"/>
  <c r="T6" i="20"/>
  <c r="S6" i="20"/>
  <c r="R6" i="20"/>
  <c r="Q6" i="20"/>
  <c r="P6" i="20"/>
  <c r="O6" i="20"/>
  <c r="N6" i="20"/>
  <c r="M6" i="20"/>
  <c r="L6" i="20"/>
  <c r="K6" i="20"/>
  <c r="I6" i="20"/>
  <c r="H6" i="20"/>
  <c r="E6" i="20"/>
  <c r="D6" i="20"/>
  <c r="C6" i="20"/>
  <c r="B6" i="20"/>
  <c r="A6" i="20"/>
  <c r="AI5" i="20"/>
  <c r="AH5" i="20"/>
  <c r="AG5" i="20"/>
  <c r="AF5" i="20"/>
  <c r="AE5" i="20"/>
  <c r="AD5" i="20"/>
  <c r="W5" i="20"/>
  <c r="V5" i="20"/>
  <c r="U5" i="20"/>
  <c r="T5" i="20"/>
  <c r="S5" i="20"/>
  <c r="R5" i="20"/>
  <c r="Q5" i="20"/>
  <c r="P5" i="20"/>
  <c r="O5" i="20"/>
  <c r="N5" i="20"/>
  <c r="M5" i="20"/>
  <c r="L5" i="20"/>
  <c r="K5" i="20"/>
  <c r="I5" i="20"/>
  <c r="H5" i="20"/>
  <c r="E5" i="20"/>
  <c r="D5" i="20"/>
  <c r="C5" i="20"/>
  <c r="B5" i="20"/>
  <c r="A5" i="20"/>
  <c r="AI4" i="20"/>
  <c r="AH4" i="20"/>
  <c r="AG4" i="20"/>
  <c r="AF4" i="20"/>
  <c r="AE4" i="20"/>
  <c r="AD4" i="20"/>
  <c r="W4" i="20"/>
  <c r="V4" i="20"/>
  <c r="U4" i="20"/>
  <c r="T4" i="20"/>
  <c r="S4" i="20"/>
  <c r="R4" i="20"/>
  <c r="Q4" i="20"/>
  <c r="P4" i="20"/>
  <c r="O4" i="20"/>
  <c r="N4" i="20"/>
  <c r="M4" i="20"/>
  <c r="L4" i="20"/>
  <c r="K4" i="20"/>
  <c r="I4" i="20"/>
  <c r="H4" i="20"/>
  <c r="E4" i="20"/>
  <c r="D4" i="20"/>
  <c r="C4" i="20"/>
  <c r="B4" i="20"/>
  <c r="A4" i="20"/>
  <c r="AI3" i="20"/>
  <c r="AH3" i="20"/>
  <c r="AG3" i="20"/>
  <c r="AF3" i="20"/>
  <c r="AE3" i="20"/>
  <c r="AD3" i="20"/>
  <c r="W3" i="20"/>
  <c r="V3" i="20"/>
  <c r="U3" i="20"/>
  <c r="T3" i="20"/>
  <c r="S3" i="20"/>
  <c r="R3" i="20"/>
  <c r="Q3" i="20"/>
  <c r="P3" i="20"/>
  <c r="O3" i="20"/>
  <c r="N3" i="20"/>
  <c r="M3" i="20"/>
  <c r="L3" i="20"/>
  <c r="K3" i="20"/>
  <c r="I3" i="20"/>
  <c r="H3" i="20"/>
  <c r="E3" i="20"/>
  <c r="D3" i="20"/>
  <c r="C3" i="20"/>
  <c r="B3" i="20"/>
  <c r="A3" i="20"/>
  <c r="AI2" i="20"/>
  <c r="AH2" i="20"/>
  <c r="AG2" i="20"/>
  <c r="AF2" i="20"/>
  <c r="AE2" i="20"/>
  <c r="AD2" i="20"/>
  <c r="W2" i="20"/>
  <c r="V2" i="20"/>
  <c r="U2" i="20"/>
  <c r="T2" i="20"/>
  <c r="S2" i="20"/>
  <c r="R2" i="20"/>
  <c r="Q2" i="20"/>
  <c r="P2" i="20"/>
  <c r="O2" i="20"/>
  <c r="N2" i="20"/>
  <c r="M2" i="20"/>
  <c r="L2" i="20"/>
  <c r="K2" i="20"/>
  <c r="I2" i="20"/>
  <c r="H2" i="20"/>
  <c r="E2" i="20"/>
  <c r="D2" i="20"/>
  <c r="C2" i="20"/>
  <c r="B2" i="20"/>
  <c r="A2" i="20"/>
  <c r="AI50" i="21"/>
  <c r="AH50" i="21"/>
  <c r="AG50" i="21"/>
  <c r="AF50" i="21"/>
  <c r="AE50" i="21"/>
  <c r="AD50" i="21"/>
  <c r="W50" i="21"/>
  <c r="V50" i="21"/>
  <c r="U50" i="21"/>
  <c r="T50" i="21"/>
  <c r="S50" i="21"/>
  <c r="R50" i="21"/>
  <c r="Q50" i="21"/>
  <c r="P50" i="21"/>
  <c r="O50" i="21"/>
  <c r="N50" i="21"/>
  <c r="M50" i="21"/>
  <c r="L50" i="21"/>
  <c r="K50" i="21"/>
  <c r="I50" i="21"/>
  <c r="H50" i="21"/>
  <c r="E50" i="21"/>
  <c r="D50" i="21"/>
  <c r="C50" i="21"/>
  <c r="B50" i="21"/>
  <c r="A50" i="21"/>
  <c r="AI49" i="21"/>
  <c r="AH49" i="21"/>
  <c r="AG49" i="21"/>
  <c r="AF49" i="21"/>
  <c r="AE49" i="21"/>
  <c r="AD49" i="21"/>
  <c r="W49" i="21"/>
  <c r="V49" i="21"/>
  <c r="U49" i="21"/>
  <c r="T49" i="21"/>
  <c r="S49" i="21"/>
  <c r="R49" i="21"/>
  <c r="Q49" i="21"/>
  <c r="P49" i="21"/>
  <c r="O49" i="21"/>
  <c r="N49" i="21"/>
  <c r="M49" i="21"/>
  <c r="L49" i="21"/>
  <c r="K49" i="21"/>
  <c r="I49" i="21"/>
  <c r="H49" i="21"/>
  <c r="E49" i="21"/>
  <c r="D49" i="21"/>
  <c r="C49" i="21"/>
  <c r="B49" i="21"/>
  <c r="A49" i="21"/>
  <c r="AI48" i="21"/>
  <c r="AH48" i="21"/>
  <c r="AG48" i="21"/>
  <c r="AF48" i="21"/>
  <c r="AE48" i="21"/>
  <c r="AD48" i="21"/>
  <c r="W48" i="21"/>
  <c r="V48" i="21"/>
  <c r="U48" i="21"/>
  <c r="T48" i="21"/>
  <c r="S48" i="21"/>
  <c r="R48" i="21"/>
  <c r="Q48" i="21"/>
  <c r="P48" i="21"/>
  <c r="O48" i="21"/>
  <c r="N48" i="21"/>
  <c r="M48" i="21"/>
  <c r="L48" i="21"/>
  <c r="K48" i="21"/>
  <c r="I48" i="21"/>
  <c r="H48" i="21"/>
  <c r="E48" i="21"/>
  <c r="D48" i="21"/>
  <c r="C48" i="21"/>
  <c r="B48" i="21"/>
  <c r="A48" i="21"/>
  <c r="AI47" i="21"/>
  <c r="AH47" i="21"/>
  <c r="AG47" i="21"/>
  <c r="AF47" i="21"/>
  <c r="AE47" i="21"/>
  <c r="AD47" i="21"/>
  <c r="W47" i="21"/>
  <c r="V47" i="21"/>
  <c r="U47" i="21"/>
  <c r="T47" i="21"/>
  <c r="S47" i="21"/>
  <c r="R47" i="21"/>
  <c r="Q47" i="21"/>
  <c r="P47" i="21"/>
  <c r="O47" i="21"/>
  <c r="N47" i="21"/>
  <c r="M47" i="21"/>
  <c r="L47" i="21"/>
  <c r="K47" i="21"/>
  <c r="I47" i="21"/>
  <c r="H47" i="21"/>
  <c r="E47" i="21"/>
  <c r="D47" i="21"/>
  <c r="C47" i="21"/>
  <c r="B47" i="21"/>
  <c r="A47" i="21"/>
  <c r="AI46" i="21"/>
  <c r="AH46" i="21"/>
  <c r="AG46" i="21"/>
  <c r="AF46" i="21"/>
  <c r="AE46" i="21"/>
  <c r="AD46" i="21"/>
  <c r="W46" i="21"/>
  <c r="V46" i="21"/>
  <c r="U46" i="21"/>
  <c r="T46" i="21"/>
  <c r="S46" i="21"/>
  <c r="R46" i="21"/>
  <c r="Q46" i="21"/>
  <c r="P46" i="21"/>
  <c r="O46" i="21"/>
  <c r="N46" i="21"/>
  <c r="M46" i="21"/>
  <c r="L46" i="21"/>
  <c r="K46" i="21"/>
  <c r="I46" i="21"/>
  <c r="H46" i="21"/>
  <c r="E46" i="21"/>
  <c r="D46" i="21"/>
  <c r="C46" i="21"/>
  <c r="B46" i="21"/>
  <c r="A46" i="21"/>
  <c r="AI45" i="21"/>
  <c r="AH45" i="21"/>
  <c r="AG45" i="21"/>
  <c r="AF45" i="21"/>
  <c r="AE45" i="21"/>
  <c r="AD45" i="21"/>
  <c r="W45" i="21"/>
  <c r="V45" i="21"/>
  <c r="U45" i="21"/>
  <c r="T45" i="21"/>
  <c r="S45" i="21"/>
  <c r="R45" i="21"/>
  <c r="Q45" i="21"/>
  <c r="P45" i="21"/>
  <c r="O45" i="21"/>
  <c r="N45" i="21"/>
  <c r="M45" i="21"/>
  <c r="L45" i="21"/>
  <c r="K45" i="21"/>
  <c r="I45" i="21"/>
  <c r="H45" i="21"/>
  <c r="E45" i="21"/>
  <c r="D45" i="21"/>
  <c r="C45" i="21"/>
  <c r="B45" i="21"/>
  <c r="A45" i="21"/>
  <c r="AI44" i="21"/>
  <c r="AH44" i="21"/>
  <c r="AG44" i="21"/>
  <c r="AF44" i="21"/>
  <c r="AE44" i="21"/>
  <c r="AD44" i="21"/>
  <c r="W44" i="21"/>
  <c r="V44" i="21"/>
  <c r="U44" i="21"/>
  <c r="T44" i="21"/>
  <c r="S44" i="21"/>
  <c r="R44" i="21"/>
  <c r="Q44" i="21"/>
  <c r="P44" i="21"/>
  <c r="O44" i="21"/>
  <c r="N44" i="21"/>
  <c r="M44" i="21"/>
  <c r="L44" i="21"/>
  <c r="K44" i="21"/>
  <c r="I44" i="21"/>
  <c r="H44" i="21"/>
  <c r="E44" i="21"/>
  <c r="D44" i="21"/>
  <c r="C44" i="21"/>
  <c r="B44" i="21"/>
  <c r="A44" i="21"/>
  <c r="AI43" i="21"/>
  <c r="AH43" i="21"/>
  <c r="AG43" i="21"/>
  <c r="AF43" i="21"/>
  <c r="AE43" i="21"/>
  <c r="AD43" i="21"/>
  <c r="W43" i="21"/>
  <c r="V43" i="21"/>
  <c r="U43" i="21"/>
  <c r="T43" i="21"/>
  <c r="S43" i="21"/>
  <c r="R43" i="21"/>
  <c r="Q43" i="21"/>
  <c r="P43" i="21"/>
  <c r="O43" i="21"/>
  <c r="N43" i="21"/>
  <c r="M43" i="21"/>
  <c r="L43" i="21"/>
  <c r="K43" i="21"/>
  <c r="I43" i="21"/>
  <c r="H43" i="21"/>
  <c r="E43" i="21"/>
  <c r="D43" i="21"/>
  <c r="C43" i="21"/>
  <c r="B43" i="21"/>
  <c r="A43" i="21"/>
  <c r="AI42" i="21"/>
  <c r="AH42" i="21"/>
  <c r="AG42" i="21"/>
  <c r="AF42" i="21"/>
  <c r="AE42" i="21"/>
  <c r="AD42" i="21"/>
  <c r="W42" i="21"/>
  <c r="V42" i="21"/>
  <c r="U42" i="21"/>
  <c r="T42" i="21"/>
  <c r="S42" i="21"/>
  <c r="R42" i="21"/>
  <c r="Q42" i="21"/>
  <c r="P42" i="21"/>
  <c r="O42" i="21"/>
  <c r="N42" i="21"/>
  <c r="M42" i="21"/>
  <c r="L42" i="21"/>
  <c r="K42" i="21"/>
  <c r="I42" i="21"/>
  <c r="H42" i="21"/>
  <c r="E42" i="21"/>
  <c r="D42" i="21"/>
  <c r="C42" i="21"/>
  <c r="B42" i="21"/>
  <c r="A42" i="21"/>
  <c r="AI41" i="21"/>
  <c r="AH41" i="21"/>
  <c r="AG41" i="21"/>
  <c r="AF41" i="21"/>
  <c r="AE41" i="21"/>
  <c r="AD41" i="21"/>
  <c r="W41" i="21"/>
  <c r="V41" i="21"/>
  <c r="U41" i="21"/>
  <c r="T41" i="21"/>
  <c r="S41" i="21"/>
  <c r="R41" i="21"/>
  <c r="Q41" i="21"/>
  <c r="P41" i="21"/>
  <c r="O41" i="21"/>
  <c r="N41" i="21"/>
  <c r="M41" i="21"/>
  <c r="L41" i="21"/>
  <c r="K41" i="21"/>
  <c r="I41" i="21"/>
  <c r="H41" i="21"/>
  <c r="E41" i="21"/>
  <c r="D41" i="21"/>
  <c r="C41" i="21"/>
  <c r="B41" i="21"/>
  <c r="A41" i="21"/>
  <c r="AI40" i="21"/>
  <c r="AH40" i="21"/>
  <c r="AG40" i="21"/>
  <c r="AF40" i="21"/>
  <c r="AE40" i="21"/>
  <c r="AD40" i="21"/>
  <c r="W40" i="21"/>
  <c r="V40" i="21"/>
  <c r="U40" i="21"/>
  <c r="T40" i="21"/>
  <c r="S40" i="21"/>
  <c r="R40" i="21"/>
  <c r="Q40" i="21"/>
  <c r="P40" i="21"/>
  <c r="O40" i="21"/>
  <c r="N40" i="21"/>
  <c r="M40" i="21"/>
  <c r="L40" i="21"/>
  <c r="K40" i="21"/>
  <c r="I40" i="21"/>
  <c r="H40" i="21"/>
  <c r="E40" i="21"/>
  <c r="D40" i="21"/>
  <c r="C40" i="21"/>
  <c r="B40" i="21"/>
  <c r="A40" i="21"/>
  <c r="AI39" i="21"/>
  <c r="AH39" i="21"/>
  <c r="AG39" i="21"/>
  <c r="AF39" i="21"/>
  <c r="AE39" i="21"/>
  <c r="AD39" i="21"/>
  <c r="W39" i="21"/>
  <c r="V39" i="21"/>
  <c r="U39" i="21"/>
  <c r="T39" i="21"/>
  <c r="S39" i="21"/>
  <c r="R39" i="21"/>
  <c r="Q39" i="21"/>
  <c r="P39" i="21"/>
  <c r="O39" i="21"/>
  <c r="N39" i="21"/>
  <c r="M39" i="21"/>
  <c r="L39" i="21"/>
  <c r="K39" i="21"/>
  <c r="I39" i="21"/>
  <c r="H39" i="21"/>
  <c r="E39" i="21"/>
  <c r="D39" i="21"/>
  <c r="C39" i="21"/>
  <c r="B39" i="21"/>
  <c r="A39" i="21"/>
  <c r="AI38" i="21"/>
  <c r="AH38" i="21"/>
  <c r="AG38" i="21"/>
  <c r="AF38" i="21"/>
  <c r="AE38" i="21"/>
  <c r="AD38" i="21"/>
  <c r="W38" i="21"/>
  <c r="V38" i="21"/>
  <c r="U38" i="21"/>
  <c r="T38" i="21"/>
  <c r="S38" i="21"/>
  <c r="R38" i="21"/>
  <c r="Q38" i="21"/>
  <c r="P38" i="21"/>
  <c r="O38" i="21"/>
  <c r="N38" i="21"/>
  <c r="M38" i="21"/>
  <c r="L38" i="21"/>
  <c r="K38" i="21"/>
  <c r="I38" i="21"/>
  <c r="H38" i="21"/>
  <c r="E38" i="21"/>
  <c r="D38" i="21"/>
  <c r="C38" i="21"/>
  <c r="B38" i="21"/>
  <c r="A38" i="21"/>
  <c r="AI37" i="21"/>
  <c r="AH37" i="21"/>
  <c r="AG37" i="21"/>
  <c r="AF37" i="21"/>
  <c r="AE37" i="21"/>
  <c r="AD37" i="21"/>
  <c r="W37" i="21"/>
  <c r="V37" i="21"/>
  <c r="U37" i="21"/>
  <c r="T37" i="21"/>
  <c r="S37" i="21"/>
  <c r="R37" i="21"/>
  <c r="Q37" i="21"/>
  <c r="P37" i="21"/>
  <c r="O37" i="21"/>
  <c r="N37" i="21"/>
  <c r="M37" i="21"/>
  <c r="L37" i="21"/>
  <c r="K37" i="21"/>
  <c r="I37" i="21"/>
  <c r="H37" i="21"/>
  <c r="E37" i="21"/>
  <c r="D37" i="21"/>
  <c r="C37" i="21"/>
  <c r="B37" i="21"/>
  <c r="A37" i="21"/>
  <c r="AI36" i="21"/>
  <c r="AH36" i="21"/>
  <c r="AG36" i="21"/>
  <c r="AF36" i="21"/>
  <c r="AE36" i="21"/>
  <c r="AD36" i="21"/>
  <c r="W36" i="21"/>
  <c r="V36" i="21"/>
  <c r="U36" i="21"/>
  <c r="T36" i="21"/>
  <c r="S36" i="21"/>
  <c r="R36" i="21"/>
  <c r="Q36" i="21"/>
  <c r="P36" i="21"/>
  <c r="O36" i="21"/>
  <c r="N36" i="21"/>
  <c r="M36" i="21"/>
  <c r="L36" i="21"/>
  <c r="K36" i="21"/>
  <c r="I36" i="21"/>
  <c r="H36" i="21"/>
  <c r="E36" i="21"/>
  <c r="D36" i="21"/>
  <c r="C36" i="21"/>
  <c r="B36" i="21"/>
  <c r="A36" i="21"/>
  <c r="AI35" i="21"/>
  <c r="AH35" i="21"/>
  <c r="AG35" i="21"/>
  <c r="AF35" i="21"/>
  <c r="AE35" i="21"/>
  <c r="AD35" i="21"/>
  <c r="W35" i="21"/>
  <c r="V35" i="21"/>
  <c r="U35" i="21"/>
  <c r="T35" i="21"/>
  <c r="S35" i="21"/>
  <c r="R35" i="21"/>
  <c r="Q35" i="21"/>
  <c r="P35" i="21"/>
  <c r="O35" i="21"/>
  <c r="N35" i="21"/>
  <c r="M35" i="21"/>
  <c r="L35" i="21"/>
  <c r="K35" i="21"/>
  <c r="I35" i="21"/>
  <c r="H35" i="21"/>
  <c r="E35" i="21"/>
  <c r="D35" i="21"/>
  <c r="C35" i="21"/>
  <c r="B35" i="21"/>
  <c r="A35" i="21"/>
  <c r="AI34" i="21"/>
  <c r="AH34" i="21"/>
  <c r="AG34" i="21"/>
  <c r="AF34" i="21"/>
  <c r="AE34" i="21"/>
  <c r="AD34" i="21"/>
  <c r="W34" i="21"/>
  <c r="V34" i="21"/>
  <c r="U34" i="21"/>
  <c r="T34" i="21"/>
  <c r="S34" i="21"/>
  <c r="R34" i="21"/>
  <c r="Q34" i="21"/>
  <c r="P34" i="21"/>
  <c r="O34" i="21"/>
  <c r="N34" i="21"/>
  <c r="M34" i="21"/>
  <c r="L34" i="21"/>
  <c r="K34" i="21"/>
  <c r="I34" i="21"/>
  <c r="H34" i="21"/>
  <c r="E34" i="21"/>
  <c r="D34" i="21"/>
  <c r="C34" i="21"/>
  <c r="B34" i="21"/>
  <c r="A34" i="21"/>
  <c r="AI33" i="21"/>
  <c r="AH33" i="21"/>
  <c r="AG33" i="21"/>
  <c r="AF33" i="21"/>
  <c r="AE33" i="21"/>
  <c r="AD33" i="21"/>
  <c r="W33" i="21"/>
  <c r="V33" i="21"/>
  <c r="U33" i="21"/>
  <c r="T33" i="21"/>
  <c r="S33" i="21"/>
  <c r="R33" i="21"/>
  <c r="Q33" i="21"/>
  <c r="P33" i="21"/>
  <c r="O33" i="21"/>
  <c r="N33" i="21"/>
  <c r="M33" i="21"/>
  <c r="L33" i="21"/>
  <c r="K33" i="21"/>
  <c r="I33" i="21"/>
  <c r="H33" i="21"/>
  <c r="E33" i="21"/>
  <c r="D33" i="21"/>
  <c r="C33" i="21"/>
  <c r="B33" i="21"/>
  <c r="A33" i="21"/>
  <c r="AI32" i="21"/>
  <c r="AH32" i="21"/>
  <c r="AG32" i="21"/>
  <c r="AF32" i="21"/>
  <c r="AE32" i="21"/>
  <c r="AD32" i="21"/>
  <c r="W32" i="21"/>
  <c r="V32" i="21"/>
  <c r="U32" i="21"/>
  <c r="T32" i="21"/>
  <c r="S32" i="21"/>
  <c r="R32" i="21"/>
  <c r="Q32" i="21"/>
  <c r="P32" i="21"/>
  <c r="O32" i="21"/>
  <c r="N32" i="21"/>
  <c r="M32" i="21"/>
  <c r="L32" i="21"/>
  <c r="K32" i="21"/>
  <c r="I32" i="21"/>
  <c r="H32" i="21"/>
  <c r="E32" i="21"/>
  <c r="D32" i="21"/>
  <c r="C32" i="21"/>
  <c r="B32" i="21"/>
  <c r="A32" i="21"/>
  <c r="AI31" i="21"/>
  <c r="AH31" i="21"/>
  <c r="AG31" i="21"/>
  <c r="AF31" i="21"/>
  <c r="AE31" i="21"/>
  <c r="AD31" i="21"/>
  <c r="W31" i="21"/>
  <c r="V31" i="21"/>
  <c r="U31" i="21"/>
  <c r="T31" i="21"/>
  <c r="S31" i="21"/>
  <c r="R31" i="21"/>
  <c r="Q31" i="21"/>
  <c r="P31" i="21"/>
  <c r="O31" i="21"/>
  <c r="N31" i="21"/>
  <c r="M31" i="21"/>
  <c r="L31" i="21"/>
  <c r="K31" i="21"/>
  <c r="I31" i="21"/>
  <c r="H31" i="21"/>
  <c r="E31" i="21"/>
  <c r="D31" i="21"/>
  <c r="C31" i="21"/>
  <c r="B31" i="21"/>
  <c r="A31" i="21"/>
  <c r="AI30" i="21"/>
  <c r="AH30" i="21"/>
  <c r="AG30" i="21"/>
  <c r="AF30" i="21"/>
  <c r="AE30" i="21"/>
  <c r="AD30" i="21"/>
  <c r="W30" i="21"/>
  <c r="V30" i="21"/>
  <c r="U30" i="21"/>
  <c r="T30" i="21"/>
  <c r="S30" i="21"/>
  <c r="R30" i="21"/>
  <c r="Q30" i="21"/>
  <c r="P30" i="21"/>
  <c r="O30" i="21"/>
  <c r="N30" i="21"/>
  <c r="M30" i="21"/>
  <c r="L30" i="21"/>
  <c r="K30" i="21"/>
  <c r="I30" i="21"/>
  <c r="H30" i="21"/>
  <c r="E30" i="21"/>
  <c r="D30" i="21"/>
  <c r="C30" i="21"/>
  <c r="B30" i="21"/>
  <c r="A30" i="21"/>
  <c r="AI29" i="21"/>
  <c r="AH29" i="21"/>
  <c r="AG29" i="21"/>
  <c r="AF29" i="21"/>
  <c r="AE29" i="21"/>
  <c r="AD29" i="21"/>
  <c r="W29" i="21"/>
  <c r="V29" i="21"/>
  <c r="U29" i="21"/>
  <c r="T29" i="21"/>
  <c r="S29" i="21"/>
  <c r="R29" i="21"/>
  <c r="Q29" i="21"/>
  <c r="P29" i="21"/>
  <c r="O29" i="21"/>
  <c r="N29" i="21"/>
  <c r="M29" i="21"/>
  <c r="L29" i="21"/>
  <c r="K29" i="21"/>
  <c r="I29" i="21"/>
  <c r="H29" i="21"/>
  <c r="E29" i="21"/>
  <c r="D29" i="21"/>
  <c r="C29" i="21"/>
  <c r="B29" i="21"/>
  <c r="A29" i="21"/>
  <c r="AI28" i="21"/>
  <c r="AH28" i="21"/>
  <c r="AG28" i="21"/>
  <c r="AF28" i="21"/>
  <c r="AE28" i="21"/>
  <c r="AD28" i="21"/>
  <c r="W28" i="21"/>
  <c r="V28" i="21"/>
  <c r="U28" i="21"/>
  <c r="T28" i="21"/>
  <c r="S28" i="21"/>
  <c r="R28" i="21"/>
  <c r="Q28" i="21"/>
  <c r="P28" i="21"/>
  <c r="O28" i="21"/>
  <c r="N28" i="21"/>
  <c r="M28" i="21"/>
  <c r="L28" i="21"/>
  <c r="K28" i="21"/>
  <c r="I28" i="21"/>
  <c r="H28" i="21"/>
  <c r="E28" i="21"/>
  <c r="D28" i="21"/>
  <c r="C28" i="21"/>
  <c r="B28" i="21"/>
  <c r="A28" i="21"/>
  <c r="AI27" i="21"/>
  <c r="AH27" i="21"/>
  <c r="AG27" i="21"/>
  <c r="AF27" i="21"/>
  <c r="AE27" i="21"/>
  <c r="AD27" i="21"/>
  <c r="W27" i="21"/>
  <c r="V27" i="21"/>
  <c r="U27" i="21"/>
  <c r="T27" i="21"/>
  <c r="S27" i="21"/>
  <c r="R27" i="21"/>
  <c r="Q27" i="21"/>
  <c r="P27" i="21"/>
  <c r="O27" i="21"/>
  <c r="N27" i="21"/>
  <c r="M27" i="21"/>
  <c r="L27" i="21"/>
  <c r="K27" i="21"/>
  <c r="I27" i="21"/>
  <c r="H27" i="21"/>
  <c r="E27" i="21"/>
  <c r="D27" i="21"/>
  <c r="C27" i="21"/>
  <c r="B27" i="21"/>
  <c r="A27" i="21"/>
  <c r="AI26" i="21"/>
  <c r="AH26" i="21"/>
  <c r="AG26" i="21"/>
  <c r="AF26" i="21"/>
  <c r="AE26" i="21"/>
  <c r="AD26" i="21"/>
  <c r="W26" i="21"/>
  <c r="V26" i="21"/>
  <c r="U26" i="21"/>
  <c r="T26" i="21"/>
  <c r="S26" i="21"/>
  <c r="R26" i="21"/>
  <c r="Q26" i="21"/>
  <c r="P26" i="21"/>
  <c r="O26" i="21"/>
  <c r="N26" i="21"/>
  <c r="M26" i="21"/>
  <c r="L26" i="21"/>
  <c r="K26" i="21"/>
  <c r="I26" i="21"/>
  <c r="H26" i="21"/>
  <c r="E26" i="21"/>
  <c r="D26" i="21"/>
  <c r="C26" i="21"/>
  <c r="B26" i="21"/>
  <c r="A26" i="21"/>
  <c r="AI25" i="21"/>
  <c r="AH25" i="21"/>
  <c r="AG25" i="21"/>
  <c r="AF25" i="21"/>
  <c r="AE25" i="21"/>
  <c r="AD25" i="21"/>
  <c r="W25" i="21"/>
  <c r="V25" i="21"/>
  <c r="U25" i="21"/>
  <c r="T25" i="21"/>
  <c r="S25" i="21"/>
  <c r="R25" i="21"/>
  <c r="Q25" i="21"/>
  <c r="P25" i="21"/>
  <c r="O25" i="21"/>
  <c r="N25" i="21"/>
  <c r="M25" i="21"/>
  <c r="L25" i="21"/>
  <c r="K25" i="21"/>
  <c r="I25" i="21"/>
  <c r="H25" i="21"/>
  <c r="E25" i="21"/>
  <c r="D25" i="21"/>
  <c r="C25" i="21"/>
  <c r="B25" i="21"/>
  <c r="A25" i="21"/>
  <c r="AI24" i="21"/>
  <c r="AH24" i="21"/>
  <c r="AG24" i="21"/>
  <c r="AF24" i="21"/>
  <c r="AE24" i="21"/>
  <c r="AD24" i="21"/>
  <c r="W24" i="21"/>
  <c r="V24" i="21"/>
  <c r="U24" i="21"/>
  <c r="T24" i="21"/>
  <c r="S24" i="21"/>
  <c r="R24" i="21"/>
  <c r="Q24" i="21"/>
  <c r="P24" i="21"/>
  <c r="O24" i="21"/>
  <c r="N24" i="21"/>
  <c r="M24" i="21"/>
  <c r="L24" i="21"/>
  <c r="K24" i="21"/>
  <c r="I24" i="21"/>
  <c r="H24" i="21"/>
  <c r="E24" i="21"/>
  <c r="D24" i="21"/>
  <c r="C24" i="21"/>
  <c r="B24" i="21"/>
  <c r="A24" i="21"/>
  <c r="AI23" i="21"/>
  <c r="AH23" i="21"/>
  <c r="AG23" i="21"/>
  <c r="AF23" i="21"/>
  <c r="AE23" i="21"/>
  <c r="AD23" i="21"/>
  <c r="W23" i="21"/>
  <c r="V23" i="21"/>
  <c r="U23" i="21"/>
  <c r="T23" i="21"/>
  <c r="S23" i="21"/>
  <c r="R23" i="21"/>
  <c r="Q23" i="21"/>
  <c r="P23" i="21"/>
  <c r="O23" i="21"/>
  <c r="N23" i="21"/>
  <c r="M23" i="21"/>
  <c r="L23" i="21"/>
  <c r="K23" i="21"/>
  <c r="I23" i="21"/>
  <c r="H23" i="21"/>
  <c r="E23" i="21"/>
  <c r="D23" i="21"/>
  <c r="C23" i="21"/>
  <c r="B23" i="21"/>
  <c r="A23" i="21"/>
  <c r="AI22" i="21"/>
  <c r="AH22" i="21"/>
  <c r="AG22" i="21"/>
  <c r="AF22" i="21"/>
  <c r="AE22" i="21"/>
  <c r="AD22" i="21"/>
  <c r="W22" i="21"/>
  <c r="V22" i="21"/>
  <c r="U22" i="21"/>
  <c r="T22" i="21"/>
  <c r="S22" i="21"/>
  <c r="R22" i="21"/>
  <c r="Q22" i="21"/>
  <c r="P22" i="21"/>
  <c r="O22" i="21"/>
  <c r="N22" i="21"/>
  <c r="M22" i="21"/>
  <c r="L22" i="21"/>
  <c r="K22" i="21"/>
  <c r="I22" i="21"/>
  <c r="H22" i="21"/>
  <c r="E22" i="21"/>
  <c r="D22" i="21"/>
  <c r="C22" i="21"/>
  <c r="B22" i="21"/>
  <c r="A22" i="21"/>
  <c r="AI21" i="21"/>
  <c r="AH21" i="21"/>
  <c r="AG21" i="21"/>
  <c r="AF21" i="21"/>
  <c r="AE21" i="21"/>
  <c r="AD21" i="21"/>
  <c r="W21" i="21"/>
  <c r="V21" i="21"/>
  <c r="U21" i="21"/>
  <c r="T21" i="21"/>
  <c r="S21" i="21"/>
  <c r="R21" i="21"/>
  <c r="Q21" i="21"/>
  <c r="P21" i="21"/>
  <c r="O21" i="21"/>
  <c r="N21" i="21"/>
  <c r="M21" i="21"/>
  <c r="L21" i="21"/>
  <c r="K21" i="21"/>
  <c r="I21" i="21"/>
  <c r="H21" i="21"/>
  <c r="E21" i="21"/>
  <c r="D21" i="21"/>
  <c r="C21" i="21"/>
  <c r="B21" i="21"/>
  <c r="A21" i="21"/>
  <c r="AI20" i="21"/>
  <c r="AH20" i="21"/>
  <c r="AG20" i="21"/>
  <c r="AF20" i="21"/>
  <c r="AE20" i="21"/>
  <c r="AD20" i="21"/>
  <c r="W20" i="21"/>
  <c r="V20" i="21"/>
  <c r="U20" i="21"/>
  <c r="T20" i="21"/>
  <c r="S20" i="21"/>
  <c r="R20" i="21"/>
  <c r="Q20" i="21"/>
  <c r="P20" i="21"/>
  <c r="O20" i="21"/>
  <c r="N20" i="21"/>
  <c r="M20" i="21"/>
  <c r="L20" i="21"/>
  <c r="K20" i="21"/>
  <c r="I20" i="21"/>
  <c r="H20" i="21"/>
  <c r="E20" i="21"/>
  <c r="D20" i="21"/>
  <c r="C20" i="21"/>
  <c r="B20" i="21"/>
  <c r="A20" i="21"/>
  <c r="AI19" i="21"/>
  <c r="AH19" i="21"/>
  <c r="AG19" i="21"/>
  <c r="AF19" i="21"/>
  <c r="AE19" i="21"/>
  <c r="AD19" i="21"/>
  <c r="W19" i="21"/>
  <c r="V19" i="21"/>
  <c r="U19" i="21"/>
  <c r="T19" i="21"/>
  <c r="S19" i="21"/>
  <c r="R19" i="21"/>
  <c r="Q19" i="21"/>
  <c r="P19" i="21"/>
  <c r="O19" i="21"/>
  <c r="N19" i="21"/>
  <c r="M19" i="21"/>
  <c r="L19" i="21"/>
  <c r="K19" i="21"/>
  <c r="I19" i="21"/>
  <c r="H19" i="21"/>
  <c r="E19" i="21"/>
  <c r="D19" i="21"/>
  <c r="C19" i="21"/>
  <c r="B19" i="21"/>
  <c r="A19" i="21"/>
  <c r="AI18" i="21"/>
  <c r="AH18" i="21"/>
  <c r="AG18" i="21"/>
  <c r="AF18" i="21"/>
  <c r="AE18" i="21"/>
  <c r="AD18" i="21"/>
  <c r="W18" i="21"/>
  <c r="V18" i="21"/>
  <c r="U18" i="21"/>
  <c r="T18" i="21"/>
  <c r="S18" i="21"/>
  <c r="R18" i="21"/>
  <c r="Q18" i="21"/>
  <c r="P18" i="21"/>
  <c r="O18" i="21"/>
  <c r="N18" i="21"/>
  <c r="M18" i="21"/>
  <c r="L18" i="21"/>
  <c r="K18" i="21"/>
  <c r="I18" i="21"/>
  <c r="H18" i="21"/>
  <c r="E18" i="21"/>
  <c r="D18" i="21"/>
  <c r="C18" i="21"/>
  <c r="B18" i="21"/>
  <c r="A18" i="21"/>
  <c r="AI17" i="21"/>
  <c r="AH17" i="21"/>
  <c r="AG17" i="21"/>
  <c r="AF17" i="21"/>
  <c r="AE17" i="21"/>
  <c r="AD17" i="21"/>
  <c r="W17" i="21"/>
  <c r="V17" i="21"/>
  <c r="U17" i="21"/>
  <c r="T17" i="21"/>
  <c r="S17" i="21"/>
  <c r="R17" i="21"/>
  <c r="Q17" i="21"/>
  <c r="P17" i="21"/>
  <c r="O17" i="21"/>
  <c r="N17" i="21"/>
  <c r="M17" i="21"/>
  <c r="L17" i="21"/>
  <c r="K17" i="21"/>
  <c r="I17" i="21"/>
  <c r="H17" i="21"/>
  <c r="E17" i="21"/>
  <c r="D17" i="21"/>
  <c r="C17" i="21"/>
  <c r="B17" i="21"/>
  <c r="A17" i="21"/>
  <c r="AI16" i="21"/>
  <c r="AH16" i="21"/>
  <c r="AG16" i="21"/>
  <c r="AF16" i="21"/>
  <c r="AE16" i="21"/>
  <c r="AD16" i="21"/>
  <c r="W16" i="21"/>
  <c r="V16" i="21"/>
  <c r="U16" i="21"/>
  <c r="T16" i="21"/>
  <c r="S16" i="21"/>
  <c r="R16" i="21"/>
  <c r="Q16" i="21"/>
  <c r="P16" i="21"/>
  <c r="O16" i="21"/>
  <c r="N16" i="21"/>
  <c r="M16" i="21"/>
  <c r="L16" i="21"/>
  <c r="K16" i="21"/>
  <c r="I16" i="21"/>
  <c r="H16" i="21"/>
  <c r="E16" i="21"/>
  <c r="D16" i="21"/>
  <c r="C16" i="21"/>
  <c r="B16" i="21"/>
  <c r="A16" i="21"/>
  <c r="AI15" i="21"/>
  <c r="AH15" i="21"/>
  <c r="AG15" i="21"/>
  <c r="AF15" i="21"/>
  <c r="AE15" i="21"/>
  <c r="AD15" i="21"/>
  <c r="W15" i="21"/>
  <c r="V15" i="21"/>
  <c r="U15" i="21"/>
  <c r="T15" i="21"/>
  <c r="S15" i="21"/>
  <c r="R15" i="21"/>
  <c r="Q15" i="21"/>
  <c r="P15" i="21"/>
  <c r="O15" i="21"/>
  <c r="N15" i="21"/>
  <c r="M15" i="21"/>
  <c r="L15" i="21"/>
  <c r="K15" i="21"/>
  <c r="I15" i="21"/>
  <c r="H15" i="21"/>
  <c r="E15" i="21"/>
  <c r="D15" i="21"/>
  <c r="C15" i="21"/>
  <c r="B15" i="21"/>
  <c r="A15" i="21"/>
  <c r="AI14" i="21"/>
  <c r="AH14" i="21"/>
  <c r="AG14" i="21"/>
  <c r="AF14" i="21"/>
  <c r="AE14" i="21"/>
  <c r="AD14" i="21"/>
  <c r="W14" i="21"/>
  <c r="V14" i="21"/>
  <c r="U14" i="21"/>
  <c r="T14" i="21"/>
  <c r="S14" i="21"/>
  <c r="R14" i="21"/>
  <c r="Q14" i="21"/>
  <c r="P14" i="21"/>
  <c r="O14" i="21"/>
  <c r="N14" i="21"/>
  <c r="M14" i="21"/>
  <c r="L14" i="21"/>
  <c r="K14" i="21"/>
  <c r="I14" i="21"/>
  <c r="H14" i="21"/>
  <c r="E14" i="21"/>
  <c r="D14" i="21"/>
  <c r="C14" i="21"/>
  <c r="B14" i="21"/>
  <c r="A14" i="21"/>
  <c r="AI13" i="21"/>
  <c r="AH13" i="21"/>
  <c r="AG13" i="21"/>
  <c r="AF13" i="21"/>
  <c r="AE13" i="21"/>
  <c r="AD13" i="21"/>
  <c r="W13" i="21"/>
  <c r="V13" i="21"/>
  <c r="U13" i="21"/>
  <c r="T13" i="21"/>
  <c r="S13" i="21"/>
  <c r="R13" i="21"/>
  <c r="Q13" i="21"/>
  <c r="P13" i="21"/>
  <c r="O13" i="21"/>
  <c r="N13" i="21"/>
  <c r="M13" i="21"/>
  <c r="L13" i="21"/>
  <c r="K13" i="21"/>
  <c r="I13" i="21"/>
  <c r="H13" i="21"/>
  <c r="E13" i="21"/>
  <c r="D13" i="21"/>
  <c r="C13" i="21"/>
  <c r="B13" i="21"/>
  <c r="A13" i="21"/>
  <c r="AI12" i="21"/>
  <c r="AH12" i="21"/>
  <c r="AG12" i="21"/>
  <c r="AF12" i="21"/>
  <c r="AE12" i="21"/>
  <c r="AD12" i="21"/>
  <c r="W12" i="21"/>
  <c r="V12" i="21"/>
  <c r="U12" i="21"/>
  <c r="T12" i="21"/>
  <c r="S12" i="21"/>
  <c r="R12" i="21"/>
  <c r="Q12" i="21"/>
  <c r="P12" i="21"/>
  <c r="O12" i="21"/>
  <c r="N12" i="21"/>
  <c r="M12" i="21"/>
  <c r="L12" i="21"/>
  <c r="K12" i="21"/>
  <c r="I12" i="21"/>
  <c r="H12" i="21"/>
  <c r="E12" i="21"/>
  <c r="D12" i="21"/>
  <c r="C12" i="21"/>
  <c r="B12" i="21"/>
  <c r="A12" i="21"/>
  <c r="AI11" i="21"/>
  <c r="AH11" i="21"/>
  <c r="AG11" i="21"/>
  <c r="AF11" i="21"/>
  <c r="AE11" i="21"/>
  <c r="AD11" i="21"/>
  <c r="W11" i="21"/>
  <c r="V11" i="21"/>
  <c r="U11" i="21"/>
  <c r="T11" i="21"/>
  <c r="S11" i="21"/>
  <c r="R11" i="21"/>
  <c r="Q11" i="21"/>
  <c r="P11" i="21"/>
  <c r="O11" i="21"/>
  <c r="N11" i="21"/>
  <c r="M11" i="21"/>
  <c r="L11" i="21"/>
  <c r="K11" i="21"/>
  <c r="I11" i="21"/>
  <c r="H11" i="21"/>
  <c r="E11" i="21"/>
  <c r="D11" i="21"/>
  <c r="C11" i="21"/>
  <c r="B11" i="21"/>
  <c r="A11" i="21"/>
  <c r="AI10" i="21"/>
  <c r="AH10" i="21"/>
  <c r="AG10" i="21"/>
  <c r="AF10" i="21"/>
  <c r="AE10" i="21"/>
  <c r="AD10" i="21"/>
  <c r="W10" i="21"/>
  <c r="V10" i="21"/>
  <c r="U10" i="21"/>
  <c r="T10" i="21"/>
  <c r="S10" i="21"/>
  <c r="R10" i="21"/>
  <c r="Q10" i="21"/>
  <c r="P10" i="21"/>
  <c r="O10" i="21"/>
  <c r="N10" i="21"/>
  <c r="M10" i="21"/>
  <c r="L10" i="21"/>
  <c r="K10" i="21"/>
  <c r="I10" i="21"/>
  <c r="H10" i="21"/>
  <c r="E10" i="21"/>
  <c r="D10" i="21"/>
  <c r="C10" i="21"/>
  <c r="B10" i="21"/>
  <c r="A10" i="21"/>
  <c r="AI9" i="21"/>
  <c r="AH9" i="21"/>
  <c r="AG9" i="21"/>
  <c r="AF9" i="21"/>
  <c r="AE9" i="21"/>
  <c r="AD9" i="21"/>
  <c r="W9" i="21"/>
  <c r="V9" i="21"/>
  <c r="U9" i="21"/>
  <c r="T9" i="21"/>
  <c r="S9" i="21"/>
  <c r="R9" i="21"/>
  <c r="Q9" i="21"/>
  <c r="P9" i="21"/>
  <c r="O9" i="21"/>
  <c r="N9" i="21"/>
  <c r="M9" i="21"/>
  <c r="L9" i="21"/>
  <c r="K9" i="21"/>
  <c r="I9" i="21"/>
  <c r="H9" i="21"/>
  <c r="E9" i="21"/>
  <c r="D9" i="21"/>
  <c r="C9" i="21"/>
  <c r="B9" i="21"/>
  <c r="A9" i="21"/>
  <c r="AI8" i="21"/>
  <c r="AH8" i="21"/>
  <c r="AG8" i="21"/>
  <c r="AF8" i="21"/>
  <c r="AE8" i="21"/>
  <c r="AD8" i="21"/>
  <c r="W8" i="21"/>
  <c r="V8" i="21"/>
  <c r="U8" i="21"/>
  <c r="T8" i="21"/>
  <c r="S8" i="21"/>
  <c r="R8" i="21"/>
  <c r="Q8" i="21"/>
  <c r="P8" i="21"/>
  <c r="O8" i="21"/>
  <c r="N8" i="21"/>
  <c r="M8" i="21"/>
  <c r="L8" i="21"/>
  <c r="K8" i="21"/>
  <c r="I8" i="21"/>
  <c r="H8" i="21"/>
  <c r="E8" i="21"/>
  <c r="D8" i="21"/>
  <c r="C8" i="21"/>
  <c r="B8" i="21"/>
  <c r="A8" i="21"/>
  <c r="AI7" i="21"/>
  <c r="AH7" i="21"/>
  <c r="AG7" i="21"/>
  <c r="AF7" i="21"/>
  <c r="AE7" i="21"/>
  <c r="AD7" i="21"/>
  <c r="W7" i="21"/>
  <c r="V7" i="21"/>
  <c r="U7" i="21"/>
  <c r="T7" i="21"/>
  <c r="S7" i="21"/>
  <c r="R7" i="21"/>
  <c r="Q7" i="21"/>
  <c r="P7" i="21"/>
  <c r="O7" i="21"/>
  <c r="N7" i="21"/>
  <c r="M7" i="21"/>
  <c r="L7" i="21"/>
  <c r="K7" i="21"/>
  <c r="I7" i="21"/>
  <c r="H7" i="21"/>
  <c r="E7" i="21"/>
  <c r="D7" i="21"/>
  <c r="C7" i="21"/>
  <c r="B7" i="21"/>
  <c r="A7" i="21"/>
  <c r="AI6" i="21"/>
  <c r="AH6" i="21"/>
  <c r="AG6" i="21"/>
  <c r="AF6" i="21"/>
  <c r="AE6" i="21"/>
  <c r="AD6" i="21"/>
  <c r="W6" i="21"/>
  <c r="V6" i="21"/>
  <c r="U6" i="21"/>
  <c r="T6" i="21"/>
  <c r="S6" i="21"/>
  <c r="R6" i="21"/>
  <c r="Q6" i="21"/>
  <c r="P6" i="21"/>
  <c r="O6" i="21"/>
  <c r="N6" i="21"/>
  <c r="M6" i="21"/>
  <c r="L6" i="21"/>
  <c r="K6" i="21"/>
  <c r="I6" i="21"/>
  <c r="H6" i="21"/>
  <c r="E6" i="21"/>
  <c r="D6" i="21"/>
  <c r="C6" i="21"/>
  <c r="B6" i="21"/>
  <c r="A6" i="21"/>
  <c r="AI5" i="21"/>
  <c r="AH5" i="21"/>
  <c r="AG5" i="21"/>
  <c r="AF5" i="21"/>
  <c r="AE5" i="21"/>
  <c r="AD5" i="21"/>
  <c r="W5" i="21"/>
  <c r="V5" i="21"/>
  <c r="U5" i="21"/>
  <c r="T5" i="21"/>
  <c r="S5" i="21"/>
  <c r="R5" i="21"/>
  <c r="Q5" i="21"/>
  <c r="P5" i="21"/>
  <c r="O5" i="21"/>
  <c r="N5" i="21"/>
  <c r="M5" i="21"/>
  <c r="L5" i="21"/>
  <c r="K5" i="21"/>
  <c r="I5" i="21"/>
  <c r="H5" i="21"/>
  <c r="E5" i="21"/>
  <c r="D5" i="21"/>
  <c r="C5" i="21"/>
  <c r="B5" i="21"/>
  <c r="A5" i="21"/>
  <c r="AI4" i="21"/>
  <c r="AH4" i="21"/>
  <c r="AG4" i="21"/>
  <c r="AF4" i="21"/>
  <c r="AE4" i="21"/>
  <c r="AD4" i="21"/>
  <c r="W4" i="21"/>
  <c r="V4" i="21"/>
  <c r="U4" i="21"/>
  <c r="T4" i="21"/>
  <c r="S4" i="21"/>
  <c r="R4" i="21"/>
  <c r="Q4" i="21"/>
  <c r="P4" i="21"/>
  <c r="O4" i="21"/>
  <c r="N4" i="21"/>
  <c r="M4" i="21"/>
  <c r="L4" i="21"/>
  <c r="K4" i="21"/>
  <c r="I4" i="21"/>
  <c r="H4" i="21"/>
  <c r="E4" i="21"/>
  <c r="D4" i="21"/>
  <c r="C4" i="21"/>
  <c r="B4" i="21"/>
  <c r="A4" i="21"/>
  <c r="AI3" i="21"/>
  <c r="AH3" i="21"/>
  <c r="AG3" i="21"/>
  <c r="AF3" i="21"/>
  <c r="AE3" i="21"/>
  <c r="AD3" i="21"/>
  <c r="W3" i="21"/>
  <c r="V3" i="21"/>
  <c r="U3" i="21"/>
  <c r="T3" i="21"/>
  <c r="S3" i="21"/>
  <c r="R3" i="21"/>
  <c r="Q3" i="21"/>
  <c r="P3" i="21"/>
  <c r="O3" i="21"/>
  <c r="N3" i="21"/>
  <c r="M3" i="21"/>
  <c r="L3" i="21"/>
  <c r="K3" i="21"/>
  <c r="I3" i="21"/>
  <c r="H3" i="21"/>
  <c r="E3" i="21"/>
  <c r="D3" i="21"/>
  <c r="C3" i="21"/>
  <c r="B3" i="21"/>
  <c r="A3" i="21"/>
  <c r="AI2" i="21"/>
  <c r="AH2" i="21"/>
  <c r="AG2" i="21"/>
  <c r="AF2" i="21"/>
  <c r="AE2" i="21"/>
  <c r="AD2" i="21"/>
  <c r="W2" i="21"/>
  <c r="V2" i="21"/>
  <c r="U2" i="21"/>
  <c r="T2" i="21"/>
  <c r="S2" i="21"/>
  <c r="R2" i="21"/>
  <c r="Q2" i="21"/>
  <c r="P2" i="21"/>
  <c r="O2" i="21"/>
  <c r="N2" i="21"/>
  <c r="M2" i="21"/>
  <c r="L2" i="21"/>
  <c r="K2" i="21"/>
  <c r="I2" i="21"/>
  <c r="H2" i="21"/>
  <c r="E2" i="21"/>
  <c r="D2" i="21"/>
  <c r="C2" i="21"/>
  <c r="B2" i="21"/>
  <c r="A2" i="21"/>
  <c r="AI38" i="22"/>
  <c r="AH38" i="22"/>
  <c r="AG38" i="22"/>
  <c r="AF38" i="22"/>
  <c r="AE38" i="22"/>
  <c r="AD38" i="22"/>
  <c r="W38" i="22"/>
  <c r="V38" i="22"/>
  <c r="U38" i="22"/>
  <c r="T38" i="22"/>
  <c r="S38" i="22"/>
  <c r="R38" i="22"/>
  <c r="Q38" i="22"/>
  <c r="P38" i="22"/>
  <c r="O38" i="22"/>
  <c r="N38" i="22"/>
  <c r="M38" i="22"/>
  <c r="L38" i="22"/>
  <c r="K38" i="22"/>
  <c r="I38" i="22"/>
  <c r="H38" i="22"/>
  <c r="E38" i="22"/>
  <c r="D38" i="22"/>
  <c r="C38" i="22"/>
  <c r="B38" i="22"/>
  <c r="A38" i="22"/>
  <c r="AI37" i="22"/>
  <c r="AH37" i="22"/>
  <c r="AG37" i="22"/>
  <c r="AF37" i="22"/>
  <c r="AE37" i="22"/>
  <c r="AD37" i="22"/>
  <c r="W37" i="22"/>
  <c r="V37" i="22"/>
  <c r="U37" i="22"/>
  <c r="T37" i="22"/>
  <c r="S37" i="22"/>
  <c r="R37" i="22"/>
  <c r="Q37" i="22"/>
  <c r="P37" i="22"/>
  <c r="O37" i="22"/>
  <c r="N37" i="22"/>
  <c r="M37" i="22"/>
  <c r="L37" i="22"/>
  <c r="K37" i="22"/>
  <c r="I37" i="22"/>
  <c r="H37" i="22"/>
  <c r="E37" i="22"/>
  <c r="D37" i="22"/>
  <c r="C37" i="22"/>
  <c r="B37" i="22"/>
  <c r="A37" i="22"/>
  <c r="AI36" i="22"/>
  <c r="AH36" i="22"/>
  <c r="AG36" i="22"/>
  <c r="AF36" i="22"/>
  <c r="AE36" i="22"/>
  <c r="AD36" i="22"/>
  <c r="W36" i="22"/>
  <c r="V36" i="22"/>
  <c r="U36" i="22"/>
  <c r="T36" i="22"/>
  <c r="S36" i="22"/>
  <c r="R36" i="22"/>
  <c r="Q36" i="22"/>
  <c r="P36" i="22"/>
  <c r="O36" i="22"/>
  <c r="N36" i="22"/>
  <c r="M36" i="22"/>
  <c r="L36" i="22"/>
  <c r="K36" i="22"/>
  <c r="I36" i="22"/>
  <c r="H36" i="22"/>
  <c r="E36" i="22"/>
  <c r="D36" i="22"/>
  <c r="C36" i="22"/>
  <c r="B36" i="22"/>
  <c r="A36" i="22"/>
  <c r="AI35" i="22"/>
  <c r="AH35" i="22"/>
  <c r="AG35" i="22"/>
  <c r="AF35" i="22"/>
  <c r="AE35" i="22"/>
  <c r="AD35" i="22"/>
  <c r="W35" i="22"/>
  <c r="V35" i="22"/>
  <c r="U35" i="22"/>
  <c r="T35" i="22"/>
  <c r="S35" i="22"/>
  <c r="R35" i="22"/>
  <c r="Q35" i="22"/>
  <c r="P35" i="22"/>
  <c r="O35" i="22"/>
  <c r="N35" i="22"/>
  <c r="M35" i="22"/>
  <c r="L35" i="22"/>
  <c r="K35" i="22"/>
  <c r="I35" i="22"/>
  <c r="H35" i="22"/>
  <c r="E35" i="22"/>
  <c r="D35" i="22"/>
  <c r="C35" i="22"/>
  <c r="B35" i="22"/>
  <c r="A35" i="22"/>
  <c r="AI34" i="22"/>
  <c r="AH34" i="22"/>
  <c r="AG34" i="22"/>
  <c r="AF34" i="22"/>
  <c r="AE34" i="22"/>
  <c r="AD34" i="22"/>
  <c r="W34" i="22"/>
  <c r="V34" i="22"/>
  <c r="U34" i="22"/>
  <c r="T34" i="22"/>
  <c r="S34" i="22"/>
  <c r="R34" i="22"/>
  <c r="Q34" i="22"/>
  <c r="P34" i="22"/>
  <c r="O34" i="22"/>
  <c r="N34" i="22"/>
  <c r="M34" i="22"/>
  <c r="L34" i="22"/>
  <c r="K34" i="22"/>
  <c r="I34" i="22"/>
  <c r="H34" i="22"/>
  <c r="E34" i="22"/>
  <c r="D34" i="22"/>
  <c r="C34" i="22"/>
  <c r="B34" i="22"/>
  <c r="A34" i="22"/>
  <c r="AI33" i="22"/>
  <c r="AH33" i="22"/>
  <c r="AG33" i="22"/>
  <c r="AF33" i="22"/>
  <c r="AE33" i="22"/>
  <c r="AD33" i="22"/>
  <c r="W33" i="22"/>
  <c r="V33" i="22"/>
  <c r="U33" i="22"/>
  <c r="T33" i="22"/>
  <c r="S33" i="22"/>
  <c r="R33" i="22"/>
  <c r="Q33" i="22"/>
  <c r="P33" i="22"/>
  <c r="O33" i="22"/>
  <c r="N33" i="22"/>
  <c r="M33" i="22"/>
  <c r="L33" i="22"/>
  <c r="K33" i="22"/>
  <c r="I33" i="22"/>
  <c r="H33" i="22"/>
  <c r="E33" i="22"/>
  <c r="D33" i="22"/>
  <c r="C33" i="22"/>
  <c r="B33" i="22"/>
  <c r="A33" i="22"/>
  <c r="AI32" i="22"/>
  <c r="AH32" i="22"/>
  <c r="AG32" i="22"/>
  <c r="AF32" i="22"/>
  <c r="AE32" i="22"/>
  <c r="AD32" i="22"/>
  <c r="W32" i="22"/>
  <c r="V32" i="22"/>
  <c r="U32" i="22"/>
  <c r="T32" i="22"/>
  <c r="S32" i="22"/>
  <c r="R32" i="22"/>
  <c r="Q32" i="22"/>
  <c r="P32" i="22"/>
  <c r="O32" i="22"/>
  <c r="N32" i="22"/>
  <c r="M32" i="22"/>
  <c r="L32" i="22"/>
  <c r="K32" i="22"/>
  <c r="I32" i="22"/>
  <c r="H32" i="22"/>
  <c r="E32" i="22"/>
  <c r="D32" i="22"/>
  <c r="C32" i="22"/>
  <c r="B32" i="22"/>
  <c r="A32" i="22"/>
  <c r="AI31" i="22"/>
  <c r="AH31" i="22"/>
  <c r="AG31" i="22"/>
  <c r="AF31" i="22"/>
  <c r="AE31" i="22"/>
  <c r="AD31" i="22"/>
  <c r="W31" i="22"/>
  <c r="V31" i="22"/>
  <c r="U31" i="22"/>
  <c r="T31" i="22"/>
  <c r="S31" i="22"/>
  <c r="R31" i="22"/>
  <c r="Q31" i="22"/>
  <c r="P31" i="22"/>
  <c r="O31" i="22"/>
  <c r="N31" i="22"/>
  <c r="M31" i="22"/>
  <c r="L31" i="22"/>
  <c r="K31" i="22"/>
  <c r="I31" i="22"/>
  <c r="H31" i="22"/>
  <c r="E31" i="22"/>
  <c r="D31" i="22"/>
  <c r="C31" i="22"/>
  <c r="B31" i="22"/>
  <c r="A31" i="22"/>
  <c r="AI30" i="22"/>
  <c r="AH30" i="22"/>
  <c r="AG30" i="22"/>
  <c r="AF30" i="22"/>
  <c r="AE30" i="22"/>
  <c r="AD30" i="22"/>
  <c r="W30" i="22"/>
  <c r="V30" i="22"/>
  <c r="U30" i="22"/>
  <c r="T30" i="22"/>
  <c r="S30" i="22"/>
  <c r="R30" i="22"/>
  <c r="Q30" i="22"/>
  <c r="P30" i="22"/>
  <c r="O30" i="22"/>
  <c r="N30" i="22"/>
  <c r="M30" i="22"/>
  <c r="L30" i="22"/>
  <c r="K30" i="22"/>
  <c r="I30" i="22"/>
  <c r="H30" i="22"/>
  <c r="E30" i="22"/>
  <c r="D30" i="22"/>
  <c r="C30" i="22"/>
  <c r="B30" i="22"/>
  <c r="A30" i="22"/>
  <c r="AI29" i="22"/>
  <c r="AH29" i="22"/>
  <c r="AG29" i="22"/>
  <c r="AF29" i="22"/>
  <c r="AE29" i="22"/>
  <c r="AD29" i="22"/>
  <c r="W29" i="22"/>
  <c r="V29" i="22"/>
  <c r="U29" i="22"/>
  <c r="T29" i="22"/>
  <c r="S29" i="22"/>
  <c r="R29" i="22"/>
  <c r="Q29" i="22"/>
  <c r="P29" i="22"/>
  <c r="O29" i="22"/>
  <c r="N29" i="22"/>
  <c r="M29" i="22"/>
  <c r="L29" i="22"/>
  <c r="K29" i="22"/>
  <c r="I29" i="22"/>
  <c r="H29" i="22"/>
  <c r="E29" i="22"/>
  <c r="D29" i="22"/>
  <c r="C29" i="22"/>
  <c r="B29" i="22"/>
  <c r="A29" i="22"/>
  <c r="AI28" i="22"/>
  <c r="AH28" i="22"/>
  <c r="AG28" i="22"/>
  <c r="AF28" i="22"/>
  <c r="AE28" i="22"/>
  <c r="AD28" i="22"/>
  <c r="W28" i="22"/>
  <c r="V28" i="22"/>
  <c r="U28" i="22"/>
  <c r="T28" i="22"/>
  <c r="S28" i="22"/>
  <c r="R28" i="22"/>
  <c r="Q28" i="22"/>
  <c r="P28" i="22"/>
  <c r="O28" i="22"/>
  <c r="N28" i="22"/>
  <c r="M28" i="22"/>
  <c r="L28" i="22"/>
  <c r="K28" i="22"/>
  <c r="I28" i="22"/>
  <c r="H28" i="22"/>
  <c r="E28" i="22"/>
  <c r="D28" i="22"/>
  <c r="C28" i="22"/>
  <c r="B28" i="22"/>
  <c r="A28" i="22"/>
  <c r="AI27" i="22"/>
  <c r="AH27" i="22"/>
  <c r="AG27" i="22"/>
  <c r="AF27" i="22"/>
  <c r="AE27" i="22"/>
  <c r="AD27" i="22"/>
  <c r="W27" i="22"/>
  <c r="V27" i="22"/>
  <c r="U27" i="22"/>
  <c r="T27" i="22"/>
  <c r="S27" i="22"/>
  <c r="R27" i="22"/>
  <c r="Q27" i="22"/>
  <c r="P27" i="22"/>
  <c r="O27" i="22"/>
  <c r="N27" i="22"/>
  <c r="M27" i="22"/>
  <c r="L27" i="22"/>
  <c r="K27" i="22"/>
  <c r="I27" i="22"/>
  <c r="H27" i="22"/>
  <c r="E27" i="22"/>
  <c r="D27" i="22"/>
  <c r="C27" i="22"/>
  <c r="B27" i="22"/>
  <c r="A27" i="22"/>
  <c r="AI26" i="22"/>
  <c r="AH26" i="22"/>
  <c r="AG26" i="22"/>
  <c r="AF26" i="22"/>
  <c r="AE26" i="22"/>
  <c r="AD26" i="22"/>
  <c r="W26" i="22"/>
  <c r="V26" i="22"/>
  <c r="U26" i="22"/>
  <c r="T26" i="22"/>
  <c r="S26" i="22"/>
  <c r="R26" i="22"/>
  <c r="Q26" i="22"/>
  <c r="P26" i="22"/>
  <c r="O26" i="22"/>
  <c r="N26" i="22"/>
  <c r="M26" i="22"/>
  <c r="L26" i="22"/>
  <c r="K26" i="22"/>
  <c r="I26" i="22"/>
  <c r="H26" i="22"/>
  <c r="E26" i="22"/>
  <c r="D26" i="22"/>
  <c r="C26" i="22"/>
  <c r="B26" i="22"/>
  <c r="A26" i="22"/>
  <c r="AI25" i="22"/>
  <c r="AH25" i="22"/>
  <c r="AG25" i="22"/>
  <c r="AF25" i="22"/>
  <c r="AE25" i="22"/>
  <c r="AD25" i="22"/>
  <c r="W25" i="22"/>
  <c r="V25" i="22"/>
  <c r="U25" i="22"/>
  <c r="T25" i="22"/>
  <c r="S25" i="22"/>
  <c r="R25" i="22"/>
  <c r="Q25" i="22"/>
  <c r="P25" i="22"/>
  <c r="O25" i="22"/>
  <c r="N25" i="22"/>
  <c r="M25" i="22"/>
  <c r="L25" i="22"/>
  <c r="K25" i="22"/>
  <c r="I25" i="22"/>
  <c r="H25" i="22"/>
  <c r="E25" i="22"/>
  <c r="D25" i="22"/>
  <c r="C25" i="22"/>
  <c r="B25" i="22"/>
  <c r="A25" i="22"/>
  <c r="AI24" i="22"/>
  <c r="AH24" i="22"/>
  <c r="AG24" i="22"/>
  <c r="AF24" i="22"/>
  <c r="AE24" i="22"/>
  <c r="AD24" i="22"/>
  <c r="W24" i="22"/>
  <c r="V24" i="22"/>
  <c r="U24" i="22"/>
  <c r="T24" i="22"/>
  <c r="S24" i="22"/>
  <c r="R24" i="22"/>
  <c r="Q24" i="22"/>
  <c r="P24" i="22"/>
  <c r="O24" i="22"/>
  <c r="N24" i="22"/>
  <c r="M24" i="22"/>
  <c r="L24" i="22"/>
  <c r="K24" i="22"/>
  <c r="I24" i="22"/>
  <c r="H24" i="22"/>
  <c r="E24" i="22"/>
  <c r="D24" i="22"/>
  <c r="C24" i="22"/>
  <c r="B24" i="22"/>
  <c r="A24" i="22"/>
  <c r="AI23" i="22"/>
  <c r="AH23" i="22"/>
  <c r="AG23" i="22"/>
  <c r="AF23" i="22"/>
  <c r="AE23" i="22"/>
  <c r="AD23" i="22"/>
  <c r="W23" i="22"/>
  <c r="V23" i="22"/>
  <c r="U23" i="22"/>
  <c r="T23" i="22"/>
  <c r="S23" i="22"/>
  <c r="R23" i="22"/>
  <c r="Q23" i="22"/>
  <c r="P23" i="22"/>
  <c r="O23" i="22"/>
  <c r="N23" i="22"/>
  <c r="M23" i="22"/>
  <c r="L23" i="22"/>
  <c r="K23" i="22"/>
  <c r="I23" i="22"/>
  <c r="H23" i="22"/>
  <c r="E23" i="22"/>
  <c r="D23" i="22"/>
  <c r="C23" i="22"/>
  <c r="B23" i="22"/>
  <c r="A23" i="22"/>
  <c r="AI22" i="22"/>
  <c r="AH22" i="22"/>
  <c r="AG22" i="22"/>
  <c r="AF22" i="22"/>
  <c r="AE22" i="22"/>
  <c r="AD22" i="22"/>
  <c r="W22" i="22"/>
  <c r="V22" i="22"/>
  <c r="U22" i="22"/>
  <c r="T22" i="22"/>
  <c r="S22" i="22"/>
  <c r="R22" i="22"/>
  <c r="Q22" i="22"/>
  <c r="P22" i="22"/>
  <c r="O22" i="22"/>
  <c r="N22" i="22"/>
  <c r="M22" i="22"/>
  <c r="L22" i="22"/>
  <c r="K22" i="22"/>
  <c r="I22" i="22"/>
  <c r="H22" i="22"/>
  <c r="E22" i="22"/>
  <c r="D22" i="22"/>
  <c r="C22" i="22"/>
  <c r="B22" i="22"/>
  <c r="A22" i="22"/>
  <c r="AI21" i="22"/>
  <c r="AH21" i="22"/>
  <c r="AG21" i="22"/>
  <c r="AF21" i="22"/>
  <c r="AE21" i="22"/>
  <c r="AD21" i="22"/>
  <c r="W21" i="22"/>
  <c r="V21" i="22"/>
  <c r="U21" i="22"/>
  <c r="T21" i="22"/>
  <c r="S21" i="22"/>
  <c r="R21" i="22"/>
  <c r="Q21" i="22"/>
  <c r="P21" i="22"/>
  <c r="O21" i="22"/>
  <c r="N21" i="22"/>
  <c r="M21" i="22"/>
  <c r="L21" i="22"/>
  <c r="K21" i="22"/>
  <c r="I21" i="22"/>
  <c r="H21" i="22"/>
  <c r="E21" i="22"/>
  <c r="D21" i="22"/>
  <c r="C21" i="22"/>
  <c r="B21" i="22"/>
  <c r="A21" i="22"/>
  <c r="AI20" i="22"/>
  <c r="AH20" i="22"/>
  <c r="AG20" i="22"/>
  <c r="AF20" i="22"/>
  <c r="AE20" i="22"/>
  <c r="AD20" i="22"/>
  <c r="W20" i="22"/>
  <c r="V20" i="22"/>
  <c r="U20" i="22"/>
  <c r="T20" i="22"/>
  <c r="S20" i="22"/>
  <c r="R20" i="22"/>
  <c r="Q20" i="22"/>
  <c r="P20" i="22"/>
  <c r="O20" i="22"/>
  <c r="N20" i="22"/>
  <c r="M20" i="22"/>
  <c r="L20" i="22"/>
  <c r="K20" i="22"/>
  <c r="I20" i="22"/>
  <c r="H20" i="22"/>
  <c r="E20" i="22"/>
  <c r="D20" i="22"/>
  <c r="C20" i="22"/>
  <c r="B20" i="22"/>
  <c r="A20" i="22"/>
  <c r="AI19" i="22"/>
  <c r="AH19" i="22"/>
  <c r="AG19" i="22"/>
  <c r="AF19" i="22"/>
  <c r="AE19" i="22"/>
  <c r="AD19" i="22"/>
  <c r="W19" i="22"/>
  <c r="V19" i="22"/>
  <c r="U19" i="22"/>
  <c r="T19" i="22"/>
  <c r="S19" i="22"/>
  <c r="R19" i="22"/>
  <c r="Q19" i="22"/>
  <c r="P19" i="22"/>
  <c r="O19" i="22"/>
  <c r="N19" i="22"/>
  <c r="M19" i="22"/>
  <c r="L19" i="22"/>
  <c r="K19" i="22"/>
  <c r="I19" i="22"/>
  <c r="H19" i="22"/>
  <c r="E19" i="22"/>
  <c r="D19" i="22"/>
  <c r="C19" i="22"/>
  <c r="B19" i="22"/>
  <c r="A19" i="22"/>
  <c r="AI18" i="22"/>
  <c r="AH18" i="22"/>
  <c r="AG18" i="22"/>
  <c r="AF18" i="22"/>
  <c r="AE18" i="22"/>
  <c r="AD18" i="22"/>
  <c r="W18" i="22"/>
  <c r="V18" i="22"/>
  <c r="U18" i="22"/>
  <c r="T18" i="22"/>
  <c r="S18" i="22"/>
  <c r="R18" i="22"/>
  <c r="Q18" i="22"/>
  <c r="P18" i="22"/>
  <c r="O18" i="22"/>
  <c r="N18" i="22"/>
  <c r="M18" i="22"/>
  <c r="L18" i="22"/>
  <c r="K18" i="22"/>
  <c r="I18" i="22"/>
  <c r="H18" i="22"/>
  <c r="E18" i="22"/>
  <c r="D18" i="22"/>
  <c r="C18" i="22"/>
  <c r="B18" i="22"/>
  <c r="A18" i="22"/>
  <c r="AI17" i="22"/>
  <c r="AH17" i="22"/>
  <c r="AG17" i="22"/>
  <c r="AF17" i="22"/>
  <c r="AE17" i="22"/>
  <c r="AD17" i="22"/>
  <c r="W17" i="22"/>
  <c r="V17" i="22"/>
  <c r="U17" i="22"/>
  <c r="T17" i="22"/>
  <c r="S17" i="22"/>
  <c r="R17" i="22"/>
  <c r="Q17" i="22"/>
  <c r="P17" i="22"/>
  <c r="O17" i="22"/>
  <c r="N17" i="22"/>
  <c r="M17" i="22"/>
  <c r="L17" i="22"/>
  <c r="K17" i="22"/>
  <c r="I17" i="22"/>
  <c r="H17" i="22"/>
  <c r="E17" i="22"/>
  <c r="D17" i="22"/>
  <c r="C17" i="22"/>
  <c r="B17" i="22"/>
  <c r="A17" i="22"/>
  <c r="AI16" i="22"/>
  <c r="AH16" i="22"/>
  <c r="AG16" i="22"/>
  <c r="AF16" i="22"/>
  <c r="AE16" i="22"/>
  <c r="AD16" i="22"/>
  <c r="W16" i="22"/>
  <c r="V16" i="22"/>
  <c r="U16" i="22"/>
  <c r="T16" i="22"/>
  <c r="S16" i="22"/>
  <c r="R16" i="22"/>
  <c r="Q16" i="22"/>
  <c r="P16" i="22"/>
  <c r="O16" i="22"/>
  <c r="N16" i="22"/>
  <c r="M16" i="22"/>
  <c r="L16" i="22"/>
  <c r="K16" i="22"/>
  <c r="I16" i="22"/>
  <c r="H16" i="22"/>
  <c r="E16" i="22"/>
  <c r="D16" i="22"/>
  <c r="C16" i="22"/>
  <c r="B16" i="22"/>
  <c r="A16" i="22"/>
  <c r="AI15" i="22"/>
  <c r="AH15" i="22"/>
  <c r="AG15" i="22"/>
  <c r="AF15" i="22"/>
  <c r="AE15" i="22"/>
  <c r="AD15" i="22"/>
  <c r="W15" i="22"/>
  <c r="V15" i="22"/>
  <c r="U15" i="22"/>
  <c r="T15" i="22"/>
  <c r="S15" i="22"/>
  <c r="R15" i="22"/>
  <c r="Q15" i="22"/>
  <c r="P15" i="22"/>
  <c r="O15" i="22"/>
  <c r="N15" i="22"/>
  <c r="M15" i="22"/>
  <c r="L15" i="22"/>
  <c r="K15" i="22"/>
  <c r="I15" i="22"/>
  <c r="H15" i="22"/>
  <c r="E15" i="22"/>
  <c r="D15" i="22"/>
  <c r="C15" i="22"/>
  <c r="B15" i="22"/>
  <c r="A15" i="22"/>
  <c r="AI14" i="22"/>
  <c r="AH14" i="22"/>
  <c r="AG14" i="22"/>
  <c r="AF14" i="22"/>
  <c r="AE14" i="22"/>
  <c r="AD14" i="22"/>
  <c r="W14" i="22"/>
  <c r="V14" i="22"/>
  <c r="U14" i="22"/>
  <c r="T14" i="22"/>
  <c r="S14" i="22"/>
  <c r="R14" i="22"/>
  <c r="Q14" i="22"/>
  <c r="P14" i="22"/>
  <c r="O14" i="22"/>
  <c r="N14" i="22"/>
  <c r="M14" i="22"/>
  <c r="L14" i="22"/>
  <c r="K14" i="22"/>
  <c r="I14" i="22"/>
  <c r="H14" i="22"/>
  <c r="E14" i="22"/>
  <c r="D14" i="22"/>
  <c r="C14" i="22"/>
  <c r="B14" i="22"/>
  <c r="A14" i="22"/>
  <c r="AI13" i="22"/>
  <c r="AH13" i="22"/>
  <c r="AG13" i="22"/>
  <c r="AF13" i="22"/>
  <c r="AE13" i="22"/>
  <c r="AD13" i="22"/>
  <c r="W13" i="22"/>
  <c r="V13" i="22"/>
  <c r="U13" i="22"/>
  <c r="T13" i="22"/>
  <c r="S13" i="22"/>
  <c r="R13" i="22"/>
  <c r="Q13" i="22"/>
  <c r="P13" i="22"/>
  <c r="O13" i="22"/>
  <c r="N13" i="22"/>
  <c r="M13" i="22"/>
  <c r="L13" i="22"/>
  <c r="K13" i="22"/>
  <c r="I13" i="22"/>
  <c r="H13" i="22"/>
  <c r="E13" i="22"/>
  <c r="D13" i="22"/>
  <c r="C13" i="22"/>
  <c r="B13" i="22"/>
  <c r="A13" i="22"/>
  <c r="AI12" i="22"/>
  <c r="AH12" i="22"/>
  <c r="AG12" i="22"/>
  <c r="AF12" i="22"/>
  <c r="AE12" i="22"/>
  <c r="AD12" i="22"/>
  <c r="W12" i="22"/>
  <c r="V12" i="22"/>
  <c r="U12" i="22"/>
  <c r="T12" i="22"/>
  <c r="S12" i="22"/>
  <c r="R12" i="22"/>
  <c r="Q12" i="22"/>
  <c r="P12" i="22"/>
  <c r="O12" i="22"/>
  <c r="N12" i="22"/>
  <c r="M12" i="22"/>
  <c r="L12" i="22"/>
  <c r="K12" i="22"/>
  <c r="I12" i="22"/>
  <c r="H12" i="22"/>
  <c r="E12" i="22"/>
  <c r="D12" i="22"/>
  <c r="C12" i="22"/>
  <c r="B12" i="22"/>
  <c r="A12" i="22"/>
  <c r="AI11" i="22"/>
  <c r="AH11" i="22"/>
  <c r="AG11" i="22"/>
  <c r="AF11" i="22"/>
  <c r="AE11" i="22"/>
  <c r="AD11" i="22"/>
  <c r="W11" i="22"/>
  <c r="V11" i="22"/>
  <c r="U11" i="22"/>
  <c r="T11" i="22"/>
  <c r="S11" i="22"/>
  <c r="R11" i="22"/>
  <c r="Q11" i="22"/>
  <c r="P11" i="22"/>
  <c r="O11" i="22"/>
  <c r="N11" i="22"/>
  <c r="M11" i="22"/>
  <c r="L11" i="22"/>
  <c r="K11" i="22"/>
  <c r="I11" i="22"/>
  <c r="H11" i="22"/>
  <c r="E11" i="22"/>
  <c r="D11" i="22"/>
  <c r="C11" i="22"/>
  <c r="B11" i="22"/>
  <c r="A11" i="22"/>
  <c r="AI10" i="22"/>
  <c r="AH10" i="22"/>
  <c r="AG10" i="22"/>
  <c r="AF10" i="22"/>
  <c r="AE10" i="22"/>
  <c r="AD10" i="22"/>
  <c r="W10" i="22"/>
  <c r="V10" i="22"/>
  <c r="U10" i="22"/>
  <c r="T10" i="22"/>
  <c r="S10" i="22"/>
  <c r="R10" i="22"/>
  <c r="Q10" i="22"/>
  <c r="P10" i="22"/>
  <c r="O10" i="22"/>
  <c r="N10" i="22"/>
  <c r="M10" i="22"/>
  <c r="L10" i="22"/>
  <c r="K10" i="22"/>
  <c r="I10" i="22"/>
  <c r="H10" i="22"/>
  <c r="E10" i="22"/>
  <c r="D10" i="22"/>
  <c r="C10" i="22"/>
  <c r="B10" i="22"/>
  <c r="A10" i="22"/>
  <c r="AI9" i="22"/>
  <c r="AH9" i="22"/>
  <c r="AG9" i="22"/>
  <c r="AF9" i="22"/>
  <c r="AE9" i="22"/>
  <c r="AD9" i="22"/>
  <c r="W9" i="22"/>
  <c r="V9" i="22"/>
  <c r="U9" i="22"/>
  <c r="T9" i="22"/>
  <c r="S9" i="22"/>
  <c r="R9" i="22"/>
  <c r="Q9" i="22"/>
  <c r="P9" i="22"/>
  <c r="O9" i="22"/>
  <c r="N9" i="22"/>
  <c r="M9" i="22"/>
  <c r="L9" i="22"/>
  <c r="K9" i="22"/>
  <c r="I9" i="22"/>
  <c r="H9" i="22"/>
  <c r="E9" i="22"/>
  <c r="D9" i="22"/>
  <c r="C9" i="22"/>
  <c r="B9" i="22"/>
  <c r="A9" i="22"/>
  <c r="AI8" i="22"/>
  <c r="AH8" i="22"/>
  <c r="AG8" i="22"/>
  <c r="AF8" i="22"/>
  <c r="AE8" i="22"/>
  <c r="AD8" i="22"/>
  <c r="W8" i="22"/>
  <c r="V8" i="22"/>
  <c r="U8" i="22"/>
  <c r="T8" i="22"/>
  <c r="S8" i="22"/>
  <c r="R8" i="22"/>
  <c r="Q8" i="22"/>
  <c r="P8" i="22"/>
  <c r="O8" i="22"/>
  <c r="N8" i="22"/>
  <c r="M8" i="22"/>
  <c r="L8" i="22"/>
  <c r="K8" i="22"/>
  <c r="I8" i="22"/>
  <c r="H8" i="22"/>
  <c r="E8" i="22"/>
  <c r="D8" i="22"/>
  <c r="C8" i="22"/>
  <c r="B8" i="22"/>
  <c r="A8" i="22"/>
  <c r="AI7" i="22"/>
  <c r="AH7" i="22"/>
  <c r="AG7" i="22"/>
  <c r="AF7" i="22"/>
  <c r="AE7" i="22"/>
  <c r="AD7" i="22"/>
  <c r="W7" i="22"/>
  <c r="V7" i="22"/>
  <c r="U7" i="22"/>
  <c r="T7" i="22"/>
  <c r="S7" i="22"/>
  <c r="R7" i="22"/>
  <c r="Q7" i="22"/>
  <c r="P7" i="22"/>
  <c r="O7" i="22"/>
  <c r="N7" i="22"/>
  <c r="M7" i="22"/>
  <c r="L7" i="22"/>
  <c r="K7" i="22"/>
  <c r="I7" i="22"/>
  <c r="H7" i="22"/>
  <c r="E7" i="22"/>
  <c r="D7" i="22"/>
  <c r="C7" i="22"/>
  <c r="B7" i="22"/>
  <c r="A7" i="22"/>
  <c r="AI6" i="22"/>
  <c r="AH6" i="22"/>
  <c r="AG6" i="22"/>
  <c r="AF6" i="22"/>
  <c r="AE6" i="22"/>
  <c r="AD6" i="22"/>
  <c r="W6" i="22"/>
  <c r="V6" i="22"/>
  <c r="U6" i="22"/>
  <c r="T6" i="22"/>
  <c r="S6" i="22"/>
  <c r="R6" i="22"/>
  <c r="Q6" i="22"/>
  <c r="P6" i="22"/>
  <c r="O6" i="22"/>
  <c r="N6" i="22"/>
  <c r="M6" i="22"/>
  <c r="L6" i="22"/>
  <c r="K6" i="22"/>
  <c r="I6" i="22"/>
  <c r="H6" i="22"/>
  <c r="E6" i="22"/>
  <c r="D6" i="22"/>
  <c r="C6" i="22"/>
  <c r="B6" i="22"/>
  <c r="A6" i="22"/>
  <c r="AI5" i="22"/>
  <c r="AH5" i="22"/>
  <c r="AG5" i="22"/>
  <c r="AF5" i="22"/>
  <c r="AE5" i="22"/>
  <c r="AD5" i="22"/>
  <c r="W5" i="22"/>
  <c r="V5" i="22"/>
  <c r="U5" i="22"/>
  <c r="T5" i="22"/>
  <c r="S5" i="22"/>
  <c r="R5" i="22"/>
  <c r="Q5" i="22"/>
  <c r="P5" i="22"/>
  <c r="O5" i="22"/>
  <c r="N5" i="22"/>
  <c r="M5" i="22"/>
  <c r="L5" i="22"/>
  <c r="K5" i="22"/>
  <c r="I5" i="22"/>
  <c r="H5" i="22"/>
  <c r="E5" i="22"/>
  <c r="D5" i="22"/>
  <c r="C5" i="22"/>
  <c r="B5" i="22"/>
  <c r="A5" i="22"/>
  <c r="AI4" i="22"/>
  <c r="AH4" i="22"/>
  <c r="AG4" i="22"/>
  <c r="AF4" i="22"/>
  <c r="AE4" i="22"/>
  <c r="AD4" i="22"/>
  <c r="W4" i="22"/>
  <c r="V4" i="22"/>
  <c r="U4" i="22"/>
  <c r="T4" i="22"/>
  <c r="S4" i="22"/>
  <c r="R4" i="22"/>
  <c r="Q4" i="22"/>
  <c r="P4" i="22"/>
  <c r="O4" i="22"/>
  <c r="N4" i="22"/>
  <c r="M4" i="22"/>
  <c r="L4" i="22"/>
  <c r="K4" i="22"/>
  <c r="I4" i="22"/>
  <c r="H4" i="22"/>
  <c r="E4" i="22"/>
  <c r="D4" i="22"/>
  <c r="C4" i="22"/>
  <c r="B4" i="22"/>
  <c r="A4" i="22"/>
  <c r="AI3" i="22"/>
  <c r="AH3" i="22"/>
  <c r="AG3" i="22"/>
  <c r="AF3" i="22"/>
  <c r="AE3" i="22"/>
  <c r="AD3" i="22"/>
  <c r="W3" i="22"/>
  <c r="V3" i="22"/>
  <c r="U3" i="22"/>
  <c r="T3" i="22"/>
  <c r="S3" i="22"/>
  <c r="R3" i="22"/>
  <c r="Q3" i="22"/>
  <c r="P3" i="22"/>
  <c r="O3" i="22"/>
  <c r="N3" i="22"/>
  <c r="M3" i="22"/>
  <c r="L3" i="22"/>
  <c r="K3" i="22"/>
  <c r="I3" i="22"/>
  <c r="H3" i="22"/>
  <c r="E3" i="22"/>
  <c r="D3" i="22"/>
  <c r="C3" i="22"/>
  <c r="B3" i="22"/>
  <c r="A3" i="22"/>
  <c r="AI2" i="22"/>
  <c r="AH2" i="22"/>
  <c r="AG2" i="22"/>
  <c r="AF2" i="22"/>
  <c r="AE2" i="22"/>
  <c r="AD2" i="22"/>
  <c r="W2" i="22"/>
  <c r="V2" i="22"/>
  <c r="U2" i="22"/>
  <c r="T2" i="22"/>
  <c r="S2" i="22"/>
  <c r="R2" i="22"/>
  <c r="Q2" i="22"/>
  <c r="P2" i="22"/>
  <c r="O2" i="22"/>
  <c r="N2" i="22"/>
  <c r="M2" i="22"/>
  <c r="L2" i="22"/>
  <c r="K2" i="22"/>
  <c r="I2" i="22"/>
  <c r="H2" i="22"/>
  <c r="E2" i="22"/>
  <c r="D2" i="22"/>
  <c r="C2" i="22"/>
  <c r="B2" i="22"/>
  <c r="A2" i="22"/>
  <c r="AI44" i="23"/>
  <c r="AH44" i="23"/>
  <c r="AG44" i="23"/>
  <c r="AF44" i="23"/>
  <c r="AE44" i="23"/>
  <c r="AD44" i="23"/>
  <c r="W44" i="23"/>
  <c r="V44" i="23"/>
  <c r="U44" i="23"/>
  <c r="T44" i="23"/>
  <c r="S44" i="23"/>
  <c r="R44" i="23"/>
  <c r="Q44" i="23"/>
  <c r="P44" i="23"/>
  <c r="O44" i="23"/>
  <c r="N44" i="23"/>
  <c r="M44" i="23"/>
  <c r="L44" i="23"/>
  <c r="K44" i="23"/>
  <c r="I44" i="23"/>
  <c r="H44" i="23"/>
  <c r="E44" i="23"/>
  <c r="D44" i="23"/>
  <c r="C44" i="23"/>
  <c r="B44" i="23"/>
  <c r="A44" i="23"/>
  <c r="AI43" i="23"/>
  <c r="AH43" i="23"/>
  <c r="AG43" i="23"/>
  <c r="AF43" i="23"/>
  <c r="AE43" i="23"/>
  <c r="AD43" i="23"/>
  <c r="W43" i="23"/>
  <c r="V43" i="23"/>
  <c r="U43" i="23"/>
  <c r="T43" i="23"/>
  <c r="S43" i="23"/>
  <c r="R43" i="23"/>
  <c r="Q43" i="23"/>
  <c r="P43" i="23"/>
  <c r="O43" i="23"/>
  <c r="N43" i="23"/>
  <c r="M43" i="23"/>
  <c r="L43" i="23"/>
  <c r="K43" i="23"/>
  <c r="I43" i="23"/>
  <c r="H43" i="23"/>
  <c r="E43" i="23"/>
  <c r="D43" i="23"/>
  <c r="C43" i="23"/>
  <c r="B43" i="23"/>
  <c r="A43" i="23"/>
  <c r="AI42" i="23"/>
  <c r="AH42" i="23"/>
  <c r="AG42" i="23"/>
  <c r="AF42" i="23"/>
  <c r="AE42" i="23"/>
  <c r="AD42" i="23"/>
  <c r="W42" i="23"/>
  <c r="V42" i="23"/>
  <c r="U42" i="23"/>
  <c r="T42" i="23"/>
  <c r="S42" i="23"/>
  <c r="R42" i="23"/>
  <c r="Q42" i="23"/>
  <c r="P42" i="23"/>
  <c r="O42" i="23"/>
  <c r="N42" i="23"/>
  <c r="M42" i="23"/>
  <c r="L42" i="23"/>
  <c r="K42" i="23"/>
  <c r="I42" i="23"/>
  <c r="H42" i="23"/>
  <c r="E42" i="23"/>
  <c r="D42" i="23"/>
  <c r="C42" i="23"/>
  <c r="B42" i="23"/>
  <c r="A42" i="23"/>
  <c r="AI41" i="23"/>
  <c r="AH41" i="23"/>
  <c r="AG41" i="23"/>
  <c r="AF41" i="23"/>
  <c r="AE41" i="23"/>
  <c r="AD41" i="23"/>
  <c r="W41" i="23"/>
  <c r="V41" i="23"/>
  <c r="U41" i="23"/>
  <c r="T41" i="23"/>
  <c r="S41" i="23"/>
  <c r="R41" i="23"/>
  <c r="Q41" i="23"/>
  <c r="P41" i="23"/>
  <c r="O41" i="23"/>
  <c r="N41" i="23"/>
  <c r="M41" i="23"/>
  <c r="L41" i="23"/>
  <c r="K41" i="23"/>
  <c r="I41" i="23"/>
  <c r="H41" i="23"/>
  <c r="E41" i="23"/>
  <c r="D41" i="23"/>
  <c r="C41" i="23"/>
  <c r="B41" i="23"/>
  <c r="A41" i="23"/>
  <c r="AI40" i="23"/>
  <c r="AH40" i="23"/>
  <c r="AG40" i="23"/>
  <c r="AF40" i="23"/>
  <c r="AE40" i="23"/>
  <c r="AD40" i="23"/>
  <c r="W40" i="23"/>
  <c r="V40" i="23"/>
  <c r="U40" i="23"/>
  <c r="T40" i="23"/>
  <c r="S40" i="23"/>
  <c r="R40" i="23"/>
  <c r="Q40" i="23"/>
  <c r="P40" i="23"/>
  <c r="O40" i="23"/>
  <c r="N40" i="23"/>
  <c r="M40" i="23"/>
  <c r="L40" i="23"/>
  <c r="K40" i="23"/>
  <c r="I40" i="23"/>
  <c r="H40" i="23"/>
  <c r="E40" i="23"/>
  <c r="D40" i="23"/>
  <c r="C40" i="23"/>
  <c r="B40" i="23"/>
  <c r="A40" i="23"/>
  <c r="AI39" i="23"/>
  <c r="AH39" i="23"/>
  <c r="AG39" i="23"/>
  <c r="AF39" i="23"/>
  <c r="AE39" i="23"/>
  <c r="AD39" i="23"/>
  <c r="W39" i="23"/>
  <c r="V39" i="23"/>
  <c r="U39" i="23"/>
  <c r="T39" i="23"/>
  <c r="S39" i="23"/>
  <c r="R39" i="23"/>
  <c r="Q39" i="23"/>
  <c r="P39" i="23"/>
  <c r="O39" i="23"/>
  <c r="N39" i="23"/>
  <c r="M39" i="23"/>
  <c r="L39" i="23"/>
  <c r="K39" i="23"/>
  <c r="I39" i="23"/>
  <c r="H39" i="23"/>
  <c r="E39" i="23"/>
  <c r="D39" i="23"/>
  <c r="C39" i="23"/>
  <c r="B39" i="23"/>
  <c r="A39" i="23"/>
  <c r="AI38" i="23"/>
  <c r="AH38" i="23"/>
  <c r="AG38" i="23"/>
  <c r="AF38" i="23"/>
  <c r="AE38" i="23"/>
  <c r="AD38" i="23"/>
  <c r="W38" i="23"/>
  <c r="V38" i="23"/>
  <c r="U38" i="23"/>
  <c r="T38" i="23"/>
  <c r="S38" i="23"/>
  <c r="R38" i="23"/>
  <c r="Q38" i="23"/>
  <c r="P38" i="23"/>
  <c r="O38" i="23"/>
  <c r="N38" i="23"/>
  <c r="M38" i="23"/>
  <c r="L38" i="23"/>
  <c r="K38" i="23"/>
  <c r="I38" i="23"/>
  <c r="H38" i="23"/>
  <c r="E38" i="23"/>
  <c r="D38" i="23"/>
  <c r="C38" i="23"/>
  <c r="B38" i="23"/>
  <c r="A38" i="23"/>
  <c r="AI37" i="23"/>
  <c r="AH37" i="23"/>
  <c r="AG37" i="23"/>
  <c r="AF37" i="23"/>
  <c r="AE37" i="23"/>
  <c r="AD37" i="23"/>
  <c r="W37" i="23"/>
  <c r="V37" i="23"/>
  <c r="U37" i="23"/>
  <c r="T37" i="23"/>
  <c r="S37" i="23"/>
  <c r="R37" i="23"/>
  <c r="Q37" i="23"/>
  <c r="P37" i="23"/>
  <c r="O37" i="23"/>
  <c r="N37" i="23"/>
  <c r="M37" i="23"/>
  <c r="L37" i="23"/>
  <c r="K37" i="23"/>
  <c r="I37" i="23"/>
  <c r="H37" i="23"/>
  <c r="E37" i="23"/>
  <c r="D37" i="23"/>
  <c r="C37" i="23"/>
  <c r="B37" i="23"/>
  <c r="A37" i="23"/>
  <c r="AI36" i="23"/>
  <c r="AH36" i="23"/>
  <c r="AG36" i="23"/>
  <c r="AF36" i="23"/>
  <c r="AE36" i="23"/>
  <c r="AD36" i="23"/>
  <c r="W36" i="23"/>
  <c r="V36" i="23"/>
  <c r="U36" i="23"/>
  <c r="T36" i="23"/>
  <c r="S36" i="23"/>
  <c r="R36" i="23"/>
  <c r="Q36" i="23"/>
  <c r="P36" i="23"/>
  <c r="O36" i="23"/>
  <c r="N36" i="23"/>
  <c r="M36" i="23"/>
  <c r="L36" i="23"/>
  <c r="K36" i="23"/>
  <c r="I36" i="23"/>
  <c r="H36" i="23"/>
  <c r="E36" i="23"/>
  <c r="D36" i="23"/>
  <c r="C36" i="23"/>
  <c r="B36" i="23"/>
  <c r="A36" i="23"/>
  <c r="AI35" i="23"/>
  <c r="AH35" i="23"/>
  <c r="AG35" i="23"/>
  <c r="AF35" i="23"/>
  <c r="AE35" i="23"/>
  <c r="AD35" i="23"/>
  <c r="W35" i="23"/>
  <c r="V35" i="23"/>
  <c r="U35" i="23"/>
  <c r="T35" i="23"/>
  <c r="S35" i="23"/>
  <c r="R35" i="23"/>
  <c r="Q35" i="23"/>
  <c r="P35" i="23"/>
  <c r="O35" i="23"/>
  <c r="N35" i="23"/>
  <c r="M35" i="23"/>
  <c r="L35" i="23"/>
  <c r="K35" i="23"/>
  <c r="I35" i="23"/>
  <c r="H35" i="23"/>
  <c r="E35" i="23"/>
  <c r="D35" i="23"/>
  <c r="C35" i="23"/>
  <c r="B35" i="23"/>
  <c r="A35" i="23"/>
  <c r="AI34" i="23"/>
  <c r="AH34" i="23"/>
  <c r="AG34" i="23"/>
  <c r="AF34" i="23"/>
  <c r="AE34" i="23"/>
  <c r="AD34" i="23"/>
  <c r="W34" i="23"/>
  <c r="V34" i="23"/>
  <c r="U34" i="23"/>
  <c r="T34" i="23"/>
  <c r="S34" i="23"/>
  <c r="R34" i="23"/>
  <c r="Q34" i="23"/>
  <c r="P34" i="23"/>
  <c r="O34" i="23"/>
  <c r="N34" i="23"/>
  <c r="M34" i="23"/>
  <c r="L34" i="23"/>
  <c r="K34" i="23"/>
  <c r="I34" i="23"/>
  <c r="H34" i="23"/>
  <c r="E34" i="23"/>
  <c r="D34" i="23"/>
  <c r="C34" i="23"/>
  <c r="B34" i="23"/>
  <c r="A34" i="23"/>
  <c r="AI33" i="23"/>
  <c r="AH33" i="23"/>
  <c r="AG33" i="23"/>
  <c r="AF33" i="23"/>
  <c r="AE33" i="23"/>
  <c r="AD33" i="23"/>
  <c r="W33" i="23"/>
  <c r="V33" i="23"/>
  <c r="U33" i="23"/>
  <c r="T33" i="23"/>
  <c r="S33" i="23"/>
  <c r="R33" i="23"/>
  <c r="Q33" i="23"/>
  <c r="P33" i="23"/>
  <c r="O33" i="23"/>
  <c r="N33" i="23"/>
  <c r="M33" i="23"/>
  <c r="L33" i="23"/>
  <c r="K33" i="23"/>
  <c r="I33" i="23"/>
  <c r="H33" i="23"/>
  <c r="E33" i="23"/>
  <c r="D33" i="23"/>
  <c r="C33" i="23"/>
  <c r="B33" i="23"/>
  <c r="A33" i="23"/>
  <c r="AI32" i="23"/>
  <c r="AH32" i="23"/>
  <c r="AG32" i="23"/>
  <c r="AF32" i="23"/>
  <c r="AE32" i="23"/>
  <c r="AD32" i="23"/>
  <c r="W32" i="23"/>
  <c r="V32" i="23"/>
  <c r="U32" i="23"/>
  <c r="T32" i="23"/>
  <c r="S32" i="23"/>
  <c r="R32" i="23"/>
  <c r="Q32" i="23"/>
  <c r="P32" i="23"/>
  <c r="O32" i="23"/>
  <c r="N32" i="23"/>
  <c r="M32" i="23"/>
  <c r="L32" i="23"/>
  <c r="K32" i="23"/>
  <c r="I32" i="23"/>
  <c r="H32" i="23"/>
  <c r="E32" i="23"/>
  <c r="D32" i="23"/>
  <c r="C32" i="23"/>
  <c r="B32" i="23"/>
  <c r="A32" i="23"/>
  <c r="AI31" i="23"/>
  <c r="AH31" i="23"/>
  <c r="AG31" i="23"/>
  <c r="AF31" i="23"/>
  <c r="AE31" i="23"/>
  <c r="AD31" i="23"/>
  <c r="W31" i="23"/>
  <c r="V31" i="23"/>
  <c r="U31" i="23"/>
  <c r="T31" i="23"/>
  <c r="S31" i="23"/>
  <c r="R31" i="23"/>
  <c r="Q31" i="23"/>
  <c r="P31" i="23"/>
  <c r="O31" i="23"/>
  <c r="N31" i="23"/>
  <c r="M31" i="23"/>
  <c r="L31" i="23"/>
  <c r="K31" i="23"/>
  <c r="I31" i="23"/>
  <c r="H31" i="23"/>
  <c r="E31" i="23"/>
  <c r="D31" i="23"/>
  <c r="C31" i="23"/>
  <c r="B31" i="23"/>
  <c r="A31" i="23"/>
  <c r="AI30" i="23"/>
  <c r="AH30" i="23"/>
  <c r="AG30" i="23"/>
  <c r="AF30" i="23"/>
  <c r="AE30" i="23"/>
  <c r="AD30" i="23"/>
  <c r="W30" i="23"/>
  <c r="V30" i="23"/>
  <c r="U30" i="23"/>
  <c r="T30" i="23"/>
  <c r="S30" i="23"/>
  <c r="R30" i="23"/>
  <c r="Q30" i="23"/>
  <c r="P30" i="23"/>
  <c r="O30" i="23"/>
  <c r="N30" i="23"/>
  <c r="M30" i="23"/>
  <c r="L30" i="23"/>
  <c r="K30" i="23"/>
  <c r="I30" i="23"/>
  <c r="H30" i="23"/>
  <c r="E30" i="23"/>
  <c r="D30" i="23"/>
  <c r="C30" i="23"/>
  <c r="B30" i="23"/>
  <c r="A30" i="23"/>
  <c r="AI29" i="23"/>
  <c r="AH29" i="23"/>
  <c r="AG29" i="23"/>
  <c r="AF29" i="23"/>
  <c r="AE29" i="23"/>
  <c r="AD29" i="23"/>
  <c r="W29" i="23"/>
  <c r="V29" i="23"/>
  <c r="U29" i="23"/>
  <c r="T29" i="23"/>
  <c r="S29" i="23"/>
  <c r="R29" i="23"/>
  <c r="Q29" i="23"/>
  <c r="P29" i="23"/>
  <c r="O29" i="23"/>
  <c r="N29" i="23"/>
  <c r="M29" i="23"/>
  <c r="L29" i="23"/>
  <c r="K29" i="23"/>
  <c r="I29" i="23"/>
  <c r="H29" i="23"/>
  <c r="E29" i="23"/>
  <c r="D29" i="23"/>
  <c r="C29" i="23"/>
  <c r="B29" i="23"/>
  <c r="A29" i="23"/>
  <c r="AI28" i="23"/>
  <c r="AH28" i="23"/>
  <c r="AG28" i="23"/>
  <c r="AF28" i="23"/>
  <c r="AE28" i="23"/>
  <c r="AD28" i="23"/>
  <c r="W28" i="23"/>
  <c r="V28" i="23"/>
  <c r="U28" i="23"/>
  <c r="T28" i="23"/>
  <c r="S28" i="23"/>
  <c r="R28" i="23"/>
  <c r="Q28" i="23"/>
  <c r="P28" i="23"/>
  <c r="O28" i="23"/>
  <c r="N28" i="23"/>
  <c r="M28" i="23"/>
  <c r="L28" i="23"/>
  <c r="K28" i="23"/>
  <c r="I28" i="23"/>
  <c r="H28" i="23"/>
  <c r="E28" i="23"/>
  <c r="D28" i="23"/>
  <c r="C28" i="23"/>
  <c r="B28" i="23"/>
  <c r="A28" i="23"/>
  <c r="AI27" i="23"/>
  <c r="AH27" i="23"/>
  <c r="AG27" i="23"/>
  <c r="AF27" i="23"/>
  <c r="AE27" i="23"/>
  <c r="AD27" i="23"/>
  <c r="W27" i="23"/>
  <c r="V27" i="23"/>
  <c r="U27" i="23"/>
  <c r="T27" i="23"/>
  <c r="S27" i="23"/>
  <c r="R27" i="23"/>
  <c r="Q27" i="23"/>
  <c r="P27" i="23"/>
  <c r="O27" i="23"/>
  <c r="N27" i="23"/>
  <c r="M27" i="23"/>
  <c r="L27" i="23"/>
  <c r="K27" i="23"/>
  <c r="I27" i="23"/>
  <c r="H27" i="23"/>
  <c r="E27" i="23"/>
  <c r="D27" i="23"/>
  <c r="C27" i="23"/>
  <c r="B27" i="23"/>
  <c r="A27" i="23"/>
  <c r="AI26" i="23"/>
  <c r="AH26" i="23"/>
  <c r="AG26" i="23"/>
  <c r="AF26" i="23"/>
  <c r="AE26" i="23"/>
  <c r="AD26" i="23"/>
  <c r="W26" i="23"/>
  <c r="V26" i="23"/>
  <c r="U26" i="23"/>
  <c r="T26" i="23"/>
  <c r="S26" i="23"/>
  <c r="R26" i="23"/>
  <c r="Q26" i="23"/>
  <c r="P26" i="23"/>
  <c r="O26" i="23"/>
  <c r="N26" i="23"/>
  <c r="M26" i="23"/>
  <c r="L26" i="23"/>
  <c r="K26" i="23"/>
  <c r="I26" i="23"/>
  <c r="H26" i="23"/>
  <c r="E26" i="23"/>
  <c r="D26" i="23"/>
  <c r="C26" i="23"/>
  <c r="B26" i="23"/>
  <c r="A26" i="23"/>
  <c r="AI25" i="23"/>
  <c r="AH25" i="23"/>
  <c r="AG25" i="23"/>
  <c r="AF25" i="23"/>
  <c r="AE25" i="23"/>
  <c r="AD25" i="23"/>
  <c r="W25" i="23"/>
  <c r="V25" i="23"/>
  <c r="U25" i="23"/>
  <c r="T25" i="23"/>
  <c r="S25" i="23"/>
  <c r="R25" i="23"/>
  <c r="Q25" i="23"/>
  <c r="P25" i="23"/>
  <c r="O25" i="23"/>
  <c r="N25" i="23"/>
  <c r="M25" i="23"/>
  <c r="L25" i="23"/>
  <c r="K25" i="23"/>
  <c r="I25" i="23"/>
  <c r="H25" i="23"/>
  <c r="E25" i="23"/>
  <c r="D25" i="23"/>
  <c r="C25" i="23"/>
  <c r="B25" i="23"/>
  <c r="A25" i="23"/>
  <c r="AI24" i="23"/>
  <c r="AH24" i="23"/>
  <c r="AG24" i="23"/>
  <c r="AF24" i="23"/>
  <c r="AE24" i="23"/>
  <c r="AD24" i="23"/>
  <c r="W24" i="23"/>
  <c r="V24" i="23"/>
  <c r="U24" i="23"/>
  <c r="T24" i="23"/>
  <c r="S24" i="23"/>
  <c r="R24" i="23"/>
  <c r="Q24" i="23"/>
  <c r="P24" i="23"/>
  <c r="O24" i="23"/>
  <c r="N24" i="23"/>
  <c r="M24" i="23"/>
  <c r="L24" i="23"/>
  <c r="K24" i="23"/>
  <c r="I24" i="23"/>
  <c r="H24" i="23"/>
  <c r="E24" i="23"/>
  <c r="D24" i="23"/>
  <c r="C24" i="23"/>
  <c r="B24" i="23"/>
  <c r="A24" i="23"/>
  <c r="AI23" i="23"/>
  <c r="AH23" i="23"/>
  <c r="AG23" i="23"/>
  <c r="AF23" i="23"/>
  <c r="AE23" i="23"/>
  <c r="AD23" i="23"/>
  <c r="W23" i="23"/>
  <c r="V23" i="23"/>
  <c r="U23" i="23"/>
  <c r="T23" i="23"/>
  <c r="S23" i="23"/>
  <c r="R23" i="23"/>
  <c r="Q23" i="23"/>
  <c r="P23" i="23"/>
  <c r="O23" i="23"/>
  <c r="N23" i="23"/>
  <c r="M23" i="23"/>
  <c r="L23" i="23"/>
  <c r="K23" i="23"/>
  <c r="I23" i="23"/>
  <c r="H23" i="23"/>
  <c r="E23" i="23"/>
  <c r="D23" i="23"/>
  <c r="C23" i="23"/>
  <c r="B23" i="23"/>
  <c r="A23" i="23"/>
  <c r="AI22" i="23"/>
  <c r="AH22" i="23"/>
  <c r="AG22" i="23"/>
  <c r="AF22" i="23"/>
  <c r="AE22" i="23"/>
  <c r="AD22" i="23"/>
  <c r="W22" i="23"/>
  <c r="V22" i="23"/>
  <c r="U22" i="23"/>
  <c r="T22" i="23"/>
  <c r="S22" i="23"/>
  <c r="R22" i="23"/>
  <c r="Q22" i="23"/>
  <c r="P22" i="23"/>
  <c r="O22" i="23"/>
  <c r="N22" i="23"/>
  <c r="M22" i="23"/>
  <c r="L22" i="23"/>
  <c r="K22" i="23"/>
  <c r="I22" i="23"/>
  <c r="H22" i="23"/>
  <c r="E22" i="23"/>
  <c r="D22" i="23"/>
  <c r="C22" i="23"/>
  <c r="B22" i="23"/>
  <c r="A22" i="23"/>
  <c r="AI21" i="23"/>
  <c r="AH21" i="23"/>
  <c r="AG21" i="23"/>
  <c r="AF21" i="23"/>
  <c r="AE21" i="23"/>
  <c r="AD21" i="23"/>
  <c r="W21" i="23"/>
  <c r="V21" i="23"/>
  <c r="U21" i="23"/>
  <c r="T21" i="23"/>
  <c r="S21" i="23"/>
  <c r="R21" i="23"/>
  <c r="Q21" i="23"/>
  <c r="P21" i="23"/>
  <c r="O21" i="23"/>
  <c r="N21" i="23"/>
  <c r="M21" i="23"/>
  <c r="L21" i="23"/>
  <c r="K21" i="23"/>
  <c r="I21" i="23"/>
  <c r="H21" i="23"/>
  <c r="E21" i="23"/>
  <c r="D21" i="23"/>
  <c r="C21" i="23"/>
  <c r="B21" i="23"/>
  <c r="A21" i="23"/>
  <c r="AI20" i="23"/>
  <c r="AH20" i="23"/>
  <c r="AG20" i="23"/>
  <c r="AF20" i="23"/>
  <c r="AE20" i="23"/>
  <c r="AD20" i="23"/>
  <c r="W20" i="23"/>
  <c r="V20" i="23"/>
  <c r="U20" i="23"/>
  <c r="T20" i="23"/>
  <c r="S20" i="23"/>
  <c r="R20" i="23"/>
  <c r="Q20" i="23"/>
  <c r="P20" i="23"/>
  <c r="O20" i="23"/>
  <c r="N20" i="23"/>
  <c r="M20" i="23"/>
  <c r="L20" i="23"/>
  <c r="K20" i="23"/>
  <c r="I20" i="23"/>
  <c r="H20" i="23"/>
  <c r="E20" i="23"/>
  <c r="D20" i="23"/>
  <c r="C20" i="23"/>
  <c r="B20" i="23"/>
  <c r="A20" i="23"/>
  <c r="AI19" i="23"/>
  <c r="AH19" i="23"/>
  <c r="AG19" i="23"/>
  <c r="AF19" i="23"/>
  <c r="AE19" i="23"/>
  <c r="AD19" i="23"/>
  <c r="W19" i="23"/>
  <c r="V19" i="23"/>
  <c r="U19" i="23"/>
  <c r="T19" i="23"/>
  <c r="S19" i="23"/>
  <c r="R19" i="23"/>
  <c r="Q19" i="23"/>
  <c r="P19" i="23"/>
  <c r="O19" i="23"/>
  <c r="N19" i="23"/>
  <c r="M19" i="23"/>
  <c r="L19" i="23"/>
  <c r="K19" i="23"/>
  <c r="I19" i="23"/>
  <c r="H19" i="23"/>
  <c r="E19" i="23"/>
  <c r="D19" i="23"/>
  <c r="C19" i="23"/>
  <c r="B19" i="23"/>
  <c r="A19" i="23"/>
  <c r="AI18" i="23"/>
  <c r="AH18" i="23"/>
  <c r="AG18" i="23"/>
  <c r="AF18" i="23"/>
  <c r="AE18" i="23"/>
  <c r="AD18" i="23"/>
  <c r="W18" i="23"/>
  <c r="V18" i="23"/>
  <c r="U18" i="23"/>
  <c r="T18" i="23"/>
  <c r="S18" i="23"/>
  <c r="R18" i="23"/>
  <c r="Q18" i="23"/>
  <c r="P18" i="23"/>
  <c r="O18" i="23"/>
  <c r="N18" i="23"/>
  <c r="M18" i="23"/>
  <c r="L18" i="23"/>
  <c r="K18" i="23"/>
  <c r="I18" i="23"/>
  <c r="H18" i="23"/>
  <c r="E18" i="23"/>
  <c r="D18" i="23"/>
  <c r="C18" i="23"/>
  <c r="B18" i="23"/>
  <c r="A18" i="23"/>
  <c r="AI17" i="23"/>
  <c r="AH17" i="23"/>
  <c r="AG17" i="23"/>
  <c r="AF17" i="23"/>
  <c r="AE17" i="23"/>
  <c r="AD17" i="23"/>
  <c r="W17" i="23"/>
  <c r="V17" i="23"/>
  <c r="U17" i="23"/>
  <c r="T17" i="23"/>
  <c r="S17" i="23"/>
  <c r="R17" i="23"/>
  <c r="Q17" i="23"/>
  <c r="P17" i="23"/>
  <c r="O17" i="23"/>
  <c r="N17" i="23"/>
  <c r="M17" i="23"/>
  <c r="L17" i="23"/>
  <c r="K17" i="23"/>
  <c r="I17" i="23"/>
  <c r="H17" i="23"/>
  <c r="E17" i="23"/>
  <c r="D17" i="23"/>
  <c r="C17" i="23"/>
  <c r="B17" i="23"/>
  <c r="A17" i="23"/>
  <c r="AI16" i="23"/>
  <c r="AH16" i="23"/>
  <c r="AG16" i="23"/>
  <c r="AF16" i="23"/>
  <c r="AE16" i="23"/>
  <c r="AD16" i="23"/>
  <c r="W16" i="23"/>
  <c r="V16" i="23"/>
  <c r="U16" i="23"/>
  <c r="T16" i="23"/>
  <c r="S16" i="23"/>
  <c r="R16" i="23"/>
  <c r="Q16" i="23"/>
  <c r="P16" i="23"/>
  <c r="O16" i="23"/>
  <c r="N16" i="23"/>
  <c r="M16" i="23"/>
  <c r="L16" i="23"/>
  <c r="K16" i="23"/>
  <c r="I16" i="23"/>
  <c r="H16" i="23"/>
  <c r="E16" i="23"/>
  <c r="D16" i="23"/>
  <c r="C16" i="23"/>
  <c r="B16" i="23"/>
  <c r="A16" i="23"/>
  <c r="AI15" i="23"/>
  <c r="AH15" i="23"/>
  <c r="AG15" i="23"/>
  <c r="AF15" i="23"/>
  <c r="AE15" i="23"/>
  <c r="AD15" i="23"/>
  <c r="W15" i="23"/>
  <c r="V15" i="23"/>
  <c r="U15" i="23"/>
  <c r="T15" i="23"/>
  <c r="S15" i="23"/>
  <c r="R15" i="23"/>
  <c r="Q15" i="23"/>
  <c r="P15" i="23"/>
  <c r="O15" i="23"/>
  <c r="N15" i="23"/>
  <c r="M15" i="23"/>
  <c r="L15" i="23"/>
  <c r="K15" i="23"/>
  <c r="I15" i="23"/>
  <c r="H15" i="23"/>
  <c r="E15" i="23"/>
  <c r="D15" i="23"/>
  <c r="C15" i="23"/>
  <c r="B15" i="23"/>
  <c r="A15" i="23"/>
  <c r="AI14" i="23"/>
  <c r="AH14" i="23"/>
  <c r="AG14" i="23"/>
  <c r="AF14" i="23"/>
  <c r="AE14" i="23"/>
  <c r="AD14" i="23"/>
  <c r="W14" i="23"/>
  <c r="V14" i="23"/>
  <c r="U14" i="23"/>
  <c r="T14" i="23"/>
  <c r="S14" i="23"/>
  <c r="R14" i="23"/>
  <c r="Q14" i="23"/>
  <c r="P14" i="23"/>
  <c r="O14" i="23"/>
  <c r="N14" i="23"/>
  <c r="M14" i="23"/>
  <c r="L14" i="23"/>
  <c r="K14" i="23"/>
  <c r="I14" i="23"/>
  <c r="H14" i="23"/>
  <c r="E14" i="23"/>
  <c r="D14" i="23"/>
  <c r="C14" i="23"/>
  <c r="B14" i="23"/>
  <c r="A14" i="23"/>
  <c r="AI13" i="23"/>
  <c r="AH13" i="23"/>
  <c r="AG13" i="23"/>
  <c r="AF13" i="23"/>
  <c r="AE13" i="23"/>
  <c r="AD13" i="23"/>
  <c r="W13" i="23"/>
  <c r="V13" i="23"/>
  <c r="U13" i="23"/>
  <c r="T13" i="23"/>
  <c r="S13" i="23"/>
  <c r="R13" i="23"/>
  <c r="Q13" i="23"/>
  <c r="P13" i="23"/>
  <c r="O13" i="23"/>
  <c r="N13" i="23"/>
  <c r="M13" i="23"/>
  <c r="L13" i="23"/>
  <c r="K13" i="23"/>
  <c r="I13" i="23"/>
  <c r="H13" i="23"/>
  <c r="E13" i="23"/>
  <c r="D13" i="23"/>
  <c r="C13" i="23"/>
  <c r="B13" i="23"/>
  <c r="A13" i="23"/>
  <c r="AI12" i="23"/>
  <c r="AH12" i="23"/>
  <c r="AG12" i="23"/>
  <c r="AF12" i="23"/>
  <c r="AE12" i="23"/>
  <c r="AD12" i="23"/>
  <c r="W12" i="23"/>
  <c r="V12" i="23"/>
  <c r="U12" i="23"/>
  <c r="T12" i="23"/>
  <c r="S12" i="23"/>
  <c r="R12" i="23"/>
  <c r="Q12" i="23"/>
  <c r="P12" i="23"/>
  <c r="O12" i="23"/>
  <c r="N12" i="23"/>
  <c r="M12" i="23"/>
  <c r="L12" i="23"/>
  <c r="K12" i="23"/>
  <c r="I12" i="23"/>
  <c r="H12" i="23"/>
  <c r="E12" i="23"/>
  <c r="D12" i="23"/>
  <c r="C12" i="23"/>
  <c r="B12" i="23"/>
  <c r="A12" i="23"/>
  <c r="AI11" i="23"/>
  <c r="AH11" i="23"/>
  <c r="AG11" i="23"/>
  <c r="AF11" i="23"/>
  <c r="AE11" i="23"/>
  <c r="AD11" i="23"/>
  <c r="W11" i="23"/>
  <c r="V11" i="23"/>
  <c r="U11" i="23"/>
  <c r="T11" i="23"/>
  <c r="S11" i="23"/>
  <c r="R11" i="23"/>
  <c r="Q11" i="23"/>
  <c r="P11" i="23"/>
  <c r="O11" i="23"/>
  <c r="N11" i="23"/>
  <c r="M11" i="23"/>
  <c r="L11" i="23"/>
  <c r="K11" i="23"/>
  <c r="I11" i="23"/>
  <c r="H11" i="23"/>
  <c r="E11" i="23"/>
  <c r="D11" i="23"/>
  <c r="C11" i="23"/>
  <c r="B11" i="23"/>
  <c r="A11" i="23"/>
  <c r="AI10" i="23"/>
  <c r="AH10" i="23"/>
  <c r="AG10" i="23"/>
  <c r="AF10" i="23"/>
  <c r="AE10" i="23"/>
  <c r="AD10" i="23"/>
  <c r="W10" i="23"/>
  <c r="V10" i="23"/>
  <c r="U10" i="23"/>
  <c r="T10" i="23"/>
  <c r="S10" i="23"/>
  <c r="R10" i="23"/>
  <c r="Q10" i="23"/>
  <c r="P10" i="23"/>
  <c r="O10" i="23"/>
  <c r="N10" i="23"/>
  <c r="M10" i="23"/>
  <c r="L10" i="23"/>
  <c r="K10" i="23"/>
  <c r="I10" i="23"/>
  <c r="H10" i="23"/>
  <c r="E10" i="23"/>
  <c r="D10" i="23"/>
  <c r="C10" i="23"/>
  <c r="B10" i="23"/>
  <c r="A10" i="23"/>
  <c r="AI9" i="23"/>
  <c r="AH9" i="23"/>
  <c r="AG9" i="23"/>
  <c r="AF9" i="23"/>
  <c r="AE9" i="23"/>
  <c r="AD9" i="23"/>
  <c r="W9" i="23"/>
  <c r="V9" i="23"/>
  <c r="U9" i="23"/>
  <c r="T9" i="23"/>
  <c r="S9" i="23"/>
  <c r="R9" i="23"/>
  <c r="Q9" i="23"/>
  <c r="P9" i="23"/>
  <c r="O9" i="23"/>
  <c r="N9" i="23"/>
  <c r="M9" i="23"/>
  <c r="L9" i="23"/>
  <c r="K9" i="23"/>
  <c r="I9" i="23"/>
  <c r="H9" i="23"/>
  <c r="E9" i="23"/>
  <c r="D9" i="23"/>
  <c r="C9" i="23"/>
  <c r="B9" i="23"/>
  <c r="A9" i="23"/>
  <c r="AI8" i="23"/>
  <c r="AH8" i="23"/>
  <c r="AG8" i="23"/>
  <c r="AF8" i="23"/>
  <c r="AE8" i="23"/>
  <c r="AD8" i="23"/>
  <c r="W8" i="23"/>
  <c r="V8" i="23"/>
  <c r="U8" i="23"/>
  <c r="T8" i="23"/>
  <c r="S8" i="23"/>
  <c r="R8" i="23"/>
  <c r="Q8" i="23"/>
  <c r="P8" i="23"/>
  <c r="O8" i="23"/>
  <c r="N8" i="23"/>
  <c r="M8" i="23"/>
  <c r="L8" i="23"/>
  <c r="K8" i="23"/>
  <c r="I8" i="23"/>
  <c r="H8" i="23"/>
  <c r="E8" i="23"/>
  <c r="D8" i="23"/>
  <c r="C8" i="23"/>
  <c r="B8" i="23"/>
  <c r="A8" i="23"/>
  <c r="AI7" i="23"/>
  <c r="AH7" i="23"/>
  <c r="AG7" i="23"/>
  <c r="AF7" i="23"/>
  <c r="AE7" i="23"/>
  <c r="AD7" i="23"/>
  <c r="W7" i="23"/>
  <c r="V7" i="23"/>
  <c r="U7" i="23"/>
  <c r="T7" i="23"/>
  <c r="S7" i="23"/>
  <c r="R7" i="23"/>
  <c r="Q7" i="23"/>
  <c r="P7" i="23"/>
  <c r="O7" i="23"/>
  <c r="N7" i="23"/>
  <c r="M7" i="23"/>
  <c r="L7" i="23"/>
  <c r="K7" i="23"/>
  <c r="I7" i="23"/>
  <c r="H7" i="23"/>
  <c r="E7" i="23"/>
  <c r="D7" i="23"/>
  <c r="C7" i="23"/>
  <c r="B7" i="23"/>
  <c r="A7" i="23"/>
  <c r="AI6" i="23"/>
  <c r="AH6" i="23"/>
  <c r="AG6" i="23"/>
  <c r="AF6" i="23"/>
  <c r="AE6" i="23"/>
  <c r="AD6" i="23"/>
  <c r="W6" i="23"/>
  <c r="V6" i="23"/>
  <c r="U6" i="23"/>
  <c r="T6" i="23"/>
  <c r="S6" i="23"/>
  <c r="R6" i="23"/>
  <c r="Q6" i="23"/>
  <c r="P6" i="23"/>
  <c r="O6" i="23"/>
  <c r="N6" i="23"/>
  <c r="M6" i="23"/>
  <c r="L6" i="23"/>
  <c r="K6" i="23"/>
  <c r="I6" i="23"/>
  <c r="H6" i="23"/>
  <c r="E6" i="23"/>
  <c r="D6" i="23"/>
  <c r="C6" i="23"/>
  <c r="B6" i="23"/>
  <c r="A6" i="23"/>
  <c r="AI5" i="23"/>
  <c r="AH5" i="23"/>
  <c r="AG5" i="23"/>
  <c r="AF5" i="23"/>
  <c r="AE5" i="23"/>
  <c r="AD5" i="23"/>
  <c r="W5" i="23"/>
  <c r="V5" i="23"/>
  <c r="U5" i="23"/>
  <c r="T5" i="23"/>
  <c r="S5" i="23"/>
  <c r="R5" i="23"/>
  <c r="Q5" i="23"/>
  <c r="P5" i="23"/>
  <c r="O5" i="23"/>
  <c r="N5" i="23"/>
  <c r="M5" i="23"/>
  <c r="L5" i="23"/>
  <c r="K5" i="23"/>
  <c r="I5" i="23"/>
  <c r="H5" i="23"/>
  <c r="E5" i="23"/>
  <c r="D5" i="23"/>
  <c r="C5" i="23"/>
  <c r="B5" i="23"/>
  <c r="A5" i="23"/>
  <c r="AI4" i="23"/>
  <c r="AH4" i="23"/>
  <c r="AG4" i="23"/>
  <c r="AF4" i="23"/>
  <c r="AE4" i="23"/>
  <c r="AD4" i="23"/>
  <c r="W4" i="23"/>
  <c r="V4" i="23"/>
  <c r="U4" i="23"/>
  <c r="T4" i="23"/>
  <c r="S4" i="23"/>
  <c r="R4" i="23"/>
  <c r="Q4" i="23"/>
  <c r="P4" i="23"/>
  <c r="O4" i="23"/>
  <c r="N4" i="23"/>
  <c r="M4" i="23"/>
  <c r="L4" i="23"/>
  <c r="K4" i="23"/>
  <c r="I4" i="23"/>
  <c r="H4" i="23"/>
  <c r="E4" i="23"/>
  <c r="D4" i="23"/>
  <c r="C4" i="23"/>
  <c r="B4" i="23"/>
  <c r="A4" i="23"/>
  <c r="AI3" i="23"/>
  <c r="AH3" i="23"/>
  <c r="AG3" i="23"/>
  <c r="AF3" i="23"/>
  <c r="AE3" i="23"/>
  <c r="AD3" i="23"/>
  <c r="W3" i="23"/>
  <c r="V3" i="23"/>
  <c r="U3" i="23"/>
  <c r="T3" i="23"/>
  <c r="S3" i="23"/>
  <c r="R3" i="23"/>
  <c r="Q3" i="23"/>
  <c r="P3" i="23"/>
  <c r="O3" i="23"/>
  <c r="N3" i="23"/>
  <c r="M3" i="23"/>
  <c r="L3" i="23"/>
  <c r="K3" i="23"/>
  <c r="I3" i="23"/>
  <c r="H3" i="23"/>
  <c r="E3" i="23"/>
  <c r="D3" i="23"/>
  <c r="C3" i="23"/>
  <c r="B3" i="23"/>
  <c r="A3" i="23"/>
  <c r="AI2" i="23"/>
  <c r="AH2" i="23"/>
  <c r="AG2" i="23"/>
  <c r="AF2" i="23"/>
  <c r="AE2" i="23"/>
  <c r="AD2" i="23"/>
  <c r="W2" i="23"/>
  <c r="V2" i="23"/>
  <c r="U2" i="23"/>
  <c r="T2" i="23"/>
  <c r="S2" i="23"/>
  <c r="R2" i="23"/>
  <c r="Q2" i="23"/>
  <c r="P2" i="23"/>
  <c r="O2" i="23"/>
  <c r="N2" i="23"/>
  <c r="M2" i="23"/>
  <c r="L2" i="23"/>
  <c r="K2" i="23"/>
  <c r="I2" i="23"/>
  <c r="H2" i="23"/>
  <c r="E2" i="23"/>
  <c r="D2" i="23"/>
  <c r="C2" i="23"/>
  <c r="B2" i="23"/>
  <c r="A2" i="23"/>
  <c r="AI33" i="24"/>
  <c r="AH33" i="24"/>
  <c r="AG33" i="24"/>
  <c r="AF33" i="24"/>
  <c r="AE33" i="24"/>
  <c r="AD33" i="24"/>
  <c r="W33" i="24"/>
  <c r="V33" i="24"/>
  <c r="U33" i="24"/>
  <c r="T33" i="24"/>
  <c r="S33" i="24"/>
  <c r="R33" i="24"/>
  <c r="Q33" i="24"/>
  <c r="P33" i="24"/>
  <c r="O33" i="24"/>
  <c r="N33" i="24"/>
  <c r="M33" i="24"/>
  <c r="L33" i="24"/>
  <c r="K33" i="24"/>
  <c r="I33" i="24"/>
  <c r="H33" i="24"/>
  <c r="E33" i="24"/>
  <c r="D33" i="24"/>
  <c r="C33" i="24"/>
  <c r="B33" i="24"/>
  <c r="A33" i="24"/>
  <c r="AI32" i="24"/>
  <c r="AH32" i="24"/>
  <c r="AG32" i="24"/>
  <c r="AF32" i="24"/>
  <c r="AE32" i="24"/>
  <c r="AD32" i="24"/>
  <c r="W32" i="24"/>
  <c r="V32" i="24"/>
  <c r="U32" i="24"/>
  <c r="T32" i="24"/>
  <c r="S32" i="24"/>
  <c r="R32" i="24"/>
  <c r="Q32" i="24"/>
  <c r="P32" i="24"/>
  <c r="O32" i="24"/>
  <c r="N32" i="24"/>
  <c r="M32" i="24"/>
  <c r="L32" i="24"/>
  <c r="K32" i="24"/>
  <c r="I32" i="24"/>
  <c r="H32" i="24"/>
  <c r="E32" i="24"/>
  <c r="D32" i="24"/>
  <c r="C32" i="24"/>
  <c r="B32" i="24"/>
  <c r="A32" i="24"/>
  <c r="AI31" i="24"/>
  <c r="AH31" i="24"/>
  <c r="AG31" i="24"/>
  <c r="AF31" i="24"/>
  <c r="AE31" i="24"/>
  <c r="AD31" i="24"/>
  <c r="W31" i="24"/>
  <c r="V31" i="24"/>
  <c r="U31" i="24"/>
  <c r="T31" i="24"/>
  <c r="S31" i="24"/>
  <c r="R31" i="24"/>
  <c r="Q31" i="24"/>
  <c r="P31" i="24"/>
  <c r="O31" i="24"/>
  <c r="N31" i="24"/>
  <c r="M31" i="24"/>
  <c r="L31" i="24"/>
  <c r="K31" i="24"/>
  <c r="I31" i="24"/>
  <c r="H31" i="24"/>
  <c r="E31" i="24"/>
  <c r="D31" i="24"/>
  <c r="C31" i="24"/>
  <c r="B31" i="24"/>
  <c r="A31" i="24"/>
  <c r="AI30" i="24"/>
  <c r="AH30" i="24"/>
  <c r="AG30" i="24"/>
  <c r="AF30" i="24"/>
  <c r="AE30" i="24"/>
  <c r="AD30" i="24"/>
  <c r="W30" i="24"/>
  <c r="V30" i="24"/>
  <c r="U30" i="24"/>
  <c r="T30" i="24"/>
  <c r="S30" i="24"/>
  <c r="R30" i="24"/>
  <c r="Q30" i="24"/>
  <c r="P30" i="24"/>
  <c r="O30" i="24"/>
  <c r="N30" i="24"/>
  <c r="M30" i="24"/>
  <c r="L30" i="24"/>
  <c r="K30" i="24"/>
  <c r="I30" i="24"/>
  <c r="H30" i="24"/>
  <c r="E30" i="24"/>
  <c r="D30" i="24"/>
  <c r="C30" i="24"/>
  <c r="B30" i="24"/>
  <c r="A30" i="24"/>
  <c r="AI29" i="24"/>
  <c r="AH29" i="24"/>
  <c r="AG29" i="24"/>
  <c r="AF29" i="24"/>
  <c r="AE29" i="24"/>
  <c r="AD29" i="24"/>
  <c r="W29" i="24"/>
  <c r="V29" i="24"/>
  <c r="U29" i="24"/>
  <c r="T29" i="24"/>
  <c r="S29" i="24"/>
  <c r="R29" i="24"/>
  <c r="Q29" i="24"/>
  <c r="P29" i="24"/>
  <c r="O29" i="24"/>
  <c r="N29" i="24"/>
  <c r="M29" i="24"/>
  <c r="L29" i="24"/>
  <c r="K29" i="24"/>
  <c r="I29" i="24"/>
  <c r="H29" i="24"/>
  <c r="E29" i="24"/>
  <c r="D29" i="24"/>
  <c r="C29" i="24"/>
  <c r="B29" i="24"/>
  <c r="A29" i="24"/>
  <c r="AI28" i="24"/>
  <c r="AH28" i="24"/>
  <c r="AG28" i="24"/>
  <c r="AF28" i="24"/>
  <c r="AE28" i="24"/>
  <c r="AD28" i="24"/>
  <c r="W28" i="24"/>
  <c r="V28" i="24"/>
  <c r="U28" i="24"/>
  <c r="T28" i="24"/>
  <c r="S28" i="24"/>
  <c r="R28" i="24"/>
  <c r="Q28" i="24"/>
  <c r="P28" i="24"/>
  <c r="O28" i="24"/>
  <c r="N28" i="24"/>
  <c r="M28" i="24"/>
  <c r="L28" i="24"/>
  <c r="K28" i="24"/>
  <c r="I28" i="24"/>
  <c r="H28" i="24"/>
  <c r="E28" i="24"/>
  <c r="D28" i="24"/>
  <c r="C28" i="24"/>
  <c r="B28" i="24"/>
  <c r="A28" i="24"/>
  <c r="AI27" i="24"/>
  <c r="AH27" i="24"/>
  <c r="AG27" i="24"/>
  <c r="AF27" i="24"/>
  <c r="AE27" i="24"/>
  <c r="AD27" i="24"/>
  <c r="W27" i="24"/>
  <c r="V27" i="24"/>
  <c r="U27" i="24"/>
  <c r="T27" i="24"/>
  <c r="S27" i="24"/>
  <c r="R27" i="24"/>
  <c r="Q27" i="24"/>
  <c r="P27" i="24"/>
  <c r="O27" i="24"/>
  <c r="N27" i="24"/>
  <c r="M27" i="24"/>
  <c r="L27" i="24"/>
  <c r="K27" i="24"/>
  <c r="I27" i="24"/>
  <c r="H27" i="24"/>
  <c r="E27" i="24"/>
  <c r="D27" i="24"/>
  <c r="C27" i="24"/>
  <c r="B27" i="24"/>
  <c r="A27" i="24"/>
  <c r="AI26" i="24"/>
  <c r="AH26" i="24"/>
  <c r="AG26" i="24"/>
  <c r="AF26" i="24"/>
  <c r="AE26" i="24"/>
  <c r="AD26" i="24"/>
  <c r="W26" i="24"/>
  <c r="V26" i="24"/>
  <c r="U26" i="24"/>
  <c r="T26" i="24"/>
  <c r="S26" i="24"/>
  <c r="R26" i="24"/>
  <c r="Q26" i="24"/>
  <c r="P26" i="24"/>
  <c r="O26" i="24"/>
  <c r="N26" i="24"/>
  <c r="M26" i="24"/>
  <c r="L26" i="24"/>
  <c r="K26" i="24"/>
  <c r="I26" i="24"/>
  <c r="H26" i="24"/>
  <c r="E26" i="24"/>
  <c r="D26" i="24"/>
  <c r="C26" i="24"/>
  <c r="B26" i="24"/>
  <c r="A26" i="24"/>
  <c r="AI25" i="24"/>
  <c r="AH25" i="24"/>
  <c r="AG25" i="24"/>
  <c r="AF25" i="24"/>
  <c r="AE25" i="24"/>
  <c r="AD25" i="24"/>
  <c r="W25" i="24"/>
  <c r="V25" i="24"/>
  <c r="U25" i="24"/>
  <c r="T25" i="24"/>
  <c r="S25" i="24"/>
  <c r="R25" i="24"/>
  <c r="Q25" i="24"/>
  <c r="P25" i="24"/>
  <c r="O25" i="24"/>
  <c r="N25" i="24"/>
  <c r="M25" i="24"/>
  <c r="L25" i="24"/>
  <c r="K25" i="24"/>
  <c r="I25" i="24"/>
  <c r="H25" i="24"/>
  <c r="E25" i="24"/>
  <c r="D25" i="24"/>
  <c r="C25" i="24"/>
  <c r="B25" i="24"/>
  <c r="A25" i="24"/>
  <c r="AI24" i="24"/>
  <c r="AH24" i="24"/>
  <c r="AG24" i="24"/>
  <c r="AF24" i="24"/>
  <c r="AE24" i="24"/>
  <c r="AD24" i="24"/>
  <c r="W24" i="24"/>
  <c r="V24" i="24"/>
  <c r="U24" i="24"/>
  <c r="T24" i="24"/>
  <c r="S24" i="24"/>
  <c r="R24" i="24"/>
  <c r="Q24" i="24"/>
  <c r="P24" i="24"/>
  <c r="O24" i="24"/>
  <c r="N24" i="24"/>
  <c r="M24" i="24"/>
  <c r="L24" i="24"/>
  <c r="K24" i="24"/>
  <c r="I24" i="24"/>
  <c r="H24" i="24"/>
  <c r="E24" i="24"/>
  <c r="D24" i="24"/>
  <c r="C24" i="24"/>
  <c r="B24" i="24"/>
  <c r="A24" i="24"/>
  <c r="AI23" i="24"/>
  <c r="AH23" i="24"/>
  <c r="AG23" i="24"/>
  <c r="AF23" i="24"/>
  <c r="AE23" i="24"/>
  <c r="AD23" i="24"/>
  <c r="W23" i="24"/>
  <c r="V23" i="24"/>
  <c r="U23" i="24"/>
  <c r="T23" i="24"/>
  <c r="S23" i="24"/>
  <c r="R23" i="24"/>
  <c r="Q23" i="24"/>
  <c r="P23" i="24"/>
  <c r="O23" i="24"/>
  <c r="N23" i="24"/>
  <c r="M23" i="24"/>
  <c r="L23" i="24"/>
  <c r="K23" i="24"/>
  <c r="I23" i="24"/>
  <c r="H23" i="24"/>
  <c r="E23" i="24"/>
  <c r="D23" i="24"/>
  <c r="C23" i="24"/>
  <c r="B23" i="24"/>
  <c r="A23" i="24"/>
  <c r="AI22" i="24"/>
  <c r="AH22" i="24"/>
  <c r="AG22" i="24"/>
  <c r="AF22" i="24"/>
  <c r="AE22" i="24"/>
  <c r="AD22" i="24"/>
  <c r="W22" i="24"/>
  <c r="V22" i="24"/>
  <c r="U22" i="24"/>
  <c r="T22" i="24"/>
  <c r="S22" i="24"/>
  <c r="R22" i="24"/>
  <c r="Q22" i="24"/>
  <c r="P22" i="24"/>
  <c r="O22" i="24"/>
  <c r="N22" i="24"/>
  <c r="M22" i="24"/>
  <c r="L22" i="24"/>
  <c r="K22" i="24"/>
  <c r="I22" i="24"/>
  <c r="H22" i="24"/>
  <c r="E22" i="24"/>
  <c r="D22" i="24"/>
  <c r="C22" i="24"/>
  <c r="B22" i="24"/>
  <c r="A22" i="24"/>
  <c r="AI21" i="24"/>
  <c r="AH21" i="24"/>
  <c r="AG21" i="24"/>
  <c r="AF21" i="24"/>
  <c r="AE21" i="24"/>
  <c r="AD21" i="24"/>
  <c r="W21" i="24"/>
  <c r="V21" i="24"/>
  <c r="U21" i="24"/>
  <c r="T21" i="24"/>
  <c r="S21" i="24"/>
  <c r="R21" i="24"/>
  <c r="Q21" i="24"/>
  <c r="P21" i="24"/>
  <c r="O21" i="24"/>
  <c r="N21" i="24"/>
  <c r="M21" i="24"/>
  <c r="L21" i="24"/>
  <c r="K21" i="24"/>
  <c r="I21" i="24"/>
  <c r="H21" i="24"/>
  <c r="E21" i="24"/>
  <c r="D21" i="24"/>
  <c r="C21" i="24"/>
  <c r="B21" i="24"/>
  <c r="A21" i="24"/>
  <c r="AI20" i="24"/>
  <c r="AH20" i="24"/>
  <c r="AG20" i="24"/>
  <c r="AF20" i="24"/>
  <c r="AE20" i="24"/>
  <c r="AD20" i="24"/>
  <c r="W20" i="24"/>
  <c r="V20" i="24"/>
  <c r="U20" i="24"/>
  <c r="T20" i="24"/>
  <c r="S20" i="24"/>
  <c r="R20" i="24"/>
  <c r="Q20" i="24"/>
  <c r="P20" i="24"/>
  <c r="O20" i="24"/>
  <c r="N20" i="24"/>
  <c r="M20" i="24"/>
  <c r="L20" i="24"/>
  <c r="K20" i="24"/>
  <c r="I20" i="24"/>
  <c r="H20" i="24"/>
  <c r="E20" i="24"/>
  <c r="D20" i="24"/>
  <c r="C20" i="24"/>
  <c r="B20" i="24"/>
  <c r="A20" i="24"/>
  <c r="AI19" i="24"/>
  <c r="AH19" i="24"/>
  <c r="AG19" i="24"/>
  <c r="AF19" i="24"/>
  <c r="AE19" i="24"/>
  <c r="AD19" i="24"/>
  <c r="W19" i="24"/>
  <c r="V19" i="24"/>
  <c r="U19" i="24"/>
  <c r="T19" i="24"/>
  <c r="S19" i="24"/>
  <c r="R19" i="24"/>
  <c r="Q19" i="24"/>
  <c r="P19" i="24"/>
  <c r="O19" i="24"/>
  <c r="N19" i="24"/>
  <c r="M19" i="24"/>
  <c r="L19" i="24"/>
  <c r="K19" i="24"/>
  <c r="I19" i="24"/>
  <c r="H19" i="24"/>
  <c r="E19" i="24"/>
  <c r="D19" i="24"/>
  <c r="C19" i="24"/>
  <c r="B19" i="24"/>
  <c r="A19" i="24"/>
  <c r="AI18" i="24"/>
  <c r="AH18" i="24"/>
  <c r="AG18" i="24"/>
  <c r="AF18" i="24"/>
  <c r="AE18" i="24"/>
  <c r="AD18" i="24"/>
  <c r="W18" i="24"/>
  <c r="V18" i="24"/>
  <c r="U18" i="24"/>
  <c r="T18" i="24"/>
  <c r="S18" i="24"/>
  <c r="R18" i="24"/>
  <c r="Q18" i="24"/>
  <c r="P18" i="24"/>
  <c r="O18" i="24"/>
  <c r="N18" i="24"/>
  <c r="M18" i="24"/>
  <c r="L18" i="24"/>
  <c r="K18" i="24"/>
  <c r="I18" i="24"/>
  <c r="H18" i="24"/>
  <c r="E18" i="24"/>
  <c r="D18" i="24"/>
  <c r="C18" i="24"/>
  <c r="B18" i="24"/>
  <c r="A18" i="24"/>
  <c r="AI17" i="24"/>
  <c r="AH17" i="24"/>
  <c r="AG17" i="24"/>
  <c r="AF17" i="24"/>
  <c r="AE17" i="24"/>
  <c r="AD17" i="24"/>
  <c r="W17" i="24"/>
  <c r="V17" i="24"/>
  <c r="U17" i="24"/>
  <c r="T17" i="24"/>
  <c r="S17" i="24"/>
  <c r="R17" i="24"/>
  <c r="Q17" i="24"/>
  <c r="P17" i="24"/>
  <c r="O17" i="24"/>
  <c r="N17" i="24"/>
  <c r="M17" i="24"/>
  <c r="L17" i="24"/>
  <c r="K17" i="24"/>
  <c r="I17" i="24"/>
  <c r="H17" i="24"/>
  <c r="E17" i="24"/>
  <c r="D17" i="24"/>
  <c r="C17" i="24"/>
  <c r="B17" i="24"/>
  <c r="A17" i="24"/>
  <c r="AI16" i="24"/>
  <c r="AH16" i="24"/>
  <c r="AG16" i="24"/>
  <c r="AF16" i="24"/>
  <c r="AE16" i="24"/>
  <c r="AD16" i="24"/>
  <c r="W16" i="24"/>
  <c r="V16" i="24"/>
  <c r="U16" i="24"/>
  <c r="T16" i="24"/>
  <c r="S16" i="24"/>
  <c r="R16" i="24"/>
  <c r="Q16" i="24"/>
  <c r="P16" i="24"/>
  <c r="O16" i="24"/>
  <c r="N16" i="24"/>
  <c r="M16" i="24"/>
  <c r="L16" i="24"/>
  <c r="K16" i="24"/>
  <c r="I16" i="24"/>
  <c r="H16" i="24"/>
  <c r="E16" i="24"/>
  <c r="D16" i="24"/>
  <c r="C16" i="24"/>
  <c r="B16" i="24"/>
  <c r="A16" i="24"/>
  <c r="AI15" i="24"/>
  <c r="AH15" i="24"/>
  <c r="AG15" i="24"/>
  <c r="AF15" i="24"/>
  <c r="AE15" i="24"/>
  <c r="AD15" i="24"/>
  <c r="W15" i="24"/>
  <c r="V15" i="24"/>
  <c r="U15" i="24"/>
  <c r="T15" i="24"/>
  <c r="S15" i="24"/>
  <c r="R15" i="24"/>
  <c r="Q15" i="24"/>
  <c r="P15" i="24"/>
  <c r="O15" i="24"/>
  <c r="N15" i="24"/>
  <c r="M15" i="24"/>
  <c r="L15" i="24"/>
  <c r="K15" i="24"/>
  <c r="I15" i="24"/>
  <c r="H15" i="24"/>
  <c r="E15" i="24"/>
  <c r="D15" i="24"/>
  <c r="C15" i="24"/>
  <c r="B15" i="24"/>
  <c r="A15" i="24"/>
  <c r="AI14" i="24"/>
  <c r="AH14" i="24"/>
  <c r="AG14" i="24"/>
  <c r="AF14" i="24"/>
  <c r="AE14" i="24"/>
  <c r="AD14" i="24"/>
  <c r="W14" i="24"/>
  <c r="V14" i="24"/>
  <c r="U14" i="24"/>
  <c r="T14" i="24"/>
  <c r="S14" i="24"/>
  <c r="R14" i="24"/>
  <c r="Q14" i="24"/>
  <c r="P14" i="24"/>
  <c r="O14" i="24"/>
  <c r="N14" i="24"/>
  <c r="M14" i="24"/>
  <c r="L14" i="24"/>
  <c r="K14" i="24"/>
  <c r="I14" i="24"/>
  <c r="H14" i="24"/>
  <c r="E14" i="24"/>
  <c r="D14" i="24"/>
  <c r="C14" i="24"/>
  <c r="B14" i="24"/>
  <c r="A14" i="24"/>
  <c r="AI13" i="24"/>
  <c r="AH13" i="24"/>
  <c r="AG13" i="24"/>
  <c r="AF13" i="24"/>
  <c r="AE13" i="24"/>
  <c r="AD13" i="24"/>
  <c r="W13" i="24"/>
  <c r="V13" i="24"/>
  <c r="U13" i="24"/>
  <c r="T13" i="24"/>
  <c r="S13" i="24"/>
  <c r="R13" i="24"/>
  <c r="Q13" i="24"/>
  <c r="P13" i="24"/>
  <c r="O13" i="24"/>
  <c r="N13" i="24"/>
  <c r="M13" i="24"/>
  <c r="L13" i="24"/>
  <c r="K13" i="24"/>
  <c r="I13" i="24"/>
  <c r="H13" i="24"/>
  <c r="E13" i="24"/>
  <c r="D13" i="24"/>
  <c r="C13" i="24"/>
  <c r="B13" i="24"/>
  <c r="A13" i="24"/>
  <c r="AI12" i="24"/>
  <c r="AH12" i="24"/>
  <c r="AG12" i="24"/>
  <c r="AF12" i="24"/>
  <c r="AE12" i="24"/>
  <c r="AD12" i="24"/>
  <c r="W12" i="24"/>
  <c r="V12" i="24"/>
  <c r="U12" i="24"/>
  <c r="T12" i="24"/>
  <c r="S12" i="24"/>
  <c r="R12" i="24"/>
  <c r="Q12" i="24"/>
  <c r="P12" i="24"/>
  <c r="O12" i="24"/>
  <c r="N12" i="24"/>
  <c r="M12" i="24"/>
  <c r="L12" i="24"/>
  <c r="K12" i="24"/>
  <c r="I12" i="24"/>
  <c r="H12" i="24"/>
  <c r="E12" i="24"/>
  <c r="D12" i="24"/>
  <c r="C12" i="24"/>
  <c r="B12" i="24"/>
  <c r="A12" i="24"/>
  <c r="AI11" i="24"/>
  <c r="AH11" i="24"/>
  <c r="AG11" i="24"/>
  <c r="AF11" i="24"/>
  <c r="AE11" i="24"/>
  <c r="AD11" i="24"/>
  <c r="W11" i="24"/>
  <c r="V11" i="24"/>
  <c r="U11" i="24"/>
  <c r="T11" i="24"/>
  <c r="S11" i="24"/>
  <c r="R11" i="24"/>
  <c r="Q11" i="24"/>
  <c r="P11" i="24"/>
  <c r="O11" i="24"/>
  <c r="N11" i="24"/>
  <c r="M11" i="24"/>
  <c r="L11" i="24"/>
  <c r="K11" i="24"/>
  <c r="I11" i="24"/>
  <c r="H11" i="24"/>
  <c r="E11" i="24"/>
  <c r="D11" i="24"/>
  <c r="C11" i="24"/>
  <c r="B11" i="24"/>
  <c r="A11" i="24"/>
  <c r="AI10" i="24"/>
  <c r="AH10" i="24"/>
  <c r="AG10" i="24"/>
  <c r="AF10" i="24"/>
  <c r="AE10" i="24"/>
  <c r="AD10" i="24"/>
  <c r="W10" i="24"/>
  <c r="V10" i="24"/>
  <c r="U10" i="24"/>
  <c r="T10" i="24"/>
  <c r="S10" i="24"/>
  <c r="R10" i="24"/>
  <c r="Q10" i="24"/>
  <c r="P10" i="24"/>
  <c r="O10" i="24"/>
  <c r="N10" i="24"/>
  <c r="M10" i="24"/>
  <c r="L10" i="24"/>
  <c r="K10" i="24"/>
  <c r="I10" i="24"/>
  <c r="H10" i="24"/>
  <c r="E10" i="24"/>
  <c r="D10" i="24"/>
  <c r="C10" i="24"/>
  <c r="B10" i="24"/>
  <c r="A10" i="24"/>
  <c r="AI9" i="24"/>
  <c r="AH9" i="24"/>
  <c r="AG9" i="24"/>
  <c r="AF9" i="24"/>
  <c r="AE9" i="24"/>
  <c r="AD9" i="24"/>
  <c r="W9" i="24"/>
  <c r="V9" i="24"/>
  <c r="U9" i="24"/>
  <c r="T9" i="24"/>
  <c r="S9" i="24"/>
  <c r="R9" i="24"/>
  <c r="Q9" i="24"/>
  <c r="P9" i="24"/>
  <c r="O9" i="24"/>
  <c r="N9" i="24"/>
  <c r="M9" i="24"/>
  <c r="L9" i="24"/>
  <c r="K9" i="24"/>
  <c r="I9" i="24"/>
  <c r="H9" i="24"/>
  <c r="E9" i="24"/>
  <c r="D9" i="24"/>
  <c r="C9" i="24"/>
  <c r="B9" i="24"/>
  <c r="A9" i="24"/>
  <c r="AI8" i="24"/>
  <c r="AH8" i="24"/>
  <c r="AG8" i="24"/>
  <c r="AF8" i="24"/>
  <c r="AE8" i="24"/>
  <c r="AD8" i="24"/>
  <c r="W8" i="24"/>
  <c r="V8" i="24"/>
  <c r="U8" i="24"/>
  <c r="T8" i="24"/>
  <c r="S8" i="24"/>
  <c r="R8" i="24"/>
  <c r="Q8" i="24"/>
  <c r="P8" i="24"/>
  <c r="O8" i="24"/>
  <c r="N8" i="24"/>
  <c r="M8" i="24"/>
  <c r="L8" i="24"/>
  <c r="K8" i="24"/>
  <c r="I8" i="24"/>
  <c r="H8" i="24"/>
  <c r="E8" i="24"/>
  <c r="D8" i="24"/>
  <c r="C8" i="24"/>
  <c r="B8" i="24"/>
  <c r="A8" i="24"/>
  <c r="AI7" i="24"/>
  <c r="AH7" i="24"/>
  <c r="AG7" i="24"/>
  <c r="AF7" i="24"/>
  <c r="AE7" i="24"/>
  <c r="AD7" i="24"/>
  <c r="W7" i="24"/>
  <c r="V7" i="24"/>
  <c r="U7" i="24"/>
  <c r="T7" i="24"/>
  <c r="S7" i="24"/>
  <c r="R7" i="24"/>
  <c r="Q7" i="24"/>
  <c r="P7" i="24"/>
  <c r="O7" i="24"/>
  <c r="N7" i="24"/>
  <c r="M7" i="24"/>
  <c r="L7" i="24"/>
  <c r="K7" i="24"/>
  <c r="I7" i="24"/>
  <c r="H7" i="24"/>
  <c r="E7" i="24"/>
  <c r="D7" i="24"/>
  <c r="C7" i="24"/>
  <c r="B7" i="24"/>
  <c r="A7" i="24"/>
  <c r="AI6" i="24"/>
  <c r="AH6" i="24"/>
  <c r="AG6" i="24"/>
  <c r="AF6" i="24"/>
  <c r="AE6" i="24"/>
  <c r="AD6" i="24"/>
  <c r="W6" i="24"/>
  <c r="V6" i="24"/>
  <c r="U6" i="24"/>
  <c r="T6" i="24"/>
  <c r="S6" i="24"/>
  <c r="R6" i="24"/>
  <c r="Q6" i="24"/>
  <c r="P6" i="24"/>
  <c r="O6" i="24"/>
  <c r="N6" i="24"/>
  <c r="M6" i="24"/>
  <c r="L6" i="24"/>
  <c r="K6" i="24"/>
  <c r="I6" i="24"/>
  <c r="H6" i="24"/>
  <c r="E6" i="24"/>
  <c r="D6" i="24"/>
  <c r="C6" i="24"/>
  <c r="B6" i="24"/>
  <c r="A6" i="24"/>
  <c r="AI5" i="24"/>
  <c r="AH5" i="24"/>
  <c r="AG5" i="24"/>
  <c r="AF5" i="24"/>
  <c r="AE5" i="24"/>
  <c r="AD5" i="24"/>
  <c r="W5" i="24"/>
  <c r="V5" i="24"/>
  <c r="U5" i="24"/>
  <c r="T5" i="24"/>
  <c r="S5" i="24"/>
  <c r="R5" i="24"/>
  <c r="Q5" i="24"/>
  <c r="P5" i="24"/>
  <c r="O5" i="24"/>
  <c r="N5" i="24"/>
  <c r="M5" i="24"/>
  <c r="L5" i="24"/>
  <c r="K5" i="24"/>
  <c r="I5" i="24"/>
  <c r="H5" i="24"/>
  <c r="E5" i="24"/>
  <c r="D5" i="24"/>
  <c r="C5" i="24"/>
  <c r="B5" i="24"/>
  <c r="A5" i="24"/>
  <c r="AI4" i="24"/>
  <c r="AH4" i="24"/>
  <c r="AG4" i="24"/>
  <c r="AF4" i="24"/>
  <c r="AE4" i="24"/>
  <c r="AD4" i="24"/>
  <c r="W4" i="24"/>
  <c r="V4" i="24"/>
  <c r="U4" i="24"/>
  <c r="T4" i="24"/>
  <c r="S4" i="24"/>
  <c r="R4" i="24"/>
  <c r="Q4" i="24"/>
  <c r="P4" i="24"/>
  <c r="O4" i="24"/>
  <c r="N4" i="24"/>
  <c r="M4" i="24"/>
  <c r="L4" i="24"/>
  <c r="K4" i="24"/>
  <c r="I4" i="24"/>
  <c r="H4" i="24"/>
  <c r="E4" i="24"/>
  <c r="D4" i="24"/>
  <c r="C4" i="24"/>
  <c r="B4" i="24"/>
  <c r="A4" i="24"/>
  <c r="AI3" i="24"/>
  <c r="AH3" i="24"/>
  <c r="AG3" i="24"/>
  <c r="AF3" i="24"/>
  <c r="AE3" i="24"/>
  <c r="AD3" i="24"/>
  <c r="W3" i="24"/>
  <c r="V3" i="24"/>
  <c r="U3" i="24"/>
  <c r="T3" i="24"/>
  <c r="S3" i="24"/>
  <c r="R3" i="24"/>
  <c r="Q3" i="24"/>
  <c r="P3" i="24"/>
  <c r="O3" i="24"/>
  <c r="N3" i="24"/>
  <c r="M3" i="24"/>
  <c r="L3" i="24"/>
  <c r="K3" i="24"/>
  <c r="I3" i="24"/>
  <c r="H3" i="24"/>
  <c r="E3" i="24"/>
  <c r="D3" i="24"/>
  <c r="C3" i="24"/>
  <c r="B3" i="24"/>
  <c r="A3" i="24"/>
  <c r="AI2" i="24"/>
  <c r="AH2" i="24"/>
  <c r="AG2" i="24"/>
  <c r="AF2" i="24"/>
  <c r="AE2" i="24"/>
  <c r="AD2" i="24"/>
  <c r="W2" i="24"/>
  <c r="V2" i="24"/>
  <c r="U2" i="24"/>
  <c r="T2" i="24"/>
  <c r="S2" i="24"/>
  <c r="R2" i="24"/>
  <c r="Q2" i="24"/>
  <c r="P2" i="24"/>
  <c r="O2" i="24"/>
  <c r="N2" i="24"/>
  <c r="M2" i="24"/>
  <c r="L2" i="24"/>
  <c r="K2" i="24"/>
  <c r="I2" i="24"/>
  <c r="H2" i="24"/>
  <c r="E2" i="24"/>
  <c r="D2" i="24"/>
  <c r="C2" i="24"/>
  <c r="B2" i="24"/>
  <c r="A2" i="24"/>
  <c r="BB2" i="25"/>
  <c r="BA2" i="25"/>
  <c r="AZ2" i="25"/>
  <c r="AY2" i="25"/>
  <c r="AX2" i="25"/>
  <c r="AW2" i="25"/>
  <c r="AV2" i="25"/>
  <c r="AU2" i="25"/>
  <c r="AT2" i="25"/>
  <c r="AS2" i="25"/>
  <c r="AR2" i="25"/>
  <c r="AQ2" i="25"/>
  <c r="AP2" i="25"/>
  <c r="AO2" i="25"/>
  <c r="AN2" i="25"/>
  <c r="AM2" i="25"/>
  <c r="AL2" i="25"/>
  <c r="AK2" i="25"/>
  <c r="AJ2" i="25"/>
  <c r="AI2" i="25"/>
  <c r="AH2" i="25"/>
  <c r="AG2" i="25"/>
  <c r="AF2" i="25"/>
  <c r="AE2" i="25"/>
  <c r="AD2" i="25"/>
  <c r="J2" i="25" s="1"/>
  <c r="J47" i="16" s="1"/>
  <c r="AC2" i="25"/>
  <c r="AB2" i="25"/>
  <c r="AA2" i="25"/>
  <c r="W2" i="25"/>
  <c r="V2" i="25"/>
  <c r="U2" i="25"/>
  <c r="T2" i="25"/>
  <c r="S2" i="25"/>
  <c r="R2" i="25"/>
  <c r="Q2" i="25"/>
  <c r="P2" i="25"/>
  <c r="O2" i="25"/>
  <c r="N2" i="25"/>
  <c r="M2" i="25"/>
  <c r="L2" i="25"/>
  <c r="K2" i="25"/>
  <c r="I2" i="25"/>
  <c r="H2" i="25"/>
  <c r="E2" i="25"/>
  <c r="D2" i="25"/>
  <c r="C2" i="25"/>
  <c r="B2" i="25"/>
  <c r="A2" i="25"/>
  <c r="AH26" i="26"/>
  <c r="AG26" i="26"/>
  <c r="AF26" i="26"/>
  <c r="AE26" i="26"/>
  <c r="AD26" i="26"/>
  <c r="AB26" i="26"/>
  <c r="W26" i="26"/>
  <c r="V26" i="26"/>
  <c r="U26" i="26"/>
  <c r="T26" i="26"/>
  <c r="S26" i="26"/>
  <c r="R26" i="26"/>
  <c r="Q26" i="26"/>
  <c r="P26" i="26"/>
  <c r="O26" i="26"/>
  <c r="N26" i="26"/>
  <c r="M26" i="26"/>
  <c r="L26" i="26"/>
  <c r="K26" i="26"/>
  <c r="I26" i="26"/>
  <c r="H26" i="26"/>
  <c r="E26" i="26"/>
  <c r="D26" i="26"/>
  <c r="C26" i="26"/>
  <c r="B26" i="26"/>
  <c r="A26" i="26"/>
  <c r="AH25" i="26"/>
  <c r="AG25" i="26"/>
  <c r="AF25" i="26"/>
  <c r="AE25" i="26"/>
  <c r="AD25" i="26"/>
  <c r="AB25" i="26"/>
  <c r="W25" i="26"/>
  <c r="V25" i="26"/>
  <c r="U25" i="26"/>
  <c r="T25" i="26"/>
  <c r="S25" i="26"/>
  <c r="R25" i="26"/>
  <c r="Q25" i="26"/>
  <c r="P25" i="26"/>
  <c r="O25" i="26"/>
  <c r="N25" i="26"/>
  <c r="M25" i="26"/>
  <c r="L25" i="26"/>
  <c r="K25" i="26"/>
  <c r="I25" i="26"/>
  <c r="H25" i="26"/>
  <c r="E25" i="26"/>
  <c r="D25" i="26"/>
  <c r="C25" i="26"/>
  <c r="B25" i="26"/>
  <c r="A25" i="26"/>
  <c r="AH24" i="26"/>
  <c r="AG24" i="26"/>
  <c r="AF24" i="26"/>
  <c r="AE24" i="26"/>
  <c r="AD24" i="26"/>
  <c r="AB24" i="26"/>
  <c r="W24" i="26"/>
  <c r="V24" i="26"/>
  <c r="U24" i="26"/>
  <c r="T24" i="26"/>
  <c r="S24" i="26"/>
  <c r="R24" i="26"/>
  <c r="Q24" i="26"/>
  <c r="P24" i="26"/>
  <c r="O24" i="26"/>
  <c r="N24" i="26"/>
  <c r="M24" i="26"/>
  <c r="L24" i="26"/>
  <c r="K24" i="26"/>
  <c r="I24" i="26"/>
  <c r="H24" i="26"/>
  <c r="E24" i="26"/>
  <c r="D24" i="26"/>
  <c r="C24" i="26"/>
  <c r="B24" i="26"/>
  <c r="A24" i="26"/>
  <c r="AH23" i="26"/>
  <c r="AG23" i="26"/>
  <c r="AF23" i="26"/>
  <c r="AE23" i="26"/>
  <c r="AD23" i="26"/>
  <c r="AB23" i="26"/>
  <c r="W23" i="26"/>
  <c r="V23" i="26"/>
  <c r="U23" i="26"/>
  <c r="T23" i="26"/>
  <c r="S23" i="26"/>
  <c r="R23" i="26"/>
  <c r="Q23" i="26"/>
  <c r="P23" i="26"/>
  <c r="O23" i="26"/>
  <c r="N23" i="26"/>
  <c r="M23" i="26"/>
  <c r="L23" i="26"/>
  <c r="K23" i="26"/>
  <c r="I23" i="26"/>
  <c r="H23" i="26"/>
  <c r="E23" i="26"/>
  <c r="D23" i="26"/>
  <c r="C23" i="26"/>
  <c r="B23" i="26"/>
  <c r="A23" i="26"/>
  <c r="AH22" i="26"/>
  <c r="AG22" i="26"/>
  <c r="AF22" i="26"/>
  <c r="AE22" i="26"/>
  <c r="AD22" i="26"/>
  <c r="AB22" i="26"/>
  <c r="W22" i="26"/>
  <c r="V22" i="26"/>
  <c r="U22" i="26"/>
  <c r="T22" i="26"/>
  <c r="S22" i="26"/>
  <c r="R22" i="26"/>
  <c r="Q22" i="26"/>
  <c r="P22" i="26"/>
  <c r="O22" i="26"/>
  <c r="N22" i="26"/>
  <c r="M22" i="26"/>
  <c r="L22" i="26"/>
  <c r="K22" i="26"/>
  <c r="I22" i="26"/>
  <c r="H22" i="26"/>
  <c r="E22" i="26"/>
  <c r="D22" i="26"/>
  <c r="C22" i="26"/>
  <c r="B22" i="26"/>
  <c r="A22" i="26"/>
  <c r="AH21" i="26"/>
  <c r="AG21" i="26"/>
  <c r="AF21" i="26"/>
  <c r="AE21" i="26"/>
  <c r="AD21" i="26"/>
  <c r="AB21" i="26"/>
  <c r="W21" i="26"/>
  <c r="V21" i="26"/>
  <c r="U21" i="26"/>
  <c r="T21" i="26"/>
  <c r="S21" i="26"/>
  <c r="R21" i="26"/>
  <c r="Q21" i="26"/>
  <c r="P21" i="26"/>
  <c r="O21" i="26"/>
  <c r="N21" i="26"/>
  <c r="M21" i="26"/>
  <c r="L21" i="26"/>
  <c r="K21" i="26"/>
  <c r="I21" i="26"/>
  <c r="H21" i="26"/>
  <c r="E21" i="26"/>
  <c r="D21" i="26"/>
  <c r="C21" i="26"/>
  <c r="B21" i="26"/>
  <c r="A21" i="26"/>
  <c r="AH20" i="26"/>
  <c r="AG20" i="26"/>
  <c r="AF20" i="26"/>
  <c r="AE20" i="26"/>
  <c r="AD20" i="26"/>
  <c r="AB20" i="26"/>
  <c r="W20" i="26"/>
  <c r="V20" i="26"/>
  <c r="U20" i="26"/>
  <c r="T20" i="26"/>
  <c r="S20" i="26"/>
  <c r="R20" i="26"/>
  <c r="Q20" i="26"/>
  <c r="P20" i="26"/>
  <c r="O20" i="26"/>
  <c r="N20" i="26"/>
  <c r="M20" i="26"/>
  <c r="L20" i="26"/>
  <c r="K20" i="26"/>
  <c r="I20" i="26"/>
  <c r="H20" i="26"/>
  <c r="E20" i="26"/>
  <c r="D20" i="26"/>
  <c r="C20" i="26"/>
  <c r="B20" i="26"/>
  <c r="A20" i="26"/>
  <c r="AH19" i="26"/>
  <c r="AG19" i="26"/>
  <c r="AF19" i="26"/>
  <c r="AE19" i="26"/>
  <c r="AD19" i="26"/>
  <c r="AB19" i="26"/>
  <c r="W19" i="26"/>
  <c r="V19" i="26"/>
  <c r="U19" i="26"/>
  <c r="T19" i="26"/>
  <c r="S19" i="26"/>
  <c r="R19" i="26"/>
  <c r="Q19" i="26"/>
  <c r="P19" i="26"/>
  <c r="O19" i="26"/>
  <c r="N19" i="26"/>
  <c r="M19" i="26"/>
  <c r="L19" i="26"/>
  <c r="K19" i="26"/>
  <c r="I19" i="26"/>
  <c r="H19" i="26"/>
  <c r="E19" i="26"/>
  <c r="D19" i="26"/>
  <c r="C19" i="26"/>
  <c r="B19" i="26"/>
  <c r="A19" i="26"/>
  <c r="AH18" i="26"/>
  <c r="AG18" i="26"/>
  <c r="AF18" i="26"/>
  <c r="AE18" i="26"/>
  <c r="AD18" i="26"/>
  <c r="AB18" i="26"/>
  <c r="W18" i="26"/>
  <c r="V18" i="26"/>
  <c r="U18" i="26"/>
  <c r="T18" i="26"/>
  <c r="S18" i="26"/>
  <c r="R18" i="26"/>
  <c r="Q18" i="26"/>
  <c r="P18" i="26"/>
  <c r="O18" i="26"/>
  <c r="N18" i="26"/>
  <c r="M18" i="26"/>
  <c r="L18" i="26"/>
  <c r="K18" i="26"/>
  <c r="I18" i="26"/>
  <c r="H18" i="26"/>
  <c r="E18" i="26"/>
  <c r="D18" i="26"/>
  <c r="C18" i="26"/>
  <c r="B18" i="26"/>
  <c r="A18" i="26"/>
  <c r="AH17" i="26"/>
  <c r="AG17" i="26"/>
  <c r="AF17" i="26"/>
  <c r="AE17" i="26"/>
  <c r="AD17" i="26"/>
  <c r="AB17" i="26"/>
  <c r="W17" i="26"/>
  <c r="V17" i="26"/>
  <c r="U17" i="26"/>
  <c r="T17" i="26"/>
  <c r="S17" i="26"/>
  <c r="R17" i="26"/>
  <c r="Q17" i="26"/>
  <c r="P17" i="26"/>
  <c r="O17" i="26"/>
  <c r="N17" i="26"/>
  <c r="M17" i="26"/>
  <c r="L17" i="26"/>
  <c r="K17" i="26"/>
  <c r="I17" i="26"/>
  <c r="H17" i="26"/>
  <c r="E17" i="26"/>
  <c r="D17" i="26"/>
  <c r="C17" i="26"/>
  <c r="B17" i="26"/>
  <c r="A17" i="26"/>
  <c r="AH16" i="26"/>
  <c r="AG16" i="26"/>
  <c r="AF16" i="26"/>
  <c r="AE16" i="26"/>
  <c r="AD16" i="26"/>
  <c r="AB16" i="26"/>
  <c r="W16" i="26"/>
  <c r="V16" i="26"/>
  <c r="U16" i="26"/>
  <c r="T16" i="26"/>
  <c r="S16" i="26"/>
  <c r="R16" i="26"/>
  <c r="Q16" i="26"/>
  <c r="P16" i="26"/>
  <c r="O16" i="26"/>
  <c r="N16" i="26"/>
  <c r="M16" i="26"/>
  <c r="L16" i="26"/>
  <c r="K16" i="26"/>
  <c r="I16" i="26"/>
  <c r="H16" i="26"/>
  <c r="E16" i="26"/>
  <c r="D16" i="26"/>
  <c r="C16" i="26"/>
  <c r="B16" i="26"/>
  <c r="A16" i="26"/>
  <c r="AH15" i="26"/>
  <c r="AG15" i="26"/>
  <c r="AF15" i="26"/>
  <c r="AE15" i="26"/>
  <c r="AD15" i="26"/>
  <c r="AB15" i="26"/>
  <c r="W15" i="26"/>
  <c r="V15" i="26"/>
  <c r="U15" i="26"/>
  <c r="T15" i="26"/>
  <c r="S15" i="26"/>
  <c r="R15" i="26"/>
  <c r="Q15" i="26"/>
  <c r="P15" i="26"/>
  <c r="O15" i="26"/>
  <c r="N15" i="26"/>
  <c r="M15" i="26"/>
  <c r="L15" i="26"/>
  <c r="K15" i="26"/>
  <c r="I15" i="26"/>
  <c r="H15" i="26"/>
  <c r="E15" i="26"/>
  <c r="D15" i="26"/>
  <c r="C15" i="26"/>
  <c r="B15" i="26"/>
  <c r="A15" i="26"/>
  <c r="AH14" i="26"/>
  <c r="AG14" i="26"/>
  <c r="AF14" i="26"/>
  <c r="AE14" i="26"/>
  <c r="AD14" i="26"/>
  <c r="AB14" i="26"/>
  <c r="W14" i="26"/>
  <c r="V14" i="26"/>
  <c r="U14" i="26"/>
  <c r="T14" i="26"/>
  <c r="S14" i="26"/>
  <c r="R14" i="26"/>
  <c r="Q14" i="26"/>
  <c r="P14" i="26"/>
  <c r="O14" i="26"/>
  <c r="N14" i="26"/>
  <c r="M14" i="26"/>
  <c r="L14" i="26"/>
  <c r="K14" i="26"/>
  <c r="I14" i="26"/>
  <c r="H14" i="26"/>
  <c r="E14" i="26"/>
  <c r="D14" i="26"/>
  <c r="C14" i="26"/>
  <c r="B14" i="26"/>
  <c r="A14" i="26"/>
  <c r="AH13" i="26"/>
  <c r="AG13" i="26"/>
  <c r="AF13" i="26"/>
  <c r="AE13" i="26"/>
  <c r="AD13" i="26"/>
  <c r="AB13" i="26"/>
  <c r="W13" i="26"/>
  <c r="V13" i="26"/>
  <c r="U13" i="26"/>
  <c r="T13" i="26"/>
  <c r="S13" i="26"/>
  <c r="R13" i="26"/>
  <c r="Q13" i="26"/>
  <c r="P13" i="26"/>
  <c r="O13" i="26"/>
  <c r="N13" i="26"/>
  <c r="M13" i="26"/>
  <c r="L13" i="26"/>
  <c r="K13" i="26"/>
  <c r="I13" i="26"/>
  <c r="H13" i="26"/>
  <c r="E13" i="26"/>
  <c r="D13" i="26"/>
  <c r="C13" i="26"/>
  <c r="B13" i="26"/>
  <c r="A13" i="26"/>
  <c r="AH12" i="26"/>
  <c r="AG12" i="26"/>
  <c r="AF12" i="26"/>
  <c r="AE12" i="26"/>
  <c r="AD12" i="26"/>
  <c r="AB12" i="26"/>
  <c r="W12" i="26"/>
  <c r="V12" i="26"/>
  <c r="U12" i="26"/>
  <c r="T12" i="26"/>
  <c r="S12" i="26"/>
  <c r="R12" i="26"/>
  <c r="Q12" i="26"/>
  <c r="P12" i="26"/>
  <c r="O12" i="26"/>
  <c r="N12" i="26"/>
  <c r="M12" i="26"/>
  <c r="L12" i="26"/>
  <c r="K12" i="26"/>
  <c r="I12" i="26"/>
  <c r="H12" i="26"/>
  <c r="E12" i="26"/>
  <c r="D12" i="26"/>
  <c r="C12" i="26"/>
  <c r="B12" i="26"/>
  <c r="A12" i="26"/>
  <c r="AH11" i="26"/>
  <c r="AG11" i="26"/>
  <c r="AF11" i="26"/>
  <c r="AE11" i="26"/>
  <c r="AD11" i="26"/>
  <c r="AC11" i="26"/>
  <c r="AB11" i="26"/>
  <c r="W11" i="26"/>
  <c r="V11" i="26"/>
  <c r="U11" i="26"/>
  <c r="T11" i="26"/>
  <c r="S11" i="26"/>
  <c r="R11" i="26"/>
  <c r="Q11" i="26"/>
  <c r="P11" i="26"/>
  <c r="O11" i="26"/>
  <c r="N11" i="26"/>
  <c r="M11" i="26"/>
  <c r="L11" i="26"/>
  <c r="K11" i="26"/>
  <c r="I11" i="26"/>
  <c r="H11" i="26"/>
  <c r="E11" i="26"/>
  <c r="D11" i="26"/>
  <c r="C11" i="26"/>
  <c r="B11" i="26"/>
  <c r="A11" i="26"/>
  <c r="AH10" i="26"/>
  <c r="AG10" i="26"/>
  <c r="AF10" i="26"/>
  <c r="AE10" i="26"/>
  <c r="AD10" i="26"/>
  <c r="AC10" i="26"/>
  <c r="AB10" i="26"/>
  <c r="W10" i="26"/>
  <c r="V10" i="26"/>
  <c r="U10" i="26"/>
  <c r="T10" i="26"/>
  <c r="S10" i="26"/>
  <c r="R10" i="26"/>
  <c r="Q10" i="26"/>
  <c r="P10" i="26"/>
  <c r="O10" i="26"/>
  <c r="N10" i="26"/>
  <c r="M10" i="26"/>
  <c r="L10" i="26"/>
  <c r="K10" i="26"/>
  <c r="I10" i="26"/>
  <c r="H10" i="26"/>
  <c r="E10" i="26"/>
  <c r="D10" i="26"/>
  <c r="C10" i="26"/>
  <c r="B10" i="26"/>
  <c r="A10" i="26"/>
  <c r="AH9" i="26"/>
  <c r="AG9" i="26"/>
  <c r="AF9" i="26"/>
  <c r="AE9" i="26"/>
  <c r="AD9" i="26"/>
  <c r="AC9" i="26"/>
  <c r="AB9" i="26"/>
  <c r="W9" i="26"/>
  <c r="V9" i="26"/>
  <c r="U9" i="26"/>
  <c r="T9" i="26"/>
  <c r="S9" i="26"/>
  <c r="R9" i="26"/>
  <c r="Q9" i="26"/>
  <c r="P9" i="26"/>
  <c r="O9" i="26"/>
  <c r="N9" i="26"/>
  <c r="M9" i="26"/>
  <c r="L9" i="26"/>
  <c r="K9" i="26"/>
  <c r="I9" i="26"/>
  <c r="H9" i="26"/>
  <c r="E9" i="26"/>
  <c r="D9" i="26"/>
  <c r="C9" i="26"/>
  <c r="B9" i="26"/>
  <c r="A9" i="26"/>
  <c r="AH8" i="26"/>
  <c r="AG8" i="26"/>
  <c r="AF8" i="26"/>
  <c r="AE8" i="26"/>
  <c r="AD8" i="26"/>
  <c r="AC8" i="26"/>
  <c r="AB8" i="26"/>
  <c r="W8" i="26"/>
  <c r="V8" i="26"/>
  <c r="U8" i="26"/>
  <c r="T8" i="26"/>
  <c r="S8" i="26"/>
  <c r="R8" i="26"/>
  <c r="Q8" i="26"/>
  <c r="P8" i="26"/>
  <c r="O8" i="26"/>
  <c r="N8" i="26"/>
  <c r="M8" i="26"/>
  <c r="L8" i="26"/>
  <c r="K8" i="26"/>
  <c r="I8" i="26"/>
  <c r="H8" i="26"/>
  <c r="E8" i="26"/>
  <c r="D8" i="26"/>
  <c r="C8" i="26"/>
  <c r="B8" i="26"/>
  <c r="A8" i="26"/>
  <c r="AH7" i="26"/>
  <c r="AG7" i="26"/>
  <c r="AF7" i="26"/>
  <c r="AE7" i="26"/>
  <c r="AD7" i="26"/>
  <c r="AC7" i="26"/>
  <c r="AB7" i="26"/>
  <c r="W7" i="26"/>
  <c r="V7" i="26"/>
  <c r="U7" i="26"/>
  <c r="T7" i="26"/>
  <c r="S7" i="26"/>
  <c r="R7" i="26"/>
  <c r="Q7" i="26"/>
  <c r="P7" i="26"/>
  <c r="O7" i="26"/>
  <c r="N7" i="26"/>
  <c r="M7" i="26"/>
  <c r="L7" i="26"/>
  <c r="K7" i="26"/>
  <c r="I7" i="26"/>
  <c r="H7" i="26"/>
  <c r="E7" i="26"/>
  <c r="D7" i="26"/>
  <c r="C7" i="26"/>
  <c r="B7" i="26"/>
  <c r="A7" i="26"/>
  <c r="AH6" i="26"/>
  <c r="AG6" i="26"/>
  <c r="AF6" i="26"/>
  <c r="AE6" i="26"/>
  <c r="AD6" i="26"/>
  <c r="AC6" i="26"/>
  <c r="AB6" i="26"/>
  <c r="W6" i="26"/>
  <c r="V6" i="26"/>
  <c r="U6" i="26"/>
  <c r="T6" i="26"/>
  <c r="S6" i="26"/>
  <c r="R6" i="26"/>
  <c r="Q6" i="26"/>
  <c r="P6" i="26"/>
  <c r="O6" i="26"/>
  <c r="N6" i="26"/>
  <c r="M6" i="26"/>
  <c r="L6" i="26"/>
  <c r="K6" i="26"/>
  <c r="I6" i="26"/>
  <c r="H6" i="26"/>
  <c r="E6" i="26"/>
  <c r="D6" i="26"/>
  <c r="C6" i="26"/>
  <c r="B6" i="26"/>
  <c r="A6" i="26"/>
  <c r="AH5" i="26"/>
  <c r="AG5" i="26"/>
  <c r="AF5" i="26"/>
  <c r="AE5" i="26"/>
  <c r="AD5" i="26"/>
  <c r="AC5" i="26"/>
  <c r="AB5" i="26"/>
  <c r="W5" i="26"/>
  <c r="V5" i="26"/>
  <c r="U5" i="26"/>
  <c r="T5" i="26"/>
  <c r="S5" i="26"/>
  <c r="R5" i="26"/>
  <c r="Q5" i="26"/>
  <c r="P5" i="26"/>
  <c r="O5" i="26"/>
  <c r="N5" i="26"/>
  <c r="M5" i="26"/>
  <c r="L5" i="26"/>
  <c r="K5" i="26"/>
  <c r="I5" i="26"/>
  <c r="H5" i="26"/>
  <c r="E5" i="26"/>
  <c r="D5" i="26"/>
  <c r="C5" i="26"/>
  <c r="B5" i="26"/>
  <c r="A5" i="26"/>
  <c r="AH4" i="26"/>
  <c r="AG4" i="26"/>
  <c r="AF4" i="26"/>
  <c r="AE4" i="26"/>
  <c r="AD4" i="26"/>
  <c r="AC4" i="26"/>
  <c r="AB4" i="26"/>
  <c r="W4" i="26"/>
  <c r="V4" i="26"/>
  <c r="U4" i="26"/>
  <c r="T4" i="26"/>
  <c r="S4" i="26"/>
  <c r="R4" i="26"/>
  <c r="Q4" i="26"/>
  <c r="P4" i="26"/>
  <c r="O4" i="26"/>
  <c r="N4" i="26"/>
  <c r="M4" i="26"/>
  <c r="L4" i="26"/>
  <c r="K4" i="26"/>
  <c r="I4" i="26"/>
  <c r="H4" i="26"/>
  <c r="E4" i="26"/>
  <c r="D4" i="26"/>
  <c r="C4" i="26"/>
  <c r="B4" i="26"/>
  <c r="A4" i="26"/>
  <c r="AH3" i="26"/>
  <c r="AG3" i="26"/>
  <c r="AF3" i="26"/>
  <c r="AE3" i="26"/>
  <c r="AD3" i="26"/>
  <c r="AC3" i="26"/>
  <c r="AB3" i="26"/>
  <c r="W3" i="26"/>
  <c r="V3" i="26"/>
  <c r="U3" i="26"/>
  <c r="T3" i="26"/>
  <c r="S3" i="26"/>
  <c r="R3" i="26"/>
  <c r="Q3" i="26"/>
  <c r="P3" i="26"/>
  <c r="O3" i="26"/>
  <c r="N3" i="26"/>
  <c r="M3" i="26"/>
  <c r="L3" i="26"/>
  <c r="K3" i="26"/>
  <c r="I3" i="26"/>
  <c r="H3" i="26"/>
  <c r="E3" i="26"/>
  <c r="D3" i="26"/>
  <c r="C3" i="26"/>
  <c r="B3" i="26"/>
  <c r="A3" i="26"/>
  <c r="AH2" i="26"/>
  <c r="AG2" i="26"/>
  <c r="AF2" i="26"/>
  <c r="AE2" i="26"/>
  <c r="AD2" i="26"/>
  <c r="AC2" i="26"/>
  <c r="AB2" i="26"/>
  <c r="W2" i="26"/>
  <c r="V2" i="26"/>
  <c r="U2" i="26"/>
  <c r="T2" i="26"/>
  <c r="S2" i="26"/>
  <c r="R2" i="26"/>
  <c r="Q2" i="26"/>
  <c r="P2" i="26"/>
  <c r="O2" i="26"/>
  <c r="N2" i="26"/>
  <c r="M2" i="26"/>
  <c r="L2" i="26"/>
  <c r="K2" i="26"/>
  <c r="I2" i="26"/>
  <c r="H2" i="26"/>
  <c r="E2" i="26"/>
  <c r="D2" i="26"/>
  <c r="C2" i="26"/>
  <c r="B2" i="26"/>
  <c r="A2" i="26"/>
  <c r="DT2" i="27"/>
  <c r="DS2" i="27"/>
  <c r="DR2" i="27"/>
  <c r="DQ2" i="27"/>
  <c r="DP2" i="27"/>
  <c r="DO2" i="27"/>
  <c r="DN2" i="27"/>
  <c r="DM2" i="27"/>
  <c r="DL2" i="27"/>
  <c r="DK2" i="27"/>
  <c r="DJ2" i="27"/>
  <c r="DI2" i="27"/>
  <c r="DH2" i="27"/>
  <c r="DG2" i="27"/>
  <c r="DF2" i="27"/>
  <c r="DE2" i="27"/>
  <c r="DD2" i="27"/>
  <c r="DC2" i="27"/>
  <c r="DB2" i="27"/>
  <c r="DA2" i="27"/>
  <c r="CZ2" i="27"/>
  <c r="CY2" i="27"/>
  <c r="CX2" i="27"/>
  <c r="CW2" i="27"/>
  <c r="CV2" i="27"/>
  <c r="CU2" i="27"/>
  <c r="CT2" i="27"/>
  <c r="CS2" i="27"/>
  <c r="CR2" i="27"/>
  <c r="CQ2" i="27"/>
  <c r="CP2" i="27"/>
  <c r="CO2" i="27"/>
  <c r="CN2" i="27"/>
  <c r="CM2" i="27"/>
  <c r="CL2" i="27"/>
  <c r="CK2" i="27"/>
  <c r="CJ2" i="27"/>
  <c r="CI2" i="27"/>
  <c r="CH2" i="27"/>
  <c r="CG2" i="27"/>
  <c r="CF2" i="27"/>
  <c r="CE2" i="27"/>
  <c r="CD2" i="27"/>
  <c r="CC2" i="27"/>
  <c r="CB2" i="27"/>
  <c r="CA2" i="27"/>
  <c r="BZ2" i="27"/>
  <c r="BY2" i="27"/>
  <c r="BX2" i="27"/>
  <c r="BW2" i="27"/>
  <c r="BV2" i="27"/>
  <c r="BU2" i="27"/>
  <c r="BT2" i="27"/>
  <c r="BS2" i="27"/>
  <c r="BR2" i="27"/>
  <c r="BQ2" i="27"/>
  <c r="BP2" i="27"/>
  <c r="BO2" i="27"/>
  <c r="BN2" i="27"/>
  <c r="BM2" i="27"/>
  <c r="BL2" i="27"/>
  <c r="BK2" i="27"/>
  <c r="BJ2" i="27"/>
  <c r="BI2" i="27"/>
  <c r="BH2" i="27"/>
  <c r="BG2" i="27"/>
  <c r="BF2" i="27"/>
  <c r="BE2" i="27"/>
  <c r="BD2" i="27"/>
  <c r="BC2" i="27"/>
  <c r="BB2" i="27"/>
  <c r="BA2" i="27"/>
  <c r="AZ2" i="27"/>
  <c r="AY2" i="27"/>
  <c r="AX2" i="27"/>
  <c r="AW2" i="27"/>
  <c r="AV2" i="27"/>
  <c r="AU2" i="27"/>
  <c r="AT2" i="27"/>
  <c r="AS2" i="27"/>
  <c r="AR2" i="27"/>
  <c r="AQ2" i="27"/>
  <c r="AP2" i="27"/>
  <c r="AO2" i="27"/>
  <c r="AN2" i="27"/>
  <c r="AM2" i="27"/>
  <c r="AL2" i="27"/>
  <c r="AK2" i="27"/>
  <c r="AJ2" i="27"/>
  <c r="AI2" i="27"/>
  <c r="AH2" i="27"/>
  <c r="AG2" i="27"/>
  <c r="AF2" i="27"/>
  <c r="AE2" i="27"/>
  <c r="AD2" i="27"/>
  <c r="AC2" i="27"/>
  <c r="AB2" i="27"/>
  <c r="AA2" i="27"/>
  <c r="W2" i="27"/>
  <c r="V2" i="27"/>
  <c r="U2" i="27"/>
  <c r="T2" i="27"/>
  <c r="S2" i="27"/>
  <c r="R2" i="27"/>
  <c r="Q2" i="27"/>
  <c r="P2" i="27"/>
  <c r="O2" i="27"/>
  <c r="N2" i="27"/>
  <c r="M2" i="27"/>
  <c r="L2" i="27"/>
  <c r="K2" i="27"/>
  <c r="I2" i="27"/>
  <c r="H2" i="27"/>
  <c r="E2" i="27"/>
  <c r="D2" i="27"/>
  <c r="C2" i="27"/>
  <c r="B2" i="27"/>
  <c r="A2" i="27"/>
  <c r="BU2" i="28"/>
  <c r="BT2" i="28"/>
  <c r="BS2" i="28"/>
  <c r="BR2" i="28"/>
  <c r="BQ2" i="28"/>
  <c r="BP2" i="28"/>
  <c r="BO2" i="28"/>
  <c r="BN2" i="28"/>
  <c r="BM2" i="28"/>
  <c r="BL2" i="28"/>
  <c r="BK2" i="28"/>
  <c r="BJ2" i="28"/>
  <c r="BI2" i="28"/>
  <c r="BH2" i="28"/>
  <c r="BG2" i="28"/>
  <c r="BF2" i="28"/>
  <c r="BE2" i="28"/>
  <c r="BD2" i="28"/>
  <c r="BC2" i="28"/>
  <c r="BB2" i="28"/>
  <c r="BA2" i="28"/>
  <c r="AZ2" i="28"/>
  <c r="AY2" i="28"/>
  <c r="AX2" i="28"/>
  <c r="AW2" i="28"/>
  <c r="AV2" i="28"/>
  <c r="AU2" i="28"/>
  <c r="AT2" i="28"/>
  <c r="AS2" i="28"/>
  <c r="AR2" i="28"/>
  <c r="AQ2" i="28"/>
  <c r="G2" i="28" s="1"/>
  <c r="AP2" i="28"/>
  <c r="AO2" i="28"/>
  <c r="AN2" i="28"/>
  <c r="AM2" i="28"/>
  <c r="AL2" i="28"/>
  <c r="AK2" i="28"/>
  <c r="AJ2" i="28"/>
  <c r="AI2" i="28"/>
  <c r="AH2" i="28"/>
  <c r="AG2" i="28"/>
  <c r="AF2" i="28"/>
  <c r="AE2" i="28"/>
  <c r="AD2" i="28"/>
  <c r="AC2" i="28"/>
  <c r="AB2" i="28"/>
  <c r="F2" i="28"/>
  <c r="AA2" i="28"/>
  <c r="W2" i="28"/>
  <c r="V2" i="28"/>
  <c r="U2" i="28"/>
  <c r="T2" i="28"/>
  <c r="S2" i="28"/>
  <c r="R2" i="28"/>
  <c r="Q2" i="28"/>
  <c r="P2" i="28"/>
  <c r="O2" i="28"/>
  <c r="N2" i="28"/>
  <c r="M2" i="28"/>
  <c r="L2" i="28"/>
  <c r="K2" i="28"/>
  <c r="I2" i="28"/>
  <c r="H2" i="28"/>
  <c r="E2" i="28"/>
  <c r="D2" i="28"/>
  <c r="C2" i="28"/>
  <c r="B2" i="28"/>
  <c r="A2" i="28"/>
  <c r="AR4" i="60"/>
  <c r="AU4" i="60" s="1"/>
  <c r="AM15" i="60"/>
  <c r="AT15" i="60" s="1"/>
  <c r="AF17" i="58"/>
  <c r="AF33" i="58"/>
  <c r="AF8" i="58"/>
  <c r="AF34" i="58"/>
  <c r="AF20" i="58"/>
  <c r="AF36" i="58"/>
  <c r="AF31" i="58"/>
  <c r="AF21" i="7"/>
  <c r="G14" i="59"/>
  <c r="G17" i="62"/>
  <c r="G26" i="7"/>
  <c r="G22" i="57"/>
  <c r="G33" i="11"/>
  <c r="G26" i="12"/>
  <c r="G4" i="58"/>
  <c r="G51" i="14"/>
  <c r="G51" i="59"/>
  <c r="G75" i="19"/>
  <c r="G9" i="6"/>
  <c r="G59" i="13"/>
  <c r="G19" i="14"/>
  <c r="G39" i="16"/>
  <c r="G29" i="17"/>
  <c r="G61" i="19"/>
  <c r="G19" i="10"/>
  <c r="G25" i="19"/>
  <c r="G47" i="21"/>
  <c r="G35" i="23"/>
  <c r="G26" i="26"/>
  <c r="G2" i="17"/>
  <c r="G21" i="20"/>
  <c r="G28" i="22"/>
  <c r="G33" i="61"/>
  <c r="G19" i="15"/>
  <c r="G38" i="11"/>
  <c r="G26" i="13"/>
  <c r="G35" i="20"/>
  <c r="G39" i="21"/>
  <c r="G13" i="22"/>
  <c r="G32" i="24"/>
  <c r="G14" i="58"/>
  <c r="G36" i="13"/>
  <c r="G6" i="17"/>
  <c r="G37" i="21"/>
  <c r="G22" i="24"/>
  <c r="G4" i="26"/>
  <c r="G38" i="13"/>
  <c r="G20" i="21"/>
  <c r="G5" i="15"/>
  <c r="G7" i="16"/>
  <c r="G47" i="17"/>
  <c r="G8" i="20"/>
  <c r="G44" i="23"/>
  <c r="G4" i="21"/>
  <c r="M11" i="36"/>
  <c r="AJ2" i="29" a="1"/>
  <c r="AJ82" i="29"/>
  <c r="AK180" i="29" s="1"/>
  <c r="I2" i="29"/>
  <c r="I11" i="33"/>
  <c r="J12" i="34"/>
  <c r="O10" i="39"/>
  <c r="A35" i="45"/>
  <c r="A20" i="45"/>
  <c r="A8" i="45"/>
  <c r="A62" i="46"/>
  <c r="A54" i="46"/>
  <c r="A45" i="46"/>
  <c r="A38" i="46"/>
  <c r="A29" i="46"/>
  <c r="A19" i="46"/>
  <c r="A8" i="46"/>
  <c r="A40" i="47"/>
  <c r="A31" i="47"/>
  <c r="A24" i="47"/>
  <c r="A16" i="47"/>
  <c r="A8" i="47"/>
  <c r="A59" i="48"/>
  <c r="A51" i="48"/>
  <c r="A43" i="48"/>
  <c r="A36" i="48"/>
  <c r="A27" i="48"/>
  <c r="A21" i="48"/>
  <c r="A8" i="48"/>
  <c r="A35" i="49"/>
  <c r="A16" i="49"/>
  <c r="A8" i="49"/>
  <c r="AR2" i="60"/>
  <c r="AN2" i="60"/>
  <c r="AN4" i="60"/>
  <c r="AL15" i="60"/>
  <c r="AS15" i="60"/>
  <c r="AK15" i="60"/>
  <c r="AR15" i="60"/>
  <c r="AU15" i="60" s="1"/>
  <c r="AN15" i="60"/>
  <c r="AN16" i="60"/>
  <c r="AK16" i="60"/>
  <c r="AR16" i="60" s="1"/>
  <c r="AL16" i="60"/>
  <c r="AS16" i="60"/>
  <c r="AU3" i="60"/>
  <c r="AN3" i="60"/>
  <c r="AM16" i="60"/>
  <c r="AT16" i="60"/>
  <c r="AF37" i="58"/>
  <c r="AF24" i="58"/>
  <c r="AF21" i="58"/>
  <c r="AF27" i="58"/>
  <c r="AF23" i="58"/>
  <c r="AF32" i="58"/>
  <c r="AF16" i="58"/>
  <c r="AF26" i="58"/>
  <c r="AF11" i="58"/>
  <c r="AF12" i="58"/>
  <c r="AF5" i="58"/>
  <c r="AF36" i="7"/>
  <c r="AF25" i="7"/>
  <c r="AG17" i="60"/>
  <c r="AL17" i="60" s="1"/>
  <c r="AS17" i="60" s="1"/>
  <c r="AF22" i="7"/>
  <c r="AG24" i="7" s="1"/>
  <c r="AG25" i="7"/>
  <c r="AO8" i="10"/>
  <c r="AO20" i="10"/>
  <c r="AO23" i="10"/>
  <c r="AO12" i="10"/>
  <c r="AO7" i="10"/>
  <c r="AO9" i="10"/>
  <c r="AO4" i="10"/>
  <c r="AO16" i="10"/>
  <c r="AO3" i="10"/>
  <c r="AO24" i="10"/>
  <c r="AO13" i="10"/>
  <c r="AO5" i="10"/>
  <c r="AO26" i="10"/>
  <c r="AO14" i="10"/>
  <c r="AO11" i="10"/>
  <c r="AO15" i="10"/>
  <c r="AO21" i="10"/>
  <c r="AO6" i="10"/>
  <c r="AO17" i="10"/>
  <c r="AO19" i="10"/>
  <c r="AO10" i="10"/>
  <c r="AO22" i="10"/>
  <c r="AO25" i="10"/>
  <c r="AO18" i="10"/>
  <c r="AO2" i="10"/>
  <c r="F24" i="20"/>
  <c r="F14" i="23"/>
  <c r="AJ177" i="29"/>
  <c r="AJ193" i="29"/>
  <c r="AJ218" i="29"/>
  <c r="AJ78" i="29"/>
  <c r="AJ7" i="29"/>
  <c r="AJ137" i="29"/>
  <c r="AJ229" i="29"/>
  <c r="AJ119" i="29"/>
  <c r="AJ6" i="29"/>
  <c r="AJ182" i="29"/>
  <c r="AJ8" i="29"/>
  <c r="AJ169" i="29"/>
  <c r="AJ13" i="29"/>
  <c r="AJ161" i="29"/>
  <c r="AJ2" i="29"/>
  <c r="AK2" i="29" a="1"/>
  <c r="AJ221" i="29"/>
  <c r="AJ3" i="29"/>
  <c r="AJ211" i="29"/>
  <c r="AJ228" i="29"/>
  <c r="AJ130" i="29"/>
  <c r="AJ209" i="29"/>
  <c r="AJ64" i="29"/>
  <c r="AJ18" i="29"/>
  <c r="AJ41" i="29"/>
  <c r="AJ109" i="29"/>
  <c r="AJ217" i="29"/>
  <c r="AJ83" i="29"/>
  <c r="AJ122" i="29"/>
  <c r="AJ30" i="29"/>
  <c r="AJ110" i="29"/>
  <c r="AJ206" i="29"/>
  <c r="AJ55" i="29"/>
  <c r="AJ56" i="29"/>
  <c r="AJ201" i="29"/>
  <c r="AJ144" i="29"/>
  <c r="AJ77" i="29"/>
  <c r="AJ37" i="29"/>
  <c r="AJ204" i="29"/>
  <c r="AJ156" i="29"/>
  <c r="AJ54" i="29"/>
  <c r="AJ134" i="29"/>
  <c r="AJ214" i="29"/>
  <c r="AJ79" i="29"/>
  <c r="AJ104" i="29"/>
  <c r="AJ212" i="29"/>
  <c r="AJ187" i="29"/>
  <c r="AJ131" i="29"/>
  <c r="AJ60" i="29"/>
  <c r="AJ29" i="29"/>
  <c r="AJ199" i="29"/>
  <c r="AJ84" i="29"/>
  <c r="AJ139" i="29"/>
  <c r="AJ21" i="29"/>
  <c r="AJ99" i="29"/>
  <c r="AJ138" i="29"/>
  <c r="AJ192" i="29"/>
  <c r="AJ92" i="29"/>
  <c r="AJ151" i="29"/>
  <c r="AJ96" i="29"/>
  <c r="AJ226" i="29"/>
  <c r="AJ34" i="29"/>
  <c r="AJ183" i="29"/>
  <c r="AJ89" i="29"/>
  <c r="AJ164" i="29"/>
  <c r="AJ43" i="29"/>
  <c r="AJ114" i="29"/>
  <c r="AJ140" i="29"/>
  <c r="AJ25" i="29"/>
  <c r="AJ175" i="29"/>
  <c r="AJ19" i="29"/>
  <c r="AJ90" i="29"/>
  <c r="AJ46" i="29"/>
  <c r="AJ142" i="29"/>
  <c r="AJ222" i="29"/>
  <c r="AJ71" i="29"/>
  <c r="AJ116" i="29"/>
  <c r="AJ223" i="29"/>
  <c r="AJ172" i="29"/>
  <c r="AJ145" i="29"/>
  <c r="AJ81" i="29"/>
  <c r="AJ9" i="29"/>
  <c r="AJ213" i="29"/>
  <c r="AJ70" i="29"/>
  <c r="AJ150" i="29"/>
  <c r="AJ15" i="29"/>
  <c r="AJ95" i="29"/>
  <c r="AJ127" i="29"/>
  <c r="AJ53" i="29"/>
  <c r="AJ215" i="29"/>
  <c r="AJ160" i="29"/>
  <c r="AJ133" i="29"/>
  <c r="AJ73" i="29"/>
  <c r="AJ227" i="29"/>
  <c r="AJ168" i="29"/>
  <c r="AJ68" i="29"/>
  <c r="AJ196" i="29"/>
  <c r="AJ35" i="29"/>
  <c r="AJ106" i="29"/>
  <c r="AJ135" i="29"/>
  <c r="AJ181" i="29"/>
  <c r="AJ85" i="29"/>
  <c r="AJ32" i="29"/>
  <c r="AJ162" i="29"/>
  <c r="AJ220" i="29"/>
  <c r="AJ125" i="29"/>
  <c r="AJ179" i="29"/>
  <c r="AJ121" i="29"/>
  <c r="AJ11" i="29"/>
  <c r="AJ50" i="29"/>
  <c r="AJ205" i="29"/>
  <c r="AJ69" i="29"/>
  <c r="AJ80" i="29"/>
  <c r="AJ58" i="29"/>
  <c r="AJ158" i="29"/>
  <c r="AJ103" i="29"/>
  <c r="AJ33" i="29"/>
  <c r="AJ173" i="29"/>
  <c r="AJ93" i="29"/>
  <c r="AJ86" i="29"/>
  <c r="AJ31" i="29"/>
  <c r="AJ97" i="29"/>
  <c r="AJ216" i="29"/>
  <c r="AJ113" i="29"/>
  <c r="AJ112" i="29"/>
  <c r="AJ111" i="29"/>
  <c r="AJ74" i="29"/>
  <c r="AJ124" i="29"/>
  <c r="AJ59" i="29"/>
  <c r="AJ163" i="29"/>
  <c r="AJ123" i="29"/>
  <c r="AJ178" i="29"/>
  <c r="AJ120" i="29"/>
  <c r="AJ224" i="29"/>
  <c r="AJ65" i="29"/>
  <c r="AJ16" i="29"/>
  <c r="AJ186" i="29"/>
  <c r="AJ14" i="29"/>
  <c r="AJ94" i="29"/>
  <c r="AJ174" i="29"/>
  <c r="AJ39" i="29"/>
  <c r="AJ24" i="29"/>
  <c r="AJ159" i="29"/>
  <c r="AJ115" i="29"/>
  <c r="AJ36" i="29"/>
  <c r="AJ203" i="29"/>
  <c r="AJ176" i="29"/>
  <c r="AJ128" i="29"/>
  <c r="AJ22" i="29"/>
  <c r="AJ118" i="29"/>
  <c r="AJ198" i="29"/>
  <c r="AJ47" i="29"/>
  <c r="AJ72" i="29"/>
  <c r="AJ191" i="29"/>
  <c r="AJ129" i="29"/>
  <c r="AJ100" i="29"/>
  <c r="AJ17" i="29"/>
  <c r="AJ189" i="29"/>
  <c r="AJ171" i="29"/>
  <c r="AJ149" i="29"/>
  <c r="AJ28" i="29"/>
  <c r="AJ108" i="29"/>
  <c r="AJ48" i="29"/>
  <c r="AJ202" i="29"/>
  <c r="AJ10" i="29"/>
  <c r="AJ155" i="29"/>
  <c r="AJ45" i="29"/>
  <c r="AJ143" i="29"/>
  <c r="AJ27" i="29"/>
  <c r="AJ98" i="29"/>
  <c r="AJ20" i="29"/>
  <c r="AJ152" i="29"/>
  <c r="AJ44" i="29"/>
  <c r="AJ75" i="29"/>
  <c r="AJ146" i="29"/>
  <c r="AJ197" i="29"/>
  <c r="AJ167" i="29"/>
  <c r="AJ136" i="29"/>
  <c r="AJ132" i="29"/>
  <c r="AJ51" i="29"/>
  <c r="AJ154" i="29"/>
  <c r="AJ26" i="29"/>
  <c r="AJ62" i="29"/>
  <c r="AJ126" i="29"/>
  <c r="AJ190" i="29"/>
  <c r="AJ23" i="29"/>
  <c r="AJ87" i="29"/>
  <c r="AJ88" i="29"/>
  <c r="AJ180" i="29"/>
  <c r="AJ76" i="29"/>
  <c r="AJ200" i="29"/>
  <c r="AJ117" i="29"/>
  <c r="AJ231" i="29"/>
  <c r="AJ147" i="29"/>
  <c r="AJ52" i="29"/>
  <c r="AJ184" i="29"/>
  <c r="AJ38" i="29"/>
  <c r="AJ102" i="29"/>
  <c r="AJ166" i="29"/>
  <c r="AJ230" i="29"/>
  <c r="AJ63" i="29"/>
  <c r="AJ40" i="29"/>
  <c r="AJ148" i="29"/>
  <c r="AJ12" i="29"/>
  <c r="AJ157" i="29"/>
  <c r="AJ57" i="29"/>
  <c r="AJ188" i="29"/>
  <c r="AJ101" i="29"/>
  <c r="AJ219" i="29"/>
  <c r="AJ141" i="29"/>
  <c r="AJ225" i="29"/>
  <c r="AJ195" i="29"/>
  <c r="AJ165" i="29"/>
  <c r="AJ153" i="29"/>
  <c r="AJ67" i="29"/>
  <c r="AJ170" i="29"/>
  <c r="AJ42" i="29"/>
  <c r="AJ61" i="29"/>
  <c r="AJ5" i="29"/>
  <c r="AJ208" i="29"/>
  <c r="AJ185" i="29"/>
  <c r="AJ91" i="29"/>
  <c r="AJ194" i="29"/>
  <c r="AJ66" i="29"/>
  <c r="AJ105" i="29"/>
  <c r="AJ49" i="29"/>
  <c r="AJ4" i="29"/>
  <c r="AJ207" i="29"/>
  <c r="AJ107" i="29"/>
  <c r="AJ210" i="29"/>
  <c r="F44" i="17"/>
  <c r="F6" i="17"/>
  <c r="F55" i="16"/>
  <c r="F17" i="20"/>
  <c r="F46" i="14"/>
  <c r="F29" i="19"/>
  <c r="F10" i="58"/>
  <c r="F3" i="14"/>
  <c r="F34" i="59"/>
  <c r="F29" i="15"/>
  <c r="F13" i="20"/>
  <c r="F21" i="19"/>
  <c r="F34" i="58"/>
  <c r="F27" i="61"/>
  <c r="F35" i="23"/>
  <c r="F22" i="17"/>
  <c r="F3" i="23"/>
  <c r="F6" i="19"/>
  <c r="F15" i="22"/>
  <c r="F11" i="10"/>
  <c r="F21" i="62"/>
  <c r="F35" i="11"/>
  <c r="F33" i="24"/>
  <c r="F15" i="24"/>
  <c r="F18" i="15"/>
  <c r="F41" i="15"/>
  <c r="F62" i="19"/>
  <c r="F36" i="11"/>
  <c r="F43" i="21"/>
  <c r="F19" i="12"/>
  <c r="F8" i="26"/>
  <c r="F17" i="15"/>
  <c r="F4" i="22"/>
  <c r="F44" i="23"/>
  <c r="F13" i="15"/>
  <c r="F37" i="14"/>
  <c r="F27" i="13"/>
  <c r="F21" i="24"/>
  <c r="F70" i="19"/>
  <c r="F19" i="7"/>
  <c r="F20" i="23"/>
  <c r="F23" i="24"/>
  <c r="F2" i="56"/>
  <c r="F45" i="15"/>
  <c r="F11" i="12"/>
  <c r="F5" i="21"/>
  <c r="F21" i="17"/>
  <c r="F32" i="7"/>
  <c r="F46" i="16"/>
  <c r="F9" i="57"/>
  <c r="F23" i="60"/>
  <c r="F21" i="59"/>
  <c r="F4" i="12"/>
  <c r="F27" i="23"/>
  <c r="F47" i="14"/>
  <c r="F30" i="24"/>
  <c r="F40" i="20"/>
  <c r="F30" i="23"/>
  <c r="F30" i="12"/>
  <c r="F5" i="15"/>
  <c r="F39" i="12"/>
  <c r="F10" i="24"/>
  <c r="F61" i="19"/>
  <c r="F35" i="16"/>
  <c r="F13" i="11"/>
  <c r="F18" i="21"/>
  <c r="F48" i="11"/>
  <c r="F41" i="21"/>
  <c r="F66" i="19"/>
  <c r="F47" i="21"/>
  <c r="F45" i="14"/>
  <c r="F31" i="19"/>
  <c r="F4" i="62"/>
  <c r="F41" i="20"/>
  <c r="F3" i="10"/>
  <c r="F4" i="14"/>
  <c r="F18" i="61"/>
  <c r="F31" i="13"/>
  <c r="F24" i="13"/>
  <c r="F34" i="21"/>
  <c r="F12" i="13"/>
  <c r="F43" i="12"/>
  <c r="F23" i="15"/>
  <c r="F57" i="19"/>
  <c r="F18" i="6"/>
  <c r="F76" i="11"/>
  <c r="F9" i="16"/>
  <c r="F23" i="12"/>
  <c r="F49" i="16"/>
  <c r="F49" i="12"/>
  <c r="F15" i="13"/>
  <c r="F8" i="59"/>
  <c r="F20" i="61"/>
  <c r="F29" i="59"/>
  <c r="F72" i="11"/>
  <c r="F45" i="17"/>
  <c r="F26" i="57"/>
  <c r="F4" i="58"/>
  <c r="F13" i="12"/>
  <c r="F6" i="58"/>
  <c r="F60" i="12"/>
  <c r="F23" i="23"/>
  <c r="AK38" i="29"/>
  <c r="AB38" i="11" s="1"/>
  <c r="AC38" i="11" s="1"/>
  <c r="AD38" i="11" s="1"/>
  <c r="AE38" i="11" s="1"/>
  <c r="AF38" i="11" s="1"/>
  <c r="AK38" i="11" s="1"/>
  <c r="AK96" i="29"/>
  <c r="AK183" i="29"/>
  <c r="AK64" i="29"/>
  <c r="AB64" i="11" s="1"/>
  <c r="AC64" i="11" s="1"/>
  <c r="AD64" i="11" s="1"/>
  <c r="AE64" i="11" s="1"/>
  <c r="AF64" i="11" s="1"/>
  <c r="AK51" i="29"/>
  <c r="AB51" i="11" s="1"/>
  <c r="AC51" i="11" s="1"/>
  <c r="AD51" i="11" s="1"/>
  <c r="AE51" i="11" s="1"/>
  <c r="AF51" i="11" s="1"/>
  <c r="AK27" i="29"/>
  <c r="AB27" i="11" s="1"/>
  <c r="AC27" i="11" s="1"/>
  <c r="AD27" i="11" s="1"/>
  <c r="AE27" i="11" s="1"/>
  <c r="AF27" i="11" s="1"/>
  <c r="AK122" i="29"/>
  <c r="AK19" i="29"/>
  <c r="AB19" i="11" s="1"/>
  <c r="AC19" i="11" s="1"/>
  <c r="AD19" i="11" s="1"/>
  <c r="AE19" i="11" s="1"/>
  <c r="AF19" i="11" s="1"/>
  <c r="AK95" i="29"/>
  <c r="AK15" i="29"/>
  <c r="AB15" i="11" s="1"/>
  <c r="AC15" i="11" s="1"/>
  <c r="AD15" i="11" s="1"/>
  <c r="AE15" i="11"/>
  <c r="AF15" i="11" s="1"/>
  <c r="AG15" i="11" s="1"/>
  <c r="AK32" i="29"/>
  <c r="AB32" i="11"/>
  <c r="AC32" i="11" s="1"/>
  <c r="AD32" i="11" s="1"/>
  <c r="AE32" i="11" s="1"/>
  <c r="AF32" i="11" s="1"/>
  <c r="AK186" i="29"/>
  <c r="AK88" i="29"/>
  <c r="AK46" i="29"/>
  <c r="AB46" i="11"/>
  <c r="AC46" i="11" s="1"/>
  <c r="AD46" i="11" s="1"/>
  <c r="AE46" i="11" s="1"/>
  <c r="AF46" i="11" s="1"/>
  <c r="AK117" i="29"/>
  <c r="AK29" i="29"/>
  <c r="AB29" i="11" s="1"/>
  <c r="AC29" i="11" s="1"/>
  <c r="AD29" i="11" s="1"/>
  <c r="AE29" i="11" s="1"/>
  <c r="AF29" i="11" s="1"/>
  <c r="AK29" i="11" s="1"/>
  <c r="AK194" i="29"/>
  <c r="AK92" i="29"/>
  <c r="AK94" i="29"/>
  <c r="AK48" i="29"/>
  <c r="AB48" i="11" s="1"/>
  <c r="AC48" i="11" s="1"/>
  <c r="AD48" i="11" s="1"/>
  <c r="AE48" i="11" s="1"/>
  <c r="AF48" i="11" s="1"/>
  <c r="AG48" i="11" s="1"/>
  <c r="AK160" i="29"/>
  <c r="AK199" i="29"/>
  <c r="AK79" i="29"/>
  <c r="AK133" i="29"/>
  <c r="AK40" i="29"/>
  <c r="AB40" i="11"/>
  <c r="AC40" i="11"/>
  <c r="AD40" i="11"/>
  <c r="AE40" i="11" s="1"/>
  <c r="AF40" i="11" s="1"/>
  <c r="AG40" i="11" s="1"/>
  <c r="AK126" i="29"/>
  <c r="AK163" i="29"/>
  <c r="AK75" i="29"/>
  <c r="AB75" i="11"/>
  <c r="AC75" i="11"/>
  <c r="AD75" i="11" s="1"/>
  <c r="AE75" i="11" s="1"/>
  <c r="AF75" i="11" s="1"/>
  <c r="AK50" i="29"/>
  <c r="AB50" i="11" s="1"/>
  <c r="AC50" i="11"/>
  <c r="AD50" i="11" s="1"/>
  <c r="AE50" i="11" s="1"/>
  <c r="AF50" i="11" s="1"/>
  <c r="AK50" i="11" s="1"/>
  <c r="AK157" i="29"/>
  <c r="AK30" i="29"/>
  <c r="AB30" i="11" s="1"/>
  <c r="AC30" i="11" s="1"/>
  <c r="AD30" i="11" s="1"/>
  <c r="AE30" i="11" s="1"/>
  <c r="AF30" i="11" s="1"/>
  <c r="AK30" i="11" s="1"/>
  <c r="AK200" i="29"/>
  <c r="AK165" i="29"/>
  <c r="AK223" i="29"/>
  <c r="AK103" i="29"/>
  <c r="AK166" i="29"/>
  <c r="AK12" i="29"/>
  <c r="AB12" i="11" s="1"/>
  <c r="AC12" i="11" s="1"/>
  <c r="AD12" i="11" s="1"/>
  <c r="AE12" i="11" s="1"/>
  <c r="AF12" i="11" s="1"/>
  <c r="AK12" i="11" s="1"/>
  <c r="AK33" i="29"/>
  <c r="AB33" i="11"/>
  <c r="AC33" i="11"/>
  <c r="AD33" i="11" s="1"/>
  <c r="AE33" i="11" s="1"/>
  <c r="AF33" i="11" s="1"/>
  <c r="AK31" i="29"/>
  <c r="AB31" i="11" s="1"/>
  <c r="AC31" i="11" s="1"/>
  <c r="AD31" i="11" s="1"/>
  <c r="AE31" i="11" s="1"/>
  <c r="AF31" i="11" s="1"/>
  <c r="AK172" i="29"/>
  <c r="AK212" i="29"/>
  <c r="AK111" i="29"/>
  <c r="AK73" i="29"/>
  <c r="AB73" i="11"/>
  <c r="AC73" i="11"/>
  <c r="AD73" i="11" s="1"/>
  <c r="AE73" i="11" s="1"/>
  <c r="AF73" i="11" s="1"/>
  <c r="AK73" i="11" s="1"/>
  <c r="AK106" i="29"/>
  <c r="AK215" i="29"/>
  <c r="AK109" i="29"/>
  <c r="AK134" i="29"/>
  <c r="AK76" i="29"/>
  <c r="AB76" i="11" s="1"/>
  <c r="AC76" i="11" s="1"/>
  <c r="AD76" i="11" s="1"/>
  <c r="AE76" i="11" s="1"/>
  <c r="AF76" i="11" s="1"/>
  <c r="AG76" i="11" s="1"/>
  <c r="AK8" i="29"/>
  <c r="AB8" i="11"/>
  <c r="AC8" i="11"/>
  <c r="AD8" i="11" s="1"/>
  <c r="AE8" i="11" s="1"/>
  <c r="AF8" i="11" s="1"/>
  <c r="AK226" i="29"/>
  <c r="AK57" i="29"/>
  <c r="AB57" i="11" s="1"/>
  <c r="AC57" i="11" s="1"/>
  <c r="AD57" i="11" s="1"/>
  <c r="AE57" i="11" s="1"/>
  <c r="AF57" i="11" s="1"/>
  <c r="AK57" i="11" s="1"/>
  <c r="AK216" i="29"/>
  <c r="AK205" i="29"/>
  <c r="AK118" i="29"/>
  <c r="AK43" i="29"/>
  <c r="AB43" i="11"/>
  <c r="AC43" i="11"/>
  <c r="AD43" i="11" s="1"/>
  <c r="AE43" i="11" s="1"/>
  <c r="AF43" i="11" s="1"/>
  <c r="AK144" i="29"/>
  <c r="AK187" i="29"/>
  <c r="AK190" i="29"/>
  <c r="AK93" i="29"/>
  <c r="AK203" i="29"/>
  <c r="AK193" i="29"/>
  <c r="AK7" i="29"/>
  <c r="AB7" i="11"/>
  <c r="AC7" i="11"/>
  <c r="AD7" i="11" s="1"/>
  <c r="AE7" i="11" s="1"/>
  <c r="AF7" i="11" s="1"/>
  <c r="AK211" i="29"/>
  <c r="AK104" i="29"/>
  <c r="AK192" i="29"/>
  <c r="AK91" i="29"/>
  <c r="AK137" i="29"/>
  <c r="AK65" i="29"/>
  <c r="AB65" i="11" s="1"/>
  <c r="AC65" i="11" s="1"/>
  <c r="AD65" i="11" s="1"/>
  <c r="AE65" i="11" s="1"/>
  <c r="AF65" i="11" s="1"/>
  <c r="AG65" i="11" s="1"/>
  <c r="AL65" i="11" s="1"/>
  <c r="AK14" i="29"/>
  <c r="AB14" i="11"/>
  <c r="AC14" i="11" s="1"/>
  <c r="AD14" i="11" s="1"/>
  <c r="AE14" i="11" s="1"/>
  <c r="AF14" i="11" s="1"/>
  <c r="AK14" i="11" s="1"/>
  <c r="AK176" i="29"/>
  <c r="AK90" i="29"/>
  <c r="AK114" i="29"/>
  <c r="AK158" i="29"/>
  <c r="AK100" i="29"/>
  <c r="AK82" i="29"/>
  <c r="AK228" i="29"/>
  <c r="AK151" i="29"/>
  <c r="AK227" i="29"/>
  <c r="AK202" i="29"/>
  <c r="AK9" i="29"/>
  <c r="AB9" i="11"/>
  <c r="AC9" i="11" s="1"/>
  <c r="AD9" i="11" s="1"/>
  <c r="AE9" i="11" s="1"/>
  <c r="AF9" i="11" s="1"/>
  <c r="AK145" i="29"/>
  <c r="AK150" i="29"/>
  <c r="AK224" i="29"/>
  <c r="AK45" i="29"/>
  <c r="AB45" i="11" s="1"/>
  <c r="AC45" i="11" s="1"/>
  <c r="AD45" i="11" s="1"/>
  <c r="AE45" i="11" s="1"/>
  <c r="AF45" i="11" s="1"/>
  <c r="AK81" i="29"/>
  <c r="AK3" i="29"/>
  <c r="AB3" i="11"/>
  <c r="AC3" i="11" s="1"/>
  <c r="AD3" i="11" s="1"/>
  <c r="AE3" i="11" s="1"/>
  <c r="AF3" i="11" s="1"/>
  <c r="AK135" i="29"/>
  <c r="AK101" i="29"/>
  <c r="AK113" i="29"/>
  <c r="AK98" i="29"/>
  <c r="AK110" i="29"/>
  <c r="AK54" i="29"/>
  <c r="AB54" i="11"/>
  <c r="AC54" i="11"/>
  <c r="AD54" i="11" s="1"/>
  <c r="AE54" i="11" s="1"/>
  <c r="AF54" i="11" s="1"/>
  <c r="AK54" i="11" s="1"/>
  <c r="AK220" i="29"/>
  <c r="AK47" i="29"/>
  <c r="AB47" i="11" s="1"/>
  <c r="AC47" i="11" s="1"/>
  <c r="AD47" i="11" s="1"/>
  <c r="AE47" i="11" s="1"/>
  <c r="AF47" i="11" s="1"/>
  <c r="AG47" i="11" s="1"/>
  <c r="AK22" i="29"/>
  <c r="AB22" i="11"/>
  <c r="AC22" i="11" s="1"/>
  <c r="AD22" i="11" s="1"/>
  <c r="AE22" i="11" s="1"/>
  <c r="AF22" i="11" s="1"/>
  <c r="AK41" i="29"/>
  <c r="AB41" i="11" s="1"/>
  <c r="AC41" i="11" s="1"/>
  <c r="AD41" i="11" s="1"/>
  <c r="AE41" i="11" s="1"/>
  <c r="AF41" i="11" s="1"/>
  <c r="AG41" i="11" s="1"/>
  <c r="AK138" i="29"/>
  <c r="AK108" i="29"/>
  <c r="AK231" i="29"/>
  <c r="AK195" i="29"/>
  <c r="AK6" i="29"/>
  <c r="AB6" i="11"/>
  <c r="AC6" i="11" s="1"/>
  <c r="AD6" i="11" s="1"/>
  <c r="AE6" i="11" s="1"/>
  <c r="AF6" i="11" s="1"/>
  <c r="AK4" i="29"/>
  <c r="AB4" i="11" s="1"/>
  <c r="AC4" i="11" s="1"/>
  <c r="AD4" i="11" s="1"/>
  <c r="AE4" i="11" s="1"/>
  <c r="AF4" i="11" s="1"/>
  <c r="AG4" i="11" s="1"/>
  <c r="AL4" i="11" s="1"/>
  <c r="AK130" i="29"/>
  <c r="AK207" i="29"/>
  <c r="AK84" i="29"/>
  <c r="AK170" i="29"/>
  <c r="AK34" i="29"/>
  <c r="AB34" i="11" s="1"/>
  <c r="AC34" i="11" s="1"/>
  <c r="AD34" i="11" s="1"/>
  <c r="AE34" i="11" s="1"/>
  <c r="AF34" i="11" s="1"/>
  <c r="AK149" i="29"/>
  <c r="AK87" i="29"/>
  <c r="AK72" i="29"/>
  <c r="AB72" i="11" s="1"/>
  <c r="AC72" i="11" s="1"/>
  <c r="AD72" i="11" s="1"/>
  <c r="AE72" i="11" s="1"/>
  <c r="AF72" i="11" s="1"/>
  <c r="AG72" i="11" s="1"/>
  <c r="AH72" i="11" s="1"/>
  <c r="AM72" i="11" s="1"/>
  <c r="AK141" i="29"/>
  <c r="AK71" i="29"/>
  <c r="AB71" i="11"/>
  <c r="AC71" i="11" s="1"/>
  <c r="AD71" i="11" s="1"/>
  <c r="AE71" i="11" s="1"/>
  <c r="AF71" i="11" s="1"/>
  <c r="AK83" i="29"/>
  <c r="AK74" i="29"/>
  <c r="AB74" i="11"/>
  <c r="AC74" i="11"/>
  <c r="AD74" i="11" s="1"/>
  <c r="AE74" i="11" s="1"/>
  <c r="AF74" i="11" s="1"/>
  <c r="AK74" i="11" s="1"/>
  <c r="AK115" i="29"/>
  <c r="AK42" i="29"/>
  <c r="AB42" i="11" s="1"/>
  <c r="AC42" i="11" s="1"/>
  <c r="AD42" i="11" s="1"/>
  <c r="AE42" i="11" s="1"/>
  <c r="AF42" i="11" s="1"/>
  <c r="AK181" i="29"/>
  <c r="AK24" i="29"/>
  <c r="AB24" i="11"/>
  <c r="AC24" i="11" s="1"/>
  <c r="AD24" i="11" s="1"/>
  <c r="AE24" i="11" s="1"/>
  <c r="AF24" i="11" s="1"/>
  <c r="AG24" i="11" s="1"/>
  <c r="AK198" i="29"/>
  <c r="AK55" i="29"/>
  <c r="AB55" i="11" s="1"/>
  <c r="AC55" i="11" s="1"/>
  <c r="AD55" i="11" s="1"/>
  <c r="AE55" i="11" s="1"/>
  <c r="AF55" i="11" s="1"/>
  <c r="AK55" i="11" s="1"/>
  <c r="AK219" i="29"/>
  <c r="AK156" i="29"/>
  <c r="AK143" i="29"/>
  <c r="AK11" i="29"/>
  <c r="AB11" i="11"/>
  <c r="AC11" i="11"/>
  <c r="AD11" i="11" s="1"/>
  <c r="AE11" i="11" s="1"/>
  <c r="AF11" i="11" s="1"/>
  <c r="AK59" i="29"/>
  <c r="AB59" i="11" s="1"/>
  <c r="AC59" i="11" s="1"/>
  <c r="AD59" i="11" s="1"/>
  <c r="AE59" i="11" s="1"/>
  <c r="AF59" i="11" s="1"/>
  <c r="AK59" i="11" s="1"/>
  <c r="AK44" i="29"/>
  <c r="AB44" i="11"/>
  <c r="AC44" i="11" s="1"/>
  <c r="AD44" i="11" s="1"/>
  <c r="AE44" i="11" s="1"/>
  <c r="AF44" i="11" s="1"/>
  <c r="AK44" i="11" s="1"/>
  <c r="AK185" i="29"/>
  <c r="AK28" i="29"/>
  <c r="AB28" i="11"/>
  <c r="AC28" i="11"/>
  <c r="AD28" i="11" s="1"/>
  <c r="AE28" i="11" s="1"/>
  <c r="AF28" i="11" s="1"/>
  <c r="AK222" i="29"/>
  <c r="AK169" i="29"/>
  <c r="AK206" i="29"/>
  <c r="AK10" i="29"/>
  <c r="AB10" i="11" s="1"/>
  <c r="AC10" i="11" s="1"/>
  <c r="AD10" i="11" s="1"/>
  <c r="AE10" i="11" s="1"/>
  <c r="AF10" i="11" s="1"/>
  <c r="AG10" i="11" s="1"/>
  <c r="AK89" i="29"/>
  <c r="AK69" i="29"/>
  <c r="AB69" i="11" s="1"/>
  <c r="AC69" i="11" s="1"/>
  <c r="AD69" i="11" s="1"/>
  <c r="AE69" i="11" s="1"/>
  <c r="AF69" i="11" s="1"/>
  <c r="AK177" i="29"/>
  <c r="AK214" i="29"/>
  <c r="AK61" i="29"/>
  <c r="AB61" i="11" s="1"/>
  <c r="AC61" i="11" s="1"/>
  <c r="AD61" i="11" s="1"/>
  <c r="AE61" i="11" s="1"/>
  <c r="AF61" i="11" s="1"/>
  <c r="AK132" i="29"/>
  <c r="AK146" i="29"/>
  <c r="AK17" i="29"/>
  <c r="AB17" i="11" s="1"/>
  <c r="AC17" i="11" s="1"/>
  <c r="AD17" i="11" s="1"/>
  <c r="AE17" i="11" s="1"/>
  <c r="AF17" i="11" s="1"/>
  <c r="AK171" i="29"/>
  <c r="AK208" i="29"/>
  <c r="AK70" i="29"/>
  <c r="AB70" i="11" s="1"/>
  <c r="AC70" i="11" s="1"/>
  <c r="AD70" i="11" s="1"/>
  <c r="AE70" i="11" s="1"/>
  <c r="AF70" i="11" s="1"/>
  <c r="AK70" i="11" s="1"/>
  <c r="AK13" i="29"/>
  <c r="AB13" i="11"/>
  <c r="AC13" i="11"/>
  <c r="AD13" i="11" s="1"/>
  <c r="AE13" i="11" s="1"/>
  <c r="AF13" i="11" s="1"/>
  <c r="AK13" i="11" s="1"/>
  <c r="AK189" i="29"/>
  <c r="AK167" i="29"/>
  <c r="AK179" i="29"/>
  <c r="AK97" i="29"/>
  <c r="AK37" i="29"/>
  <c r="AB37" i="11" s="1"/>
  <c r="AC37" i="11" s="1"/>
  <c r="AD37" i="11" s="1"/>
  <c r="AE37" i="11" s="1"/>
  <c r="AF37" i="11" s="1"/>
  <c r="AK25" i="29"/>
  <c r="AB25" i="11"/>
  <c r="AC25" i="11"/>
  <c r="AD25" i="11" s="1"/>
  <c r="AE25" i="11" s="1"/>
  <c r="AF25" i="11" s="1"/>
  <c r="AG25" i="11" s="1"/>
  <c r="AH25" i="11" s="1"/>
  <c r="AK204" i="29"/>
  <c r="AK129" i="29"/>
  <c r="AK78" i="29"/>
  <c r="AK229" i="29"/>
  <c r="AK136" i="29"/>
  <c r="AK2" i="29"/>
  <c r="AB2" i="11" s="1"/>
  <c r="AC2" i="11" s="1"/>
  <c r="AD2" i="11" s="1"/>
  <c r="AE2" i="11" s="1"/>
  <c r="AF2" i="11" s="1"/>
  <c r="AK161" i="29"/>
  <c r="AK140" i="29"/>
  <c r="AK139" i="29"/>
  <c r="AK154" i="29"/>
  <c r="AK112" i="29"/>
  <c r="AK142" i="29"/>
  <c r="AK148" i="29"/>
  <c r="AK52" i="29"/>
  <c r="AB52" i="11"/>
  <c r="AC52" i="11"/>
  <c r="AD52" i="11" s="1"/>
  <c r="AE52" i="11" s="1"/>
  <c r="AF52" i="11" s="1"/>
  <c r="AG52" i="11" s="1"/>
  <c r="AH52" i="11" s="1"/>
  <c r="AK86" i="29"/>
  <c r="AK178" i="29"/>
  <c r="AK119" i="29"/>
  <c r="AK188" i="29"/>
  <c r="AK168" i="29"/>
  <c r="AK116" i="29"/>
  <c r="AK105" i="29"/>
  <c r="AK62" i="29"/>
  <c r="AB62" i="11"/>
  <c r="AC62" i="11" s="1"/>
  <c r="AD62" i="11" s="1"/>
  <c r="AE62" i="11" s="1"/>
  <c r="AF62" i="11" s="1"/>
  <c r="AG62" i="11" s="1"/>
  <c r="AK124" i="29"/>
  <c r="AK56" i="29"/>
  <c r="AB56" i="11"/>
  <c r="AC56" i="11"/>
  <c r="AD56" i="11" s="1"/>
  <c r="AE56" i="11" s="1"/>
  <c r="AF56" i="11" s="1"/>
  <c r="AG56" i="11" s="1"/>
  <c r="AH56" i="11" s="1"/>
  <c r="AI56" i="11" s="1"/>
  <c r="AK36" i="29"/>
  <c r="AB36" i="11" s="1"/>
  <c r="AC36" i="11" s="1"/>
  <c r="AD36" i="11" s="1"/>
  <c r="AE36" i="11" s="1"/>
  <c r="AF36" i="11" s="1"/>
  <c r="AG36" i="11" s="1"/>
  <c r="AK210" i="29"/>
  <c r="AK173" i="29"/>
  <c r="AK191" i="29"/>
  <c r="AK128" i="29"/>
  <c r="AK175" i="29"/>
  <c r="AK107" i="29"/>
  <c r="AK182" i="29"/>
  <c r="AK153" i="29"/>
  <c r="AK164" i="29"/>
  <c r="AK131" i="29"/>
  <c r="AK155" i="29"/>
  <c r="AK68" i="29"/>
  <c r="AB68" i="11" s="1"/>
  <c r="AC68" i="11" s="1"/>
  <c r="AD68" i="11"/>
  <c r="AE68" i="11" s="1"/>
  <c r="AF68" i="11" s="1"/>
  <c r="AG68" i="11" s="1"/>
  <c r="AH68" i="11" s="1"/>
  <c r="AK60" i="29"/>
  <c r="AB60" i="11"/>
  <c r="AC60" i="11" s="1"/>
  <c r="AD60" i="11" s="1"/>
  <c r="AE60" i="11" s="1"/>
  <c r="AF60" i="11" s="1"/>
  <c r="AG60" i="11" s="1"/>
  <c r="AH60" i="11" s="1"/>
  <c r="AM60" i="11" s="1"/>
  <c r="AK218" i="29"/>
  <c r="AK197" i="29"/>
  <c r="AK217" i="29"/>
  <c r="AK66" i="29"/>
  <c r="AB66" i="11"/>
  <c r="AC66" i="11" s="1"/>
  <c r="AD66" i="11" s="1"/>
  <c r="AE66" i="11"/>
  <c r="AF66" i="11" s="1"/>
  <c r="AK102" i="29"/>
  <c r="AK196" i="29"/>
  <c r="AK20" i="29"/>
  <c r="AB20" i="11" s="1"/>
  <c r="AC20" i="11" s="1"/>
  <c r="AD20" i="11" s="1"/>
  <c r="AE20" i="11" s="1"/>
  <c r="AF20" i="11" s="1"/>
  <c r="AK225" i="29"/>
  <c r="AK21" i="29"/>
  <c r="AB21" i="11"/>
  <c r="AC21" i="11" s="1"/>
  <c r="AD21" i="11" s="1"/>
  <c r="AE21" i="11" s="1"/>
  <c r="AF21" i="11" s="1"/>
  <c r="AK67" i="29"/>
  <c r="AB67" i="11"/>
  <c r="AC67" i="11"/>
  <c r="AD67" i="11" s="1"/>
  <c r="AE67" i="11" s="1"/>
  <c r="AF67" i="11" s="1"/>
  <c r="AK201" i="29"/>
  <c r="AK121" i="29"/>
  <c r="AK184" i="29"/>
  <c r="AK127" i="29"/>
  <c r="AK120" i="29"/>
  <c r="AK18" i="29"/>
  <c r="AB18" i="11" s="1"/>
  <c r="AC18" i="11"/>
  <c r="AD18" i="11" s="1"/>
  <c r="AE18" i="11" s="1"/>
  <c r="AF18" i="11"/>
  <c r="AK213" i="29"/>
  <c r="AK5" i="29"/>
  <c r="AB5" i="11"/>
  <c r="AC5" i="11"/>
  <c r="AD5" i="11" s="1"/>
  <c r="AE5" i="11" s="1"/>
  <c r="AF5" i="11" s="1"/>
  <c r="AK58" i="29"/>
  <c r="AB58" i="11"/>
  <c r="AC58" i="11" s="1"/>
  <c r="AD58" i="11" s="1"/>
  <c r="AE58" i="11"/>
  <c r="AF58" i="11" s="1"/>
  <c r="AK58" i="11" s="1"/>
  <c r="J13" i="12"/>
  <c r="J57" i="19"/>
  <c r="J37" i="11"/>
  <c r="J26" i="58"/>
  <c r="J2" i="23"/>
  <c r="J15" i="58"/>
  <c r="J47" i="11"/>
  <c r="J13" i="58"/>
  <c r="J14" i="19"/>
  <c r="J44" i="15"/>
  <c r="J73" i="19"/>
  <c r="J29" i="12"/>
  <c r="J16" i="15"/>
  <c r="J14" i="22"/>
  <c r="J18" i="21"/>
  <c r="J29" i="21"/>
  <c r="J30" i="19"/>
  <c r="J13" i="15"/>
  <c r="J7" i="6"/>
  <c r="J43" i="14"/>
  <c r="J7" i="13"/>
  <c r="J9" i="17"/>
  <c r="J62" i="19"/>
  <c r="J26" i="17"/>
  <c r="J31" i="21"/>
  <c r="J6" i="6"/>
  <c r="J16" i="57"/>
  <c r="J38" i="61"/>
  <c r="J56" i="19"/>
  <c r="J3" i="21"/>
  <c r="J45" i="15"/>
  <c r="J13" i="23"/>
  <c r="J45" i="14"/>
  <c r="J15" i="23"/>
  <c r="J17" i="62"/>
  <c r="J20" i="59"/>
  <c r="J53" i="59"/>
  <c r="J15" i="26"/>
  <c r="J4" i="58"/>
  <c r="J19" i="23"/>
  <c r="J19" i="21"/>
  <c r="J48" i="16"/>
  <c r="J34" i="23"/>
  <c r="J42" i="21"/>
  <c r="J8" i="6"/>
  <c r="J5" i="14"/>
  <c r="J12" i="17"/>
  <c r="J15" i="6"/>
  <c r="J2" i="22"/>
  <c r="J43" i="21"/>
  <c r="J31" i="19"/>
  <c r="J7" i="16"/>
  <c r="J5" i="12"/>
  <c r="J26" i="60"/>
  <c r="J20" i="17"/>
  <c r="J46" i="11"/>
  <c r="J31" i="23"/>
  <c r="J31" i="20"/>
  <c r="J70" i="19"/>
  <c r="J49" i="15"/>
  <c r="J24" i="16"/>
  <c r="J30" i="14"/>
  <c r="J23" i="59"/>
  <c r="J31" i="61"/>
  <c r="J40" i="14"/>
  <c r="J26" i="13"/>
  <c r="J71" i="11"/>
  <c r="J29" i="58"/>
  <c r="J6" i="57"/>
  <c r="J37" i="15"/>
  <c r="J19" i="11"/>
  <c r="J23" i="10"/>
  <c r="J19" i="13"/>
  <c r="J15" i="57"/>
  <c r="J19" i="61"/>
  <c r="J33" i="7"/>
  <c r="J9" i="60"/>
  <c r="J36" i="7"/>
  <c r="J38" i="21"/>
  <c r="J35" i="23"/>
  <c r="J36" i="21"/>
  <c r="J2" i="24"/>
  <c r="J7" i="22"/>
  <c r="J24" i="20"/>
  <c r="J23" i="20"/>
  <c r="J26" i="10"/>
  <c r="J3" i="16"/>
  <c r="J13" i="24"/>
  <c r="J18" i="22"/>
  <c r="J12" i="20"/>
  <c r="J66" i="19"/>
  <c r="J35" i="16"/>
  <c r="J6" i="11"/>
  <c r="J7" i="62"/>
  <c r="J50" i="17"/>
  <c r="J8" i="59"/>
  <c r="J20" i="22"/>
  <c r="J48" i="20"/>
  <c r="J23" i="17"/>
  <c r="J11" i="11"/>
  <c r="J40" i="16"/>
  <c r="J18" i="13"/>
  <c r="J46" i="15"/>
  <c r="J4" i="12"/>
  <c r="J51" i="12"/>
  <c r="J56" i="11"/>
  <c r="J25" i="60"/>
  <c r="J4" i="11"/>
  <c r="J14" i="26"/>
  <c r="J22" i="14"/>
  <c r="J24" i="57"/>
  <c r="J10" i="57"/>
  <c r="J20" i="11"/>
  <c r="J31" i="57"/>
  <c r="J36" i="12"/>
  <c r="J2" i="9"/>
  <c r="J32" i="12"/>
  <c r="J32" i="24"/>
  <c r="J21" i="17"/>
  <c r="J8" i="22"/>
  <c r="J32" i="19"/>
  <c r="J18" i="24"/>
  <c r="J23" i="22"/>
  <c r="J34" i="17"/>
  <c r="J12" i="19"/>
  <c r="J37" i="20"/>
  <c r="J15" i="14"/>
  <c r="J29" i="24"/>
  <c r="J34" i="22"/>
  <c r="J43" i="20"/>
  <c r="J10" i="17"/>
  <c r="J15" i="15"/>
  <c r="J70" i="11"/>
  <c r="J7" i="19"/>
  <c r="J42" i="16"/>
  <c r="J31" i="24"/>
  <c r="J15" i="21"/>
  <c r="J13" i="19"/>
  <c r="J5" i="16"/>
  <c r="J10" i="10"/>
  <c r="J14" i="15"/>
  <c r="J15" i="8"/>
  <c r="J46" i="13"/>
  <c r="J40" i="12"/>
  <c r="J75" i="11"/>
  <c r="J16" i="62"/>
  <c r="J37" i="61"/>
  <c r="J21" i="10"/>
  <c r="J38" i="12"/>
  <c r="J72" i="11"/>
  <c r="J16" i="11"/>
  <c r="J10" i="58"/>
  <c r="J7" i="10"/>
  <c r="J14" i="57"/>
  <c r="J2" i="58"/>
  <c r="J10" i="6"/>
  <c r="J36" i="15"/>
  <c r="J13" i="17"/>
  <c r="J25" i="61"/>
  <c r="J12" i="15"/>
  <c r="J37" i="58"/>
  <c r="J24" i="11"/>
  <c r="J14" i="6"/>
  <c r="J31" i="11"/>
  <c r="J18" i="14"/>
  <c r="J44" i="12"/>
  <c r="J19" i="58"/>
  <c r="J7" i="58"/>
  <c r="J55" i="59"/>
  <c r="J5" i="61"/>
  <c r="J4" i="59"/>
  <c r="J24" i="60"/>
  <c r="J3" i="13"/>
  <c r="J19" i="6"/>
  <c r="J50" i="11"/>
  <c r="J16" i="26"/>
  <c r="J55" i="13"/>
  <c r="J24" i="61"/>
  <c r="J18" i="20"/>
  <c r="J46" i="12"/>
  <c r="J10" i="19"/>
  <c r="J10" i="61"/>
  <c r="J24" i="22"/>
  <c r="J19" i="20"/>
  <c r="J21" i="14"/>
  <c r="J18" i="23"/>
  <c r="J2" i="21"/>
  <c r="J64" i="19"/>
  <c r="J41" i="21"/>
  <c r="J55" i="17"/>
  <c r="J27" i="19"/>
  <c r="J3" i="15"/>
  <c r="J40" i="59"/>
  <c r="J29" i="23"/>
  <c r="J13" i="21"/>
  <c r="J25" i="20"/>
  <c r="J51" i="19"/>
  <c r="J40" i="17"/>
  <c r="J3" i="14"/>
  <c r="J42" i="11"/>
  <c r="J3" i="62"/>
  <c r="J67" i="19"/>
  <c r="J7" i="14"/>
  <c r="J15" i="24"/>
  <c r="J4" i="22"/>
  <c r="J49" i="21"/>
  <c r="J40" i="19"/>
  <c r="J41" i="17"/>
  <c r="J41" i="14"/>
  <c r="J6" i="16"/>
  <c r="J31" i="15"/>
  <c r="J22" i="12"/>
  <c r="J34" i="16"/>
  <c r="J50" i="12"/>
  <c r="J51" i="14"/>
  <c r="J8" i="57"/>
  <c r="J15" i="10"/>
  <c r="J2" i="27"/>
  <c r="J39" i="59"/>
  <c r="J58" i="12"/>
  <c r="J8" i="12"/>
  <c r="J59" i="13"/>
  <c r="J21" i="59"/>
  <c r="J9" i="62"/>
  <c r="J18" i="58"/>
  <c r="J27" i="11"/>
  <c r="J12" i="12"/>
  <c r="J35" i="12"/>
  <c r="J25" i="59"/>
  <c r="J27" i="62"/>
  <c r="J39" i="12"/>
  <c r="J6" i="61"/>
  <c r="J16" i="60"/>
  <c r="J2" i="61"/>
  <c r="J6" i="4"/>
  <c r="J45" i="11"/>
  <c r="J13" i="60"/>
  <c r="J4" i="26"/>
  <c r="J32" i="59"/>
  <c r="J42" i="13"/>
  <c r="J35" i="17"/>
  <c r="J11" i="14"/>
  <c r="J55" i="11"/>
  <c r="J9" i="58"/>
  <c r="J50" i="59"/>
  <c r="J58" i="13"/>
  <c r="J16" i="8"/>
  <c r="J38" i="16"/>
  <c r="J42" i="14"/>
  <c r="J10" i="7"/>
  <c r="J20" i="13"/>
  <c r="J39" i="11"/>
  <c r="J36" i="59"/>
  <c r="J61" i="11"/>
  <c r="J16" i="7"/>
  <c r="J27" i="61"/>
  <c r="J4" i="60"/>
  <c r="J22" i="26"/>
  <c r="J8" i="10"/>
  <c r="J43" i="16"/>
  <c r="J30" i="13"/>
  <c r="J11" i="7"/>
  <c r="J24" i="13"/>
  <c r="J43" i="11"/>
  <c r="J35" i="61"/>
  <c r="J22" i="10"/>
  <c r="J20" i="7"/>
  <c r="J30" i="61"/>
  <c r="J5" i="60"/>
  <c r="J52" i="59"/>
  <c r="J35" i="13"/>
  <c r="J40" i="11"/>
  <c r="J17" i="57"/>
  <c r="J25" i="10"/>
  <c r="J29" i="59"/>
  <c r="J60" i="11"/>
  <c r="J6" i="59"/>
  <c r="J2" i="28"/>
  <c r="J38" i="11"/>
  <c r="J28" i="59"/>
  <c r="J27" i="12"/>
  <c r="J3" i="59"/>
  <c r="J3" i="58"/>
  <c r="J17" i="7"/>
  <c r="J12" i="62"/>
  <c r="J41" i="11"/>
  <c r="J22" i="23"/>
  <c r="J17" i="22"/>
  <c r="J23" i="62"/>
  <c r="J63" i="19"/>
  <c r="J17" i="19"/>
  <c r="J16" i="19"/>
  <c r="J3" i="7"/>
  <c r="J27" i="16"/>
  <c r="J15" i="7"/>
  <c r="J15" i="61"/>
  <c r="J28" i="61"/>
  <c r="J30" i="12"/>
  <c r="J21" i="6"/>
  <c r="J56" i="16"/>
  <c r="J54" i="13"/>
  <c r="J15" i="59"/>
  <c r="J36" i="13"/>
  <c r="J64" i="11"/>
  <c r="J27" i="13"/>
  <c r="J4" i="6"/>
  <c r="J20" i="6"/>
  <c r="J4" i="10"/>
  <c r="J13" i="61"/>
  <c r="J34" i="13"/>
  <c r="J2" i="4"/>
  <c r="J4" i="15"/>
  <c r="J2" i="12"/>
  <c r="J31" i="59"/>
  <c r="J56" i="13"/>
  <c r="J12" i="10"/>
  <c r="J31" i="13"/>
  <c r="J11" i="6"/>
  <c r="J27" i="57"/>
  <c r="J28" i="7"/>
  <c r="J16" i="61"/>
  <c r="J11" i="61"/>
  <c r="J23" i="12"/>
  <c r="J73" i="11"/>
  <c r="J33" i="58"/>
  <c r="J31" i="7"/>
  <c r="J8" i="60"/>
  <c r="J9" i="7"/>
  <c r="J7" i="60"/>
  <c r="J11" i="26"/>
  <c r="J48" i="11"/>
  <c r="J48" i="14"/>
  <c r="J25" i="11"/>
  <c r="J35" i="59"/>
  <c r="J33" i="59"/>
  <c r="J18" i="57"/>
  <c r="J2" i="26"/>
  <c r="J9" i="14"/>
  <c r="J14" i="24"/>
  <c r="J11" i="23"/>
  <c r="J38" i="13"/>
  <c r="J37" i="17"/>
  <c r="J9" i="15"/>
  <c r="J54" i="12"/>
  <c r="J12" i="61"/>
  <c r="J18" i="59"/>
  <c r="J22" i="24"/>
  <c r="J9" i="20"/>
  <c r="J8" i="21"/>
  <c r="J57" i="12"/>
  <c r="J14" i="13"/>
  <c r="J24" i="21"/>
  <c r="J6" i="24"/>
  <c r="J9" i="19"/>
  <c r="J3" i="20"/>
  <c r="J48" i="19"/>
  <c r="J22" i="60"/>
  <c r="J5" i="6"/>
  <c r="J49" i="16"/>
  <c r="J51" i="16"/>
  <c r="J18" i="10"/>
  <c r="J28" i="11"/>
  <c r="J26" i="57"/>
  <c r="J25" i="62"/>
  <c r="J26" i="59"/>
  <c r="J67" i="11"/>
  <c r="J49" i="59"/>
  <c r="J3" i="57"/>
  <c r="J10" i="60"/>
  <c r="J14" i="8"/>
  <c r="J59" i="12"/>
  <c r="J23" i="13"/>
  <c r="J3" i="60"/>
  <c r="J37" i="7"/>
  <c r="J52" i="12"/>
  <c r="J12" i="26"/>
  <c r="J11" i="62"/>
  <c r="J38" i="59"/>
  <c r="J30" i="57"/>
  <c r="J7" i="8"/>
  <c r="J27" i="60"/>
  <c r="J13" i="59"/>
  <c r="J5" i="4"/>
  <c r="J17" i="10"/>
  <c r="J27" i="59"/>
  <c r="J27" i="7"/>
  <c r="J57" i="11"/>
  <c r="J55" i="12"/>
  <c r="J51" i="13"/>
  <c r="J44" i="14"/>
  <c r="J23" i="26"/>
  <c r="J10" i="62"/>
  <c r="J2" i="59"/>
  <c r="J3" i="8"/>
  <c r="J57" i="59"/>
  <c r="J2" i="5"/>
  <c r="J51" i="59"/>
  <c r="J62" i="11"/>
  <c r="J3" i="12"/>
  <c r="J44" i="59"/>
  <c r="J34" i="7"/>
  <c r="J48" i="12"/>
  <c r="J40" i="13"/>
  <c r="J27" i="14"/>
  <c r="J29" i="7"/>
  <c r="J5" i="11"/>
  <c r="J50" i="14"/>
  <c r="J20" i="15"/>
  <c r="J9" i="16"/>
  <c r="J25" i="7"/>
  <c r="J15" i="11"/>
  <c r="J2" i="13"/>
  <c r="J26" i="62"/>
  <c r="J30" i="59"/>
  <c r="J21" i="7"/>
  <c r="J21" i="60"/>
  <c r="J23" i="57"/>
  <c r="J23" i="61"/>
  <c r="J14" i="10"/>
  <c r="J31" i="12"/>
  <c r="J26" i="61"/>
  <c r="J2" i="6"/>
  <c r="J8" i="11"/>
  <c r="J52" i="13"/>
  <c r="J39" i="14"/>
  <c r="J29" i="57"/>
  <c r="J10" i="11"/>
  <c r="J22" i="13"/>
  <c r="J33" i="15"/>
  <c r="J22" i="16"/>
  <c r="J11" i="58"/>
  <c r="J4" i="8"/>
  <c r="J53" i="19"/>
  <c r="J33" i="24"/>
  <c r="J6" i="15"/>
  <c r="J5" i="21"/>
  <c r="J41" i="23"/>
  <c r="J61" i="12"/>
  <c r="J7" i="7"/>
  <c r="J6" i="20"/>
  <c r="J33" i="21"/>
  <c r="J18" i="17"/>
  <c r="J40" i="61"/>
  <c r="J17" i="26"/>
  <c r="J42" i="59"/>
  <c r="J36" i="61"/>
  <c r="J20" i="58"/>
  <c r="J19" i="10"/>
  <c r="J74" i="11"/>
  <c r="J11" i="12"/>
  <c r="J20" i="61"/>
  <c r="J20" i="10"/>
  <c r="J24" i="26"/>
  <c r="J15" i="62"/>
  <c r="J22" i="59"/>
  <c r="J32" i="7"/>
  <c r="J33" i="61"/>
  <c r="J30" i="58"/>
  <c r="J13" i="8"/>
  <c r="J2" i="60"/>
  <c r="J5" i="8"/>
  <c r="J30" i="11"/>
  <c r="J7" i="12"/>
  <c r="J28" i="14"/>
  <c r="J7" i="26"/>
  <c r="J34" i="59"/>
  <c r="J59" i="11"/>
  <c r="J27" i="58"/>
  <c r="J29" i="61"/>
  <c r="J35" i="11"/>
  <c r="J53" i="14"/>
  <c r="J9" i="6"/>
  <c r="J28" i="12"/>
  <c r="J8" i="13"/>
  <c r="J5" i="58"/>
  <c r="J34" i="12"/>
  <c r="J6" i="14"/>
  <c r="J26" i="16"/>
  <c r="J4" i="7"/>
  <c r="J6" i="12"/>
  <c r="J3" i="26"/>
  <c r="J35" i="58"/>
  <c r="J54" i="11"/>
  <c r="J23" i="58"/>
  <c r="J43" i="59"/>
  <c r="J34" i="11"/>
  <c r="J52" i="14"/>
  <c r="J8" i="7"/>
  <c r="J24" i="12"/>
  <c r="J4" i="13"/>
  <c r="J14" i="7"/>
  <c r="J26" i="12"/>
  <c r="J2" i="14"/>
  <c r="J8" i="16"/>
  <c r="J24" i="7"/>
  <c r="J2" i="11"/>
  <c r="J19" i="26"/>
  <c r="J24" i="58"/>
  <c r="J41" i="59"/>
  <c r="J19" i="59"/>
  <c r="J47" i="13"/>
  <c r="J11" i="8"/>
  <c r="J32" i="13"/>
  <c r="J13" i="7"/>
  <c r="J34" i="14"/>
  <c r="J4" i="16"/>
  <c r="J18" i="11"/>
  <c r="J12" i="14"/>
  <c r="J54" i="16"/>
  <c r="J21" i="62"/>
  <c r="J61" i="13"/>
  <c r="J33" i="16"/>
  <c r="J7" i="17"/>
  <c r="J28" i="19"/>
  <c r="J14" i="20"/>
  <c r="J36" i="22"/>
  <c r="J16" i="6"/>
  <c r="J16" i="58"/>
  <c r="J45" i="59"/>
  <c r="J21" i="61"/>
  <c r="J76" i="11"/>
  <c r="J4" i="4"/>
  <c r="J28" i="58"/>
  <c r="J54" i="59"/>
  <c r="J34" i="61"/>
  <c r="J6" i="26"/>
  <c r="J20" i="26"/>
  <c r="J12" i="11"/>
  <c r="J18" i="7"/>
  <c r="J36" i="58"/>
  <c r="J32" i="14"/>
  <c r="J39" i="13"/>
  <c r="J43" i="12"/>
  <c r="J58" i="11"/>
  <c r="J7" i="4"/>
  <c r="J11" i="10"/>
  <c r="J18" i="6"/>
  <c r="J34" i="58"/>
  <c r="J4" i="61"/>
  <c r="J12" i="8"/>
  <c r="J17" i="58"/>
  <c r="J22" i="61"/>
  <c r="J13" i="26"/>
  <c r="J12" i="60"/>
  <c r="J15" i="16"/>
  <c r="J24" i="23"/>
  <c r="J26" i="19"/>
  <c r="J28" i="20"/>
  <c r="J3" i="11"/>
  <c r="J19" i="24"/>
  <c r="J24" i="15"/>
  <c r="J7" i="57"/>
  <c r="J19" i="62"/>
  <c r="J40" i="15"/>
  <c r="J3" i="19"/>
  <c r="J33" i="22"/>
  <c r="J12" i="58"/>
  <c r="J69" i="11"/>
  <c r="J38" i="19"/>
  <c r="J19" i="12"/>
  <c r="J25" i="23"/>
  <c r="J2" i="19"/>
  <c r="J12" i="59"/>
  <c r="J27" i="17"/>
  <c r="J13" i="13"/>
  <c r="J33" i="11"/>
  <c r="J9" i="10"/>
  <c r="J25" i="57"/>
  <c r="J14" i="61"/>
  <c r="J5" i="7"/>
  <c r="J19" i="57"/>
  <c r="J17" i="59"/>
  <c r="J17" i="60"/>
  <c r="J53" i="11"/>
  <c r="J3" i="6"/>
  <c r="J10" i="59"/>
  <c r="J7" i="61"/>
  <c r="J5" i="26"/>
  <c r="J25" i="26"/>
  <c r="J47" i="12"/>
  <c r="J51" i="11"/>
  <c r="J21" i="19"/>
  <c r="J6" i="62"/>
  <c r="J21" i="20"/>
  <c r="J18" i="61"/>
  <c r="J38" i="22"/>
  <c r="J46" i="21"/>
  <c r="J22" i="19"/>
  <c r="J60" i="13"/>
  <c r="J49" i="12"/>
  <c r="J13" i="57"/>
  <c r="J53" i="16"/>
  <c r="J54" i="17"/>
  <c r="J5" i="23"/>
  <c r="J10" i="20"/>
  <c r="J11" i="24"/>
  <c r="J39" i="16"/>
  <c r="J48" i="21"/>
  <c r="J45" i="12"/>
  <c r="J14" i="11"/>
  <c r="J36" i="14"/>
  <c r="J4" i="23"/>
  <c r="J5" i="13"/>
  <c r="J55" i="16"/>
  <c r="J48" i="15"/>
  <c r="J40" i="21"/>
  <c r="J9" i="11"/>
  <c r="J43" i="23"/>
  <c r="J2" i="10"/>
  <c r="J2" i="57"/>
  <c r="J31" i="58"/>
  <c r="J58" i="59"/>
  <c r="J39" i="61"/>
  <c r="J10" i="26"/>
  <c r="J21" i="26"/>
  <c r="J14" i="60"/>
  <c r="J31" i="14"/>
  <c r="J20" i="14"/>
  <c r="J72" i="19"/>
  <c r="J7" i="24"/>
  <c r="J33" i="13"/>
  <c r="J26" i="22"/>
  <c r="J71" i="19"/>
  <c r="J51" i="17"/>
  <c r="J26" i="24"/>
  <c r="J12" i="21"/>
  <c r="J25" i="12"/>
  <c r="J9" i="57"/>
  <c r="J7" i="59"/>
  <c r="J36" i="17"/>
  <c r="J44" i="13"/>
  <c r="J43" i="15"/>
  <c r="J44" i="20"/>
  <c r="J23" i="11"/>
  <c r="J3" i="22"/>
  <c r="J49" i="14"/>
  <c r="J34" i="15"/>
  <c r="J17" i="15"/>
  <c r="J49" i="20"/>
  <c r="J19" i="22"/>
  <c r="J19" i="16"/>
  <c r="J20" i="57"/>
  <c r="J29" i="13"/>
  <c r="J30" i="16"/>
  <c r="J3" i="10"/>
  <c r="J28" i="21"/>
  <c r="J50" i="21"/>
  <c r="J14" i="21"/>
  <c r="J14" i="16"/>
  <c r="J5" i="57"/>
  <c r="J5" i="62"/>
  <c r="J39" i="15"/>
  <c r="J13" i="20"/>
  <c r="J24" i="17"/>
  <c r="J14" i="58"/>
  <c r="J10" i="14"/>
  <c r="J10" i="15"/>
  <c r="J53" i="17"/>
  <c r="J7" i="21"/>
  <c r="J74" i="19"/>
  <c r="J46" i="16"/>
  <c r="J30" i="21"/>
  <c r="J10" i="8"/>
  <c r="J39" i="17"/>
  <c r="J41" i="19"/>
  <c r="J26" i="23"/>
  <c r="J37" i="19"/>
  <c r="J36" i="23"/>
  <c r="J43" i="17"/>
  <c r="J5" i="59"/>
  <c r="J20" i="60"/>
  <c r="J2" i="15"/>
  <c r="J60" i="19"/>
  <c r="J11" i="13"/>
  <c r="J26" i="7"/>
  <c r="J17" i="12"/>
  <c r="J35" i="21"/>
  <c r="J56" i="59"/>
  <c r="J47" i="20"/>
  <c r="J25" i="58"/>
  <c r="J33" i="14"/>
  <c r="J10" i="23"/>
  <c r="J9" i="22"/>
  <c r="J15" i="20"/>
  <c r="J28" i="17"/>
  <c r="J30" i="24"/>
  <c r="J23" i="19"/>
  <c r="J24" i="59"/>
  <c r="J5" i="22"/>
  <c r="J44" i="16"/>
  <c r="J35" i="15"/>
  <c r="J13" i="6"/>
  <c r="J46" i="59"/>
  <c r="J11" i="21"/>
  <c r="J9" i="21"/>
  <c r="J2" i="18"/>
  <c r="J8" i="20"/>
  <c r="J32" i="61"/>
  <c r="J22" i="15"/>
  <c r="J6" i="58"/>
  <c r="J46" i="17"/>
  <c r="J11" i="16"/>
  <c r="J8" i="58"/>
  <c r="J20" i="19"/>
  <c r="J25" i="15"/>
  <c r="J13" i="62"/>
  <c r="J15" i="12"/>
  <c r="J42" i="12"/>
  <c r="J4" i="14"/>
  <c r="J30" i="15"/>
  <c r="J68" i="11"/>
  <c r="J63" i="11"/>
  <c r="J52" i="16"/>
  <c r="J41" i="16"/>
  <c r="J19" i="17"/>
  <c r="J13" i="22"/>
  <c r="J15" i="19"/>
  <c r="J44" i="17"/>
  <c r="J6" i="21"/>
  <c r="J23" i="14"/>
  <c r="J24" i="19"/>
  <c r="J30" i="22"/>
  <c r="J25" i="17"/>
  <c r="J20" i="23"/>
  <c r="J37" i="21"/>
  <c r="J12" i="57"/>
  <c r="J47" i="15"/>
  <c r="J38" i="23"/>
  <c r="J39" i="20"/>
  <c r="J32" i="15"/>
  <c r="J33" i="17"/>
  <c r="J37" i="22"/>
  <c r="J15" i="17"/>
  <c r="J36" i="16"/>
  <c r="J23" i="7"/>
  <c r="J16" i="13"/>
  <c r="J24" i="62"/>
  <c r="J20" i="24"/>
  <c r="J54" i="19"/>
  <c r="J16" i="20"/>
  <c r="J35" i="19"/>
  <c r="J30" i="23"/>
  <c r="J52" i="17"/>
  <c r="J18" i="19"/>
  <c r="J16" i="16"/>
  <c r="J48" i="13"/>
  <c r="J48" i="17"/>
  <c r="J36" i="11"/>
  <c r="J45" i="13"/>
  <c r="J10" i="12"/>
  <c r="J18" i="26"/>
  <c r="J28" i="22"/>
  <c r="J12" i="13"/>
  <c r="J32" i="21"/>
  <c r="J17" i="21"/>
  <c r="J17" i="24"/>
  <c r="J27" i="21"/>
  <c r="J28" i="24"/>
  <c r="J38" i="20"/>
  <c r="J38" i="17"/>
  <c r="J50" i="19"/>
  <c r="J6" i="10"/>
  <c r="J21" i="23"/>
  <c r="J22" i="21"/>
  <c r="J55" i="19"/>
  <c r="J53" i="12"/>
  <c r="J59" i="19"/>
  <c r="J24" i="24"/>
  <c r="J40" i="20"/>
  <c r="J45" i="17"/>
  <c r="J18" i="62"/>
  <c r="J10" i="13"/>
  <c r="J41" i="15"/>
  <c r="J20" i="12"/>
  <c r="J9" i="59"/>
  <c r="J44" i="19"/>
  <c r="J27" i="23"/>
  <c r="J37" i="13"/>
  <c r="J26" i="21"/>
  <c r="J29" i="19"/>
  <c r="J41" i="13"/>
  <c r="J10" i="22"/>
  <c r="J43" i="19"/>
  <c r="J19" i="7"/>
  <c r="J7" i="23"/>
  <c r="J5" i="15"/>
  <c r="J18" i="12"/>
  <c r="J14" i="59"/>
  <c r="J22" i="11"/>
  <c r="J12" i="22"/>
  <c r="J49" i="17"/>
  <c r="J50" i="13"/>
  <c r="J2" i="8"/>
  <c r="J29" i="17"/>
  <c r="J17" i="23"/>
  <c r="J21" i="16"/>
  <c r="J45" i="20"/>
  <c r="J17" i="20"/>
  <c r="J14" i="17"/>
  <c r="J17" i="13"/>
  <c r="J4" i="62"/>
  <c r="J28" i="15"/>
  <c r="J23" i="23"/>
  <c r="J5" i="20"/>
  <c r="J68" i="19"/>
  <c r="J38" i="15"/>
  <c r="J2" i="16"/>
  <c r="J16" i="14"/>
  <c r="J8" i="61"/>
  <c r="J7" i="11"/>
  <c r="J44" i="11"/>
  <c r="J12" i="6"/>
  <c r="J9" i="26"/>
  <c r="J13" i="14"/>
  <c r="J25" i="22"/>
  <c r="J37" i="16"/>
  <c r="J42" i="23"/>
  <c r="J57" i="16"/>
  <c r="J12" i="16"/>
  <c r="J42" i="17"/>
  <c r="J6" i="23"/>
  <c r="J34" i="21"/>
  <c r="J75" i="19"/>
  <c r="J32" i="11"/>
  <c r="J16" i="17"/>
  <c r="J44" i="21"/>
  <c r="J22" i="62"/>
  <c r="J14" i="14"/>
  <c r="J15" i="13"/>
  <c r="J58" i="19"/>
  <c r="J9" i="61"/>
  <c r="J6" i="60"/>
  <c r="J45" i="19"/>
  <c r="J20" i="62"/>
  <c r="J17" i="11"/>
  <c r="J28" i="13"/>
  <c r="J18" i="60"/>
  <c r="J29" i="14"/>
  <c r="J21" i="21"/>
  <c r="J52" i="19"/>
  <c r="J5" i="19"/>
  <c r="J26" i="20"/>
  <c r="J17" i="61"/>
  <c r="J17" i="6"/>
  <c r="J11" i="60"/>
  <c r="J22" i="57"/>
  <c r="J33" i="20"/>
  <c r="J4" i="24"/>
  <c r="J44" i="23"/>
  <c r="J42" i="20"/>
  <c r="J10" i="24"/>
  <c r="J22" i="22"/>
  <c r="J69" i="19"/>
  <c r="J29" i="20"/>
  <c r="J27" i="20"/>
  <c r="J19" i="15"/>
  <c r="J21" i="24"/>
  <c r="J27" i="22"/>
  <c r="J30" i="20"/>
  <c r="J22" i="17"/>
  <c r="J21" i="12"/>
  <c r="J32" i="20"/>
  <c r="J8" i="24"/>
  <c r="J33" i="19"/>
  <c r="J28" i="57"/>
  <c r="J52" i="11"/>
  <c r="J47" i="14"/>
  <c r="J13" i="10"/>
  <c r="J34" i="19"/>
  <c r="J49" i="13"/>
  <c r="J3" i="17"/>
  <c r="J32" i="23"/>
  <c r="J25" i="19"/>
  <c r="J17" i="14"/>
  <c r="J18" i="15"/>
  <c r="J2" i="63"/>
  <c r="BW49" i="63" s="1"/>
  <c r="BT2" i="63" s="1"/>
  <c r="J35" i="14"/>
  <c r="J5" i="10"/>
  <c r="J6" i="22"/>
  <c r="J28" i="16"/>
  <c r="J57" i="13"/>
  <c r="J29" i="16"/>
  <c r="J7" i="15"/>
  <c r="J32" i="22"/>
  <c r="J25" i="13"/>
  <c r="J37" i="14"/>
  <c r="J39" i="23"/>
  <c r="J22" i="20"/>
  <c r="J2" i="17"/>
  <c r="J25" i="14"/>
  <c r="J20" i="16"/>
  <c r="J24" i="14"/>
  <c r="J13" i="16"/>
  <c r="J16" i="10"/>
  <c r="J56" i="12"/>
  <c r="J29" i="11"/>
  <c r="J15" i="60"/>
  <c r="J8" i="26"/>
  <c r="J5" i="17"/>
  <c r="J23" i="15"/>
  <c r="J66" i="11"/>
  <c r="J41" i="20"/>
  <c r="J11" i="15"/>
  <c r="J23" i="24"/>
  <c r="J29" i="22"/>
  <c r="J35" i="20"/>
  <c r="J65" i="19"/>
  <c r="J25" i="16"/>
  <c r="J13" i="11"/>
  <c r="J32" i="16"/>
  <c r="J8" i="14"/>
  <c r="J22" i="7"/>
  <c r="J29" i="15"/>
  <c r="J12" i="7"/>
  <c r="J16" i="12"/>
  <c r="J3" i="61"/>
  <c r="J37" i="59"/>
  <c r="J3" i="23"/>
  <c r="J9" i="12"/>
  <c r="J31" i="16"/>
  <c r="J61" i="19"/>
  <c r="J46" i="20"/>
  <c r="J10" i="16"/>
  <c r="J6" i="8"/>
  <c r="J4" i="17"/>
  <c r="J3" i="4"/>
  <c r="J23" i="21"/>
  <c r="J21" i="11"/>
  <c r="J15" i="22"/>
  <c r="J34" i="20"/>
  <c r="J26" i="15"/>
  <c r="J9" i="8"/>
  <c r="J21" i="22"/>
  <c r="J4" i="19"/>
  <c r="J32" i="17"/>
  <c r="J33" i="12"/>
  <c r="J45" i="16"/>
  <c r="J14" i="12"/>
  <c r="J8" i="15"/>
  <c r="J22" i="58"/>
  <c r="J35" i="7"/>
  <c r="J2" i="56"/>
  <c r="J2" i="7"/>
  <c r="J11" i="19"/>
  <c r="J30" i="17"/>
  <c r="J19" i="14"/>
  <c r="J4" i="57"/>
  <c r="J39" i="19"/>
  <c r="J9" i="13"/>
  <c r="J8" i="23"/>
  <c r="J16" i="21"/>
  <c r="J6" i="19"/>
  <c r="J6" i="17"/>
  <c r="J21" i="15"/>
  <c r="J16" i="59"/>
  <c r="J50" i="16"/>
  <c r="J38" i="14"/>
  <c r="J21" i="57"/>
  <c r="J26" i="14"/>
  <c r="J47" i="59"/>
  <c r="J60" i="12"/>
  <c r="J43" i="13"/>
  <c r="J6" i="7"/>
  <c r="J45" i="21"/>
  <c r="J5" i="24"/>
  <c r="J4" i="20"/>
  <c r="J28" i="23"/>
  <c r="J17" i="17"/>
  <c r="J42" i="19"/>
  <c r="J26" i="26"/>
  <c r="J33" i="23"/>
  <c r="J39" i="21"/>
  <c r="J48" i="59"/>
  <c r="J3" i="24"/>
  <c r="J42" i="15"/>
  <c r="J37" i="12"/>
  <c r="J19" i="60"/>
  <c r="J11" i="59"/>
  <c r="J8" i="62"/>
  <c r="J14" i="62"/>
  <c r="J16" i="22"/>
  <c r="J25" i="21"/>
  <c r="J23" i="16"/>
  <c r="J76" i="19"/>
  <c r="J16" i="23"/>
  <c r="J18" i="16"/>
  <c r="J12" i="24"/>
  <c r="J41" i="12"/>
  <c r="J53" i="13"/>
  <c r="J14" i="23"/>
  <c r="J65" i="11"/>
  <c r="J8" i="19"/>
  <c r="J49" i="11"/>
  <c r="J27" i="24"/>
  <c r="J9" i="24"/>
  <c r="J23" i="60"/>
  <c r="J37" i="23"/>
  <c r="J32" i="58"/>
  <c r="J36" i="19"/>
  <c r="J8" i="8"/>
  <c r="J49" i="19"/>
  <c r="J11" i="20"/>
  <c r="J2" i="20"/>
  <c r="J27" i="15"/>
  <c r="J31" i="17"/>
  <c r="J40" i="23"/>
  <c r="J6" i="13"/>
  <c r="J26" i="11"/>
  <c r="J11" i="57"/>
  <c r="J21" i="58"/>
  <c r="J21" i="13"/>
  <c r="J47" i="17"/>
  <c r="J7" i="20"/>
  <c r="J11" i="22"/>
  <c r="J2" i="62"/>
  <c r="J11" i="17"/>
  <c r="J47" i="21"/>
  <c r="J4" i="21"/>
  <c r="J31" i="22"/>
  <c r="J47" i="19"/>
  <c r="J19" i="19"/>
  <c r="J30" i="7"/>
  <c r="J46" i="14"/>
  <c r="J20" i="20"/>
  <c r="J20" i="21"/>
  <c r="J10" i="21"/>
  <c r="J8" i="17"/>
  <c r="J46" i="19"/>
  <c r="J16" i="24"/>
  <c r="J24" i="10"/>
  <c r="J25" i="24"/>
  <c r="J12" i="23"/>
  <c r="J9" i="23"/>
  <c r="J50" i="20"/>
  <c r="J35" i="22"/>
  <c r="J36" i="20"/>
  <c r="J17" i="16"/>
  <c r="AG12" i="11"/>
  <c r="AK40" i="11"/>
  <c r="AG59" i="11"/>
  <c r="AL59" i="11" s="1"/>
  <c r="AK15" i="11"/>
  <c r="AG29" i="11"/>
  <c r="AH4" i="11"/>
  <c r="AH59" i="11"/>
  <c r="AK4" i="11"/>
  <c r="AG38" i="11"/>
  <c r="AL38" i="11"/>
  <c r="AG74" i="11"/>
  <c r="AH74" i="11" s="1"/>
  <c r="AL74" i="11"/>
  <c r="AK22" i="11"/>
  <c r="AG22" i="11"/>
  <c r="AH22" i="11" s="1"/>
  <c r="AM22" i="11" s="1"/>
  <c r="AK27" i="11"/>
  <c r="AG27" i="11"/>
  <c r="AL27" i="11"/>
  <c r="AG44" i="11"/>
  <c r="AL44" i="11" s="1"/>
  <c r="AK36" i="11"/>
  <c r="AK71" i="11"/>
  <c r="AG71" i="11"/>
  <c r="AH71" i="11" s="1"/>
  <c r="AI71" i="11" s="1"/>
  <c r="AG14" i="11"/>
  <c r="AH14" i="11" s="1"/>
  <c r="AG33" i="11"/>
  <c r="AH33" i="11" s="1"/>
  <c r="AI33" i="11" s="1"/>
  <c r="AK33" i="11"/>
  <c r="AK62" i="11"/>
  <c r="AK69" i="11"/>
  <c r="AG69" i="11"/>
  <c r="AK9" i="11"/>
  <c r="AG9" i="11"/>
  <c r="AK76" i="11"/>
  <c r="AL76" i="11"/>
  <c r="AK32" i="11"/>
  <c r="AG32" i="11"/>
  <c r="AK2" i="11"/>
  <c r="AG2" i="11"/>
  <c r="AG70" i="11"/>
  <c r="AG11" i="11"/>
  <c r="AL11" i="11" s="1"/>
  <c r="AK11" i="11"/>
  <c r="AG54" i="11"/>
  <c r="AG43" i="11"/>
  <c r="AK43" i="11"/>
  <c r="AG57" i="11"/>
  <c r="AG19" i="11"/>
  <c r="AK19" i="11"/>
  <c r="AG55" i="11"/>
  <c r="AL55" i="11" s="1"/>
  <c r="AK20" i="11"/>
  <c r="AG20" i="11"/>
  <c r="AK52" i="11"/>
  <c r="AG61" i="11"/>
  <c r="AK61" i="11"/>
  <c r="AK10" i="11"/>
  <c r="AK42" i="11"/>
  <c r="AG42" i="11"/>
  <c r="AK72" i="11"/>
  <c r="AK34" i="11"/>
  <c r="AG34" i="11"/>
  <c r="AK41" i="11"/>
  <c r="AG3" i="11"/>
  <c r="AL3" i="11" s="1"/>
  <c r="AK3" i="11"/>
  <c r="AK65" i="11"/>
  <c r="AG8" i="11"/>
  <c r="AH8" i="11" s="1"/>
  <c r="AK8" i="11"/>
  <c r="AG50" i="11"/>
  <c r="AH50" i="11" s="1"/>
  <c r="AM50" i="11" s="1"/>
  <c r="AL40" i="11"/>
  <c r="AH40" i="11"/>
  <c r="AK48" i="11"/>
  <c r="AH15" i="11"/>
  <c r="AI15" i="11" s="1"/>
  <c r="AL15" i="11"/>
  <c r="AG58" i="11"/>
  <c r="AK60" i="11"/>
  <c r="AK25" i="11"/>
  <c r="AK17" i="11"/>
  <c r="AG17" i="11"/>
  <c r="AL17" i="11" s="1"/>
  <c r="AK24" i="11"/>
  <c r="AK7" i="11"/>
  <c r="AG7" i="11"/>
  <c r="AG73" i="11"/>
  <c r="AK51" i="11"/>
  <c r="AG51" i="11"/>
  <c r="AL51" i="11" s="1"/>
  <c r="AK64" i="11"/>
  <c r="AG64" i="11"/>
  <c r="AK56" i="11"/>
  <c r="AG37" i="11"/>
  <c r="AK37" i="11"/>
  <c r="AG13" i="11"/>
  <c r="AL13" i="11" s="1"/>
  <c r="AK6" i="11"/>
  <c r="AG6" i="11"/>
  <c r="AK47" i="11"/>
  <c r="AG45" i="11"/>
  <c r="AK45" i="11"/>
  <c r="AG30" i="11"/>
  <c r="AH30" i="11" s="1"/>
  <c r="AK46" i="11"/>
  <c r="AG46" i="11"/>
  <c r="AH46" i="11" s="1"/>
  <c r="AK68" i="11"/>
  <c r="AH38" i="11"/>
  <c r="AI59" i="11"/>
  <c r="AM59" i="11"/>
  <c r="AL22" i="11"/>
  <c r="AH76" i="11"/>
  <c r="AH27" i="11"/>
  <c r="AI27" i="11" s="1"/>
  <c r="AJ27" i="11" s="1"/>
  <c r="AO27" i="11" s="1"/>
  <c r="AL33" i="11"/>
  <c r="AL9" i="11"/>
  <c r="AH9" i="11"/>
  <c r="AI9" i="11" s="1"/>
  <c r="AN9" i="11" s="1"/>
  <c r="AL14" i="11"/>
  <c r="AH44" i="11"/>
  <c r="AI22" i="11"/>
  <c r="AN22" i="11" s="1"/>
  <c r="AL71" i="11"/>
  <c r="AH36" i="11"/>
  <c r="AL36" i="11"/>
  <c r="AL30" i="11"/>
  <c r="AH13" i="11"/>
  <c r="AH51" i="11"/>
  <c r="AI51" i="11" s="1"/>
  <c r="AN51" i="11" s="1"/>
  <c r="AH73" i="11"/>
  <c r="AI73" i="11" s="1"/>
  <c r="AJ73" i="11" s="1"/>
  <c r="AL73" i="11"/>
  <c r="AL48" i="11"/>
  <c r="AH48" i="11"/>
  <c r="AH65" i="11"/>
  <c r="AH41" i="11"/>
  <c r="AM41" i="11" s="1"/>
  <c r="AL41" i="11"/>
  <c r="AL72" i="11"/>
  <c r="AL10" i="11"/>
  <c r="AH10" i="11"/>
  <c r="AM10" i="11" s="1"/>
  <c r="AL52" i="11"/>
  <c r="AL68" i="11"/>
  <c r="AH47" i="11"/>
  <c r="AI47" i="11" s="1"/>
  <c r="AL47" i="11"/>
  <c r="AL56" i="11"/>
  <c r="AH24" i="11"/>
  <c r="AM24" i="11" s="1"/>
  <c r="AL24" i="11"/>
  <c r="AL25" i="11"/>
  <c r="AH34" i="11"/>
  <c r="AL34" i="11"/>
  <c r="AL20" i="11"/>
  <c r="AH20" i="11"/>
  <c r="AL57" i="11"/>
  <c r="AH57" i="11"/>
  <c r="AM57" i="11" s="1"/>
  <c r="AH70" i="11"/>
  <c r="AI70" i="11" s="1"/>
  <c r="AN70" i="11" s="1"/>
  <c r="AL70" i="11"/>
  <c r="AL46" i="11"/>
  <c r="AL6" i="11"/>
  <c r="AH6" i="11"/>
  <c r="AI6" i="11" s="1"/>
  <c r="AJ6" i="11" s="1"/>
  <c r="AO6" i="11" s="1"/>
  <c r="AH17" i="11"/>
  <c r="AM15" i="11"/>
  <c r="AH3" i="11"/>
  <c r="AH37" i="11"/>
  <c r="AM37" i="11" s="1"/>
  <c r="AL37" i="11"/>
  <c r="AL60" i="11"/>
  <c r="AL50" i="11"/>
  <c r="AH55" i="11"/>
  <c r="AI55" i="11" s="1"/>
  <c r="AH43" i="11"/>
  <c r="AL43" i="11"/>
  <c r="AH11" i="11"/>
  <c r="AM11" i="11" s="1"/>
  <c r="AM27" i="11"/>
  <c r="AM71" i="11"/>
  <c r="AM9" i="11"/>
  <c r="AJ22" i="11"/>
  <c r="AO22" i="11" s="1"/>
  <c r="AM33" i="11"/>
  <c r="AM14" i="11"/>
  <c r="AI14" i="11"/>
  <c r="AN14" i="11" s="1"/>
  <c r="AI50" i="11"/>
  <c r="AI13" i="11"/>
  <c r="AM13" i="11"/>
  <c r="AI24" i="11"/>
  <c r="AM47" i="11"/>
  <c r="AM52" i="11"/>
  <c r="AI52" i="11"/>
  <c r="AN52" i="11" s="1"/>
  <c r="AI72" i="11"/>
  <c r="AJ72" i="11" s="1"/>
  <c r="AM73" i="11"/>
  <c r="AI11" i="11"/>
  <c r="AJ11" i="11" s="1"/>
  <c r="AJ15" i="11"/>
  <c r="AO15" i="11" s="1"/>
  <c r="AN15" i="11"/>
  <c r="AM6" i="11"/>
  <c r="AI57" i="11"/>
  <c r="AN57" i="11" s="1"/>
  <c r="AI10" i="11"/>
  <c r="AM51" i="11"/>
  <c r="AN27" i="11"/>
  <c r="AI60" i="11"/>
  <c r="AN60" i="11" s="1"/>
  <c r="AI37" i="11"/>
  <c r="AN37" i="11" s="1"/>
  <c r="AM70" i="11"/>
  <c r="AI25" i="11"/>
  <c r="AJ25" i="11" s="1"/>
  <c r="AM25" i="11"/>
  <c r="AM56" i="11"/>
  <c r="AI68" i="11"/>
  <c r="AJ68" i="11" s="1"/>
  <c r="AO68" i="11" s="1"/>
  <c r="AM68" i="11"/>
  <c r="AI41" i="11"/>
  <c r="AM30" i="11"/>
  <c r="AI30" i="11"/>
  <c r="AN30" i="11" s="1"/>
  <c r="AN71" i="11"/>
  <c r="AJ71" i="11"/>
  <c r="AO71" i="11" s="1"/>
  <c r="AJ14" i="11"/>
  <c r="AO14" i="11" s="1"/>
  <c r="AJ9" i="11"/>
  <c r="AO9" i="11" s="1"/>
  <c r="AN56" i="11"/>
  <c r="AJ56" i="11"/>
  <c r="AO56" i="11"/>
  <c r="AJ70" i="11"/>
  <c r="AO70" i="11" s="1"/>
  <c r="AJ60" i="11"/>
  <c r="AO60" i="11" s="1"/>
  <c r="AN6" i="11"/>
  <c r="AN72" i="11"/>
  <c r="AO72" i="11"/>
  <c r="AN11" i="11"/>
  <c r="AO11" i="11"/>
  <c r="AJ52" i="11"/>
  <c r="AO52" i="11" s="1"/>
  <c r="AN68" i="11"/>
  <c r="AO25" i="11"/>
  <c r="AN25" i="11"/>
  <c r="AJ37" i="11"/>
  <c r="AO37" i="11" s="1"/>
  <c r="AJ51" i="11"/>
  <c r="AO51" i="11" s="1"/>
  <c r="AN10" i="11"/>
  <c r="AJ10" i="11"/>
  <c r="AO10" i="11" s="1"/>
  <c r="AN47" i="11"/>
  <c r="AJ47" i="11"/>
  <c r="AO47" i="11" s="1"/>
  <c r="AJ30" i="11"/>
  <c r="AO30" i="11" s="1"/>
  <c r="AJ57" i="11"/>
  <c r="AO57" i="11" s="1"/>
  <c r="AO73" i="11"/>
  <c r="AN73" i="11"/>
  <c r="AN6" i="60"/>
  <c r="AT5" i="60"/>
  <c r="AN8" i="60"/>
  <c r="AR8" i="60"/>
  <c r="AN7" i="60"/>
  <c r="AR7" i="60"/>
  <c r="AU7" i="60"/>
  <c r="AR6" i="60"/>
  <c r="AU6" i="60" s="1"/>
  <c r="AR9" i="60"/>
  <c r="AU9" i="60"/>
  <c r="AN9" i="60"/>
  <c r="AN10" i="60"/>
  <c r="AR10" i="60"/>
  <c r="AU10" i="60"/>
  <c r="AN5" i="60"/>
  <c r="AI43" i="11" l="1"/>
  <c r="AM43" i="11"/>
  <c r="AL58" i="11"/>
  <c r="AH58" i="11"/>
  <c r="AM4" i="11"/>
  <c r="AI4" i="11"/>
  <c r="AU5" i="60"/>
  <c r="AN24" i="11"/>
  <c r="AJ24" i="11"/>
  <c r="AO24" i="11" s="1"/>
  <c r="AJ50" i="11"/>
  <c r="AO50" i="11" s="1"/>
  <c r="AN50" i="11"/>
  <c r="AI34" i="11"/>
  <c r="AM34" i="11"/>
  <c r="AH7" i="11"/>
  <c r="AL7" i="11"/>
  <c r="AI17" i="11"/>
  <c r="AM17" i="11"/>
  <c r="AH19" i="11"/>
  <c r="AL19" i="11"/>
  <c r="AH54" i="11"/>
  <c r="AL54" i="11"/>
  <c r="AH2" i="11"/>
  <c r="AL2" i="11"/>
  <c r="AN33" i="11"/>
  <c r="AJ33" i="11"/>
  <c r="AO33" i="11" s="1"/>
  <c r="AK5" i="11"/>
  <c r="AG5" i="11"/>
  <c r="AK66" i="11"/>
  <c r="AG66" i="11"/>
  <c r="AM8" i="11"/>
  <c r="AI8" i="11"/>
  <c r="AH42" i="11"/>
  <c r="AL42" i="11"/>
  <c r="AL61" i="11"/>
  <c r="AH61" i="11"/>
  <c r="AU8" i="60"/>
  <c r="AN41" i="11"/>
  <c r="AJ41" i="11"/>
  <c r="AO41" i="11" s="1"/>
  <c r="AM55" i="11"/>
  <c r="AL8" i="11"/>
  <c r="AI76" i="11"/>
  <c r="AM76" i="11"/>
  <c r="AJ59" i="11"/>
  <c r="AO59" i="11" s="1"/>
  <c r="AN59" i="11"/>
  <c r="AM46" i="11"/>
  <c r="AI46" i="11"/>
  <c r="AL45" i="11"/>
  <c r="AH45" i="11"/>
  <c r="AH64" i="11"/>
  <c r="AL64" i="11"/>
  <c r="AL69" i="11"/>
  <c r="AH69" i="11"/>
  <c r="AB18" i="31"/>
  <c r="AC1" i="31"/>
  <c r="AK21" i="11"/>
  <c r="AG21" i="11"/>
  <c r="AN13" i="11"/>
  <c r="AJ13" i="11"/>
  <c r="AO13" i="11" s="1"/>
  <c r="AN55" i="11"/>
  <c r="AJ55" i="11"/>
  <c r="AO55" i="11" s="1"/>
  <c r="AM3" i="11"/>
  <c r="AI3" i="11"/>
  <c r="AI20" i="11"/>
  <c r="AM20" i="11"/>
  <c r="AM40" i="11"/>
  <c r="AI40" i="11"/>
  <c r="AI48" i="11"/>
  <c r="AM48" i="11"/>
  <c r="AI44" i="11"/>
  <c r="AM44" i="11"/>
  <c r="AH29" i="11"/>
  <c r="AL29" i="11"/>
  <c r="AH12" i="11"/>
  <c r="AL12" i="11"/>
  <c r="AG18" i="11"/>
  <c r="AK18" i="11"/>
  <c r="AM38" i="11"/>
  <c r="AI38" i="11"/>
  <c r="AM74" i="11"/>
  <c r="AI74" i="11"/>
  <c r="AG67" i="11"/>
  <c r="AK67" i="11"/>
  <c r="AH62" i="11"/>
  <c r="AL62" i="11"/>
  <c r="AM65" i="11"/>
  <c r="AI65" i="11"/>
  <c r="AM36" i="11"/>
  <c r="AI36" i="11"/>
  <c r="AH32" i="11"/>
  <c r="AL32" i="11"/>
  <c r="AG75" i="11"/>
  <c r="AK75" i="11"/>
  <c r="AG28" i="11"/>
  <c r="AK28" i="11"/>
  <c r="AG31" i="11"/>
  <c r="AK31" i="11"/>
  <c r="F22" i="10"/>
  <c r="F27" i="20"/>
  <c r="F12" i="6"/>
  <c r="F23" i="20"/>
  <c r="F15" i="61"/>
  <c r="F52" i="17"/>
  <c r="F41" i="14"/>
  <c r="F5" i="12"/>
  <c r="F45" i="21"/>
  <c r="F21" i="11"/>
  <c r="F28" i="57"/>
  <c r="F28" i="58"/>
  <c r="F18" i="59"/>
  <c r="F48" i="16"/>
  <c r="F51" i="59"/>
  <c r="F22" i="7"/>
  <c r="F12" i="61"/>
  <c r="F43" i="14"/>
  <c r="F4" i="26"/>
  <c r="F8" i="21"/>
  <c r="F35" i="21"/>
  <c r="F6" i="14"/>
  <c r="F31" i="7"/>
  <c r="F40" i="11"/>
  <c r="F40" i="15"/>
  <c r="F8" i="6"/>
  <c r="F33" i="20"/>
  <c r="F22" i="14"/>
  <c r="F5" i="17"/>
  <c r="F36" i="19"/>
  <c r="F19" i="61"/>
  <c r="F2" i="14"/>
  <c r="F59" i="19"/>
  <c r="F16" i="14"/>
  <c r="F55" i="59"/>
  <c r="F3" i="8"/>
  <c r="F51" i="13"/>
  <c r="F11" i="19"/>
  <c r="F38" i="12"/>
  <c r="F14" i="57"/>
  <c r="F28" i="14"/>
  <c r="F29" i="61"/>
  <c r="F40" i="14"/>
  <c r="F12" i="8"/>
  <c r="F11" i="13"/>
  <c r="F29" i="23"/>
  <c r="F28" i="16"/>
  <c r="F25" i="21"/>
  <c r="F69" i="19"/>
  <c r="F14" i="14"/>
  <c r="F27" i="17"/>
  <c r="F5" i="16"/>
  <c r="F40" i="16"/>
  <c r="F2" i="10"/>
  <c r="F20" i="26"/>
  <c r="F15" i="8"/>
  <c r="F13" i="57"/>
  <c r="F11" i="16"/>
  <c r="F5" i="6"/>
  <c r="F2" i="27"/>
  <c r="F65" i="11"/>
  <c r="F64" i="11"/>
  <c r="F51" i="11"/>
  <c r="F25" i="14"/>
  <c r="F3" i="20"/>
  <c r="F11" i="17"/>
  <c r="F20" i="14"/>
  <c r="F32" i="12"/>
  <c r="F2" i="57"/>
  <c r="F48" i="14"/>
  <c r="F26" i="58"/>
  <c r="F15" i="21"/>
  <c r="F68" i="19"/>
  <c r="F67" i="19"/>
  <c r="F46" i="12"/>
  <c r="F23" i="21"/>
  <c r="F26" i="7"/>
  <c r="F27" i="60"/>
  <c r="F25" i="22"/>
  <c r="F13" i="58"/>
  <c r="F26" i="21"/>
  <c r="F15" i="57"/>
  <c r="F16" i="10"/>
  <c r="F13" i="61"/>
  <c r="F50" i="13"/>
  <c r="F36" i="20"/>
  <c r="F8" i="14"/>
  <c r="F9" i="20"/>
  <c r="F26" i="13"/>
  <c r="F25" i="58"/>
  <c r="F3" i="7"/>
  <c r="F56" i="16"/>
  <c r="F74" i="11"/>
  <c r="F5" i="57"/>
  <c r="F22" i="58"/>
  <c r="F26" i="14"/>
  <c r="F2" i="25"/>
  <c r="F48" i="59"/>
  <c r="F26" i="59"/>
  <c r="F31" i="11"/>
  <c r="F13" i="59"/>
  <c r="F22" i="59"/>
  <c r="F30" i="14"/>
  <c r="F12" i="11"/>
  <c r="F18" i="20"/>
  <c r="F18" i="23"/>
  <c r="F29" i="22"/>
  <c r="F51" i="17"/>
  <c r="F36" i="13"/>
  <c r="F6" i="16"/>
  <c r="F30" i="20"/>
  <c r="F3" i="22"/>
  <c r="F48" i="20"/>
  <c r="F20" i="57"/>
  <c r="F55" i="11"/>
  <c r="F37" i="61"/>
  <c r="F28" i="11"/>
  <c r="F20" i="16"/>
  <c r="F7" i="16"/>
  <c r="F69" i="11"/>
  <c r="F48" i="12"/>
  <c r="F5" i="26"/>
  <c r="F21" i="57"/>
  <c r="F58" i="59"/>
  <c r="F21" i="13"/>
  <c r="F18" i="16"/>
  <c r="F14" i="26"/>
  <c r="F8" i="24"/>
  <c r="F40" i="19"/>
  <c r="F47" i="15"/>
  <c r="F36" i="58"/>
  <c r="F23" i="13"/>
  <c r="F33" i="12"/>
  <c r="F6" i="24"/>
  <c r="F40" i="21"/>
  <c r="F21" i="23"/>
  <c r="F31" i="59"/>
  <c r="F20" i="62"/>
  <c r="F17" i="13"/>
  <c r="F32" i="14"/>
  <c r="F11" i="59"/>
  <c r="F36" i="22"/>
  <c r="F27" i="12"/>
  <c r="F64" i="19"/>
  <c r="F23" i="59"/>
  <c r="F19" i="15"/>
  <c r="F9" i="17"/>
  <c r="F22" i="26"/>
  <c r="F44" i="13"/>
  <c r="F14" i="16"/>
  <c r="F53" i="16"/>
  <c r="F39" i="11"/>
  <c r="F43" i="20"/>
  <c r="F42" i="20"/>
  <c r="F31" i="21"/>
  <c r="F17" i="10"/>
  <c r="F14" i="60"/>
  <c r="F28" i="7"/>
  <c r="F47" i="17"/>
  <c r="F26" i="23"/>
  <c r="F59" i="11"/>
  <c r="F24" i="14"/>
  <c r="F26" i="22"/>
  <c r="F19" i="19"/>
  <c r="F32" i="23"/>
  <c r="F13" i="17"/>
  <c r="F47" i="16"/>
  <c r="F49" i="19"/>
  <c r="F58" i="11"/>
  <c r="F6" i="26"/>
  <c r="F12" i="20"/>
  <c r="F14" i="21"/>
  <c r="F60" i="11"/>
  <c r="F6" i="21"/>
  <c r="F27" i="21"/>
  <c r="F28" i="12"/>
  <c r="F35" i="13"/>
  <c r="F36" i="59"/>
  <c r="F32" i="17"/>
  <c r="F35" i="17"/>
  <c r="F31" i="22"/>
  <c r="F16" i="15"/>
  <c r="F7" i="26"/>
  <c r="F37" i="17"/>
  <c r="F19" i="14"/>
  <c r="F2" i="20"/>
  <c r="F12" i="19"/>
  <c r="F10" i="60"/>
  <c r="F38" i="16"/>
  <c r="F11" i="26"/>
  <c r="F29" i="17"/>
  <c r="F6" i="23"/>
  <c r="F42" i="13"/>
  <c r="F3" i="13"/>
  <c r="F23" i="57"/>
  <c r="F7" i="24"/>
  <c r="F17" i="16"/>
  <c r="F3" i="57"/>
  <c r="F31" i="58"/>
  <c r="F29" i="58"/>
  <c r="F44" i="16"/>
  <c r="F41" i="11"/>
  <c r="F28" i="61"/>
  <c r="F35" i="59"/>
  <c r="F5" i="60"/>
  <c r="F4" i="61"/>
  <c r="F18" i="14"/>
  <c r="F59" i="12"/>
  <c r="F24" i="59"/>
  <c r="F56" i="11"/>
  <c r="F10" i="19"/>
  <c r="F6" i="59"/>
  <c r="F34" i="15"/>
  <c r="F37" i="58"/>
  <c r="F61" i="12"/>
  <c r="F29" i="12"/>
  <c r="F48" i="17"/>
  <c r="F18" i="11"/>
  <c r="F21" i="14"/>
  <c r="F20" i="12"/>
  <c r="F2" i="24"/>
  <c r="F53" i="13"/>
  <c r="F22" i="20"/>
  <c r="F7" i="6"/>
  <c r="F7" i="8"/>
  <c r="F17" i="58"/>
  <c r="F32" i="24"/>
  <c r="F5" i="19"/>
  <c r="F14" i="62"/>
  <c r="F30" i="15"/>
  <c r="F61" i="13"/>
  <c r="F2" i="21"/>
  <c r="F34" i="11"/>
  <c r="F57" i="59"/>
  <c r="F9" i="61"/>
  <c r="F26" i="12"/>
  <c r="F15" i="10"/>
  <c r="F23" i="14"/>
  <c r="F45" i="19"/>
  <c r="F9" i="26"/>
  <c r="F72" i="19"/>
  <c r="F56" i="13"/>
  <c r="F54" i="17"/>
  <c r="F7" i="11"/>
  <c r="F25" i="23"/>
  <c r="F29" i="11"/>
  <c r="F7" i="17"/>
  <c r="F7" i="58"/>
  <c r="F18" i="26"/>
  <c r="F30" i="58"/>
  <c r="F33" i="16"/>
  <c r="F29" i="57"/>
  <c r="F42" i="14"/>
  <c r="F36" i="16"/>
  <c r="F28" i="24"/>
  <c r="F16" i="17"/>
  <c r="F32" i="22"/>
  <c r="F76" i="19"/>
  <c r="F19" i="22"/>
  <c r="F16" i="24"/>
  <c r="F27" i="22"/>
  <c r="F23" i="61"/>
  <c r="F36" i="14"/>
  <c r="F2" i="6"/>
  <c r="F30" i="61"/>
  <c r="F6" i="7"/>
  <c r="F17" i="61"/>
  <c r="F42" i="12"/>
  <c r="F24" i="15"/>
  <c r="F40" i="17"/>
  <c r="F42" i="19"/>
  <c r="F33" i="11"/>
  <c r="F50" i="17"/>
  <c r="F54" i="59"/>
  <c r="F44" i="59"/>
  <c r="F40" i="59"/>
  <c r="F26" i="10"/>
  <c r="F13" i="13"/>
  <c r="F33" i="59"/>
  <c r="F38" i="14"/>
  <c r="F31" i="24"/>
  <c r="F14" i="10"/>
  <c r="F6" i="57"/>
  <c r="F17" i="11"/>
  <c r="F49" i="17"/>
  <c r="F5" i="20"/>
  <c r="F8" i="22"/>
  <c r="F10" i="12"/>
  <c r="F55" i="19"/>
  <c r="F47" i="11"/>
  <c r="F22" i="62"/>
  <c r="F8" i="7"/>
  <c r="F75" i="11"/>
  <c r="F42" i="15"/>
  <c r="F62" i="11"/>
  <c r="F53" i="12"/>
  <c r="F42" i="23"/>
  <c r="F54" i="12"/>
  <c r="F17" i="62"/>
  <c r="F33" i="17"/>
  <c r="F30" i="19"/>
  <c r="F24" i="21"/>
  <c r="F16" i="13"/>
  <c r="F12" i="58"/>
  <c r="F2" i="5"/>
  <c r="F22" i="21"/>
  <c r="F24" i="24"/>
  <c r="F9" i="15"/>
  <c r="F25" i="10"/>
  <c r="F42" i="11"/>
  <c r="F16" i="8"/>
  <c r="F3" i="61"/>
  <c r="F6" i="20"/>
  <c r="F29" i="21"/>
  <c r="F2" i="7"/>
  <c r="F28" i="19"/>
  <c r="F23" i="19"/>
  <c r="F26" i="16"/>
  <c r="F2" i="13"/>
  <c r="F14" i="6"/>
  <c r="F25" i="17"/>
  <c r="F2" i="22"/>
  <c r="F14" i="19"/>
  <c r="F17" i="60"/>
  <c r="F8" i="19"/>
  <c r="F29" i="24"/>
  <c r="F21" i="20"/>
  <c r="F23" i="7"/>
  <c r="F30" i="57"/>
  <c r="F37" i="19"/>
  <c r="F11" i="22"/>
  <c r="F3" i="21"/>
  <c r="F34" i="20"/>
  <c r="F34" i="17"/>
  <c r="F33" i="22"/>
  <c r="F3" i="17"/>
  <c r="F11" i="24"/>
  <c r="F41" i="16"/>
  <c r="F7" i="21"/>
  <c r="F20" i="20"/>
  <c r="F9" i="60"/>
  <c r="F15" i="58"/>
  <c r="F10" i="26"/>
  <c r="F24" i="58"/>
  <c r="F17" i="17"/>
  <c r="F44" i="15"/>
  <c r="F24" i="19"/>
  <c r="F6" i="13"/>
  <c r="F39" i="16"/>
  <c r="F47" i="20"/>
  <c r="F20" i="13"/>
  <c r="F36" i="23"/>
  <c r="F20" i="24"/>
  <c r="F5" i="59"/>
  <c r="F4" i="57"/>
  <c r="F7" i="10"/>
  <c r="F23" i="17"/>
  <c r="F20" i="59"/>
  <c r="F68" i="11"/>
  <c r="F21" i="26"/>
  <c r="F32" i="58"/>
  <c r="F8" i="58"/>
  <c r="F10" i="10"/>
  <c r="F53" i="11"/>
  <c r="F16" i="11"/>
  <c r="F13" i="6"/>
  <c r="F32" i="61"/>
  <c r="F71" i="19"/>
  <c r="F17" i="24"/>
  <c r="F51" i="19"/>
  <c r="F9" i="62"/>
  <c r="F21" i="61"/>
  <c r="F33" i="7"/>
  <c r="F8" i="11"/>
  <c r="F49" i="21"/>
  <c r="F10" i="22"/>
  <c r="F14" i="17"/>
  <c r="F49" i="14"/>
  <c r="F30" i="13"/>
  <c r="F14" i="8"/>
  <c r="F12" i="57"/>
  <c r="F12" i="23"/>
  <c r="F3" i="15"/>
  <c r="F8" i="12"/>
  <c r="F10" i="11"/>
  <c r="F36" i="61"/>
  <c r="F57" i="12"/>
  <c r="F26" i="17"/>
  <c r="F5" i="13"/>
  <c r="F52" i="13"/>
  <c r="F15" i="7"/>
  <c r="F2" i="60"/>
  <c r="F3" i="4"/>
  <c r="F20" i="17"/>
  <c r="F18" i="10"/>
  <c r="F6" i="62"/>
  <c r="F28" i="21"/>
  <c r="F19" i="10"/>
  <c r="F12" i="59"/>
  <c r="F37" i="59"/>
  <c r="F30" i="16"/>
  <c r="F70" i="11"/>
  <c r="F31" i="15"/>
  <c r="F30" i="21"/>
  <c r="F73" i="19"/>
  <c r="F26" i="24"/>
  <c r="F24" i="17"/>
  <c r="F39" i="21"/>
  <c r="F8" i="15"/>
  <c r="F5" i="7"/>
  <c r="F11" i="23"/>
  <c r="F24" i="61"/>
  <c r="F28" i="22"/>
  <c r="F47" i="19"/>
  <c r="F7" i="12"/>
  <c r="F39" i="59"/>
  <c r="F6" i="4"/>
  <c r="F55" i="12"/>
  <c r="F14" i="7"/>
  <c r="F12" i="12"/>
  <c r="F17" i="14"/>
  <c r="F17" i="26"/>
  <c r="F13" i="16"/>
  <c r="F59" i="13"/>
  <c r="F27" i="16"/>
  <c r="F45" i="11"/>
  <c r="F2" i="18"/>
  <c r="F16" i="16"/>
  <c r="F20" i="22"/>
  <c r="F38" i="61"/>
  <c r="F22" i="13"/>
  <c r="F11" i="20"/>
  <c r="F53" i="17"/>
  <c r="F44" i="12"/>
  <c r="F54" i="19"/>
  <c r="F43" i="19"/>
  <c r="F47" i="12"/>
  <c r="F4" i="15"/>
  <c r="F36" i="17"/>
  <c r="F10" i="16"/>
  <c r="F51" i="14"/>
  <c r="F7" i="59"/>
  <c r="F12" i="22"/>
  <c r="F18" i="60"/>
  <c r="F15" i="20"/>
  <c r="F9" i="24"/>
  <c r="F12" i="14"/>
  <c r="F13" i="23"/>
  <c r="F10" i="23"/>
  <c r="F22" i="24"/>
  <c r="F61" i="11"/>
  <c r="F16" i="23"/>
  <c r="F25" i="20"/>
  <c r="F16" i="62"/>
  <c r="F11" i="61"/>
  <c r="F4" i="10"/>
  <c r="F19" i="60"/>
  <c r="F8" i="10"/>
  <c r="F17" i="59"/>
  <c r="F46" i="59"/>
  <c r="F19" i="58"/>
  <c r="F58" i="19"/>
  <c r="F14" i="12"/>
  <c r="F16" i="22"/>
  <c r="F13" i="24"/>
  <c r="F19" i="21"/>
  <c r="F34" i="16"/>
  <c r="F33" i="21"/>
  <c r="F7" i="15"/>
  <c r="F25" i="15"/>
  <c r="F53" i="59"/>
  <c r="F2" i="9"/>
  <c r="F18" i="58"/>
  <c r="F6" i="11"/>
  <c r="F22" i="61"/>
  <c r="F10" i="57"/>
  <c r="F9" i="6"/>
  <c r="F22" i="22"/>
  <c r="F8" i="62"/>
  <c r="F6" i="8"/>
  <c r="F48" i="19"/>
  <c r="F38" i="17"/>
  <c r="F3" i="62"/>
  <c r="F34" i="23"/>
  <c r="F14" i="59"/>
  <c r="F35" i="19"/>
  <c r="F11" i="7"/>
  <c r="F15" i="6"/>
  <c r="F15" i="17"/>
  <c r="F32" i="11"/>
  <c r="F24" i="12"/>
  <c r="F8" i="17"/>
  <c r="F25" i="12"/>
  <c r="F9" i="19"/>
  <c r="F13" i="21"/>
  <c r="F38" i="19"/>
  <c r="F37" i="22"/>
  <c r="F16" i="59"/>
  <c r="F20" i="7"/>
  <c r="F43" i="11"/>
  <c r="F58" i="12"/>
  <c r="F38" i="22"/>
  <c r="F9" i="7"/>
  <c r="F14" i="61"/>
  <c r="F10" i="61"/>
  <c r="F5" i="4"/>
  <c r="F16" i="7"/>
  <c r="F32" i="19"/>
  <c r="F26" i="15"/>
  <c r="F38" i="20"/>
  <c r="F25" i="24"/>
  <c r="F12" i="10"/>
  <c r="F18" i="13"/>
  <c r="F38" i="11"/>
  <c r="F39" i="14"/>
  <c r="F29" i="14"/>
  <c r="F20" i="21"/>
  <c r="F67" i="11"/>
  <c r="F3" i="12"/>
  <c r="F21" i="7"/>
  <c r="F16" i="20"/>
  <c r="F2" i="61"/>
  <c r="F3" i="19"/>
  <c r="F37" i="21"/>
  <c r="F17" i="57"/>
  <c r="F45" i="16"/>
  <c r="F10" i="21"/>
  <c r="F10" i="13"/>
  <c r="F43" i="23"/>
  <c r="F56" i="19"/>
  <c r="F36" i="12"/>
  <c r="F27" i="19"/>
  <c r="F24" i="22"/>
  <c r="F33" i="19"/>
  <c r="F37" i="15"/>
  <c r="F14" i="20"/>
  <c r="F25" i="26"/>
  <c r="F2" i="62"/>
  <c r="F57" i="13"/>
  <c r="F19" i="24"/>
  <c r="F26" i="20"/>
  <c r="F27" i="24"/>
  <c r="F4" i="6"/>
  <c r="F15" i="14"/>
  <c r="F7" i="14"/>
  <c r="F27" i="62"/>
  <c r="F13" i="60"/>
  <c r="F24" i="26"/>
  <c r="F63" i="11"/>
  <c r="F39" i="19"/>
  <c r="F25" i="19"/>
  <c r="F34" i="14"/>
  <c r="F3" i="24"/>
  <c r="F25" i="57"/>
  <c r="F37" i="23"/>
  <c r="F5" i="22"/>
  <c r="F48" i="13"/>
  <c r="F18" i="17"/>
  <c r="F71" i="11"/>
  <c r="F18" i="24"/>
  <c r="F32" i="21"/>
  <c r="F73" i="11"/>
  <c r="F4" i="7"/>
  <c r="F23" i="22"/>
  <c r="F49" i="59"/>
  <c r="F8" i="57"/>
  <c r="F50" i="12"/>
  <c r="F4" i="20"/>
  <c r="F18" i="7"/>
  <c r="F17" i="7"/>
  <c r="F14" i="11"/>
  <c r="F35" i="12"/>
  <c r="F33" i="13"/>
  <c r="F4" i="11"/>
  <c r="F54" i="13"/>
  <c r="F2" i="19"/>
  <c r="F38" i="13"/>
  <c r="F4" i="24"/>
  <c r="F2" i="58"/>
  <c r="F13" i="7"/>
  <c r="F46" i="13"/>
  <c r="F8" i="13"/>
  <c r="F29" i="16"/>
  <c r="F45" i="20"/>
  <c r="F43" i="16"/>
  <c r="F3" i="11"/>
  <c r="F10" i="8"/>
  <c r="F6" i="60"/>
  <c r="F34" i="61"/>
  <c r="F37" i="16"/>
  <c r="F37" i="13"/>
  <c r="F7" i="61"/>
  <c r="F3" i="59"/>
  <c r="F42" i="17"/>
  <c r="F17" i="23"/>
  <c r="F50" i="16"/>
  <c r="F26" i="11"/>
  <c r="F35" i="7"/>
  <c r="F7" i="60"/>
  <c r="F3" i="6"/>
  <c r="F41" i="59"/>
  <c r="F19" i="17"/>
  <c r="F21" i="60"/>
  <c r="F24" i="7"/>
  <c r="F52" i="16"/>
  <c r="F19" i="59"/>
  <c r="F16" i="61"/>
  <c r="F31" i="61"/>
  <c r="F24" i="62"/>
  <c r="F27" i="59"/>
  <c r="F40" i="13"/>
  <c r="F14" i="24"/>
  <c r="F46" i="20"/>
  <c r="F15" i="16"/>
  <c r="F26" i="60"/>
  <c r="F51" i="16"/>
  <c r="F30" i="22"/>
  <c r="F34" i="13"/>
  <c r="F55" i="17"/>
  <c r="F58" i="13"/>
  <c r="F37" i="11"/>
  <c r="F15" i="60"/>
  <c r="G18" i="62"/>
  <c r="G39" i="61"/>
  <c r="G24" i="61"/>
  <c r="G7" i="61"/>
  <c r="G9" i="60"/>
  <c r="G56" i="59"/>
  <c r="G48" i="59"/>
  <c r="G40" i="59"/>
  <c r="G32" i="59"/>
  <c r="G24" i="59"/>
  <c r="G16" i="59"/>
  <c r="G8" i="59"/>
  <c r="G29" i="58"/>
  <c r="G12" i="58"/>
  <c r="G19" i="6"/>
  <c r="G2" i="6"/>
  <c r="G28" i="7"/>
  <c r="G5" i="7"/>
  <c r="G7" i="8"/>
  <c r="G3" i="8"/>
  <c r="G16" i="10"/>
  <c r="G27" i="62"/>
  <c r="G15" i="62"/>
  <c r="G37" i="61"/>
  <c r="G22" i="61"/>
  <c r="G5" i="61"/>
  <c r="G21" i="60"/>
  <c r="G10" i="60"/>
  <c r="G34" i="58"/>
  <c r="G19" i="58"/>
  <c r="G6" i="58"/>
  <c r="G7" i="6"/>
  <c r="G22" i="7"/>
  <c r="G14" i="7"/>
  <c r="G17" i="10"/>
  <c r="G4" i="10"/>
  <c r="G62" i="11"/>
  <c r="G28" i="61"/>
  <c r="G22" i="60"/>
  <c r="G37" i="59"/>
  <c r="G5" i="59"/>
  <c r="G11" i="58"/>
  <c r="G29" i="57"/>
  <c r="G25" i="57"/>
  <c r="G21" i="57"/>
  <c r="G17" i="57"/>
  <c r="G13" i="57"/>
  <c r="G9" i="57"/>
  <c r="G5" i="57"/>
  <c r="G2" i="56"/>
  <c r="G33" i="7"/>
  <c r="G23" i="10"/>
  <c r="G71" i="11"/>
  <c r="G53" i="11"/>
  <c r="G12" i="62"/>
  <c r="G29" i="61"/>
  <c r="G9" i="61"/>
  <c r="G5" i="60"/>
  <c r="G52" i="59"/>
  <c r="G42" i="59"/>
  <c r="G30" i="59"/>
  <c r="G20" i="59"/>
  <c r="G10" i="59"/>
  <c r="G27" i="58"/>
  <c r="G8" i="58"/>
  <c r="G6" i="6"/>
  <c r="G23" i="7"/>
  <c r="G9" i="8"/>
  <c r="G4" i="8"/>
  <c r="G12" i="10"/>
  <c r="G21" i="62"/>
  <c r="G5" i="62"/>
  <c r="G17" i="61"/>
  <c r="G26" i="60"/>
  <c r="G13" i="60"/>
  <c r="G32" i="58"/>
  <c r="G15" i="58"/>
  <c r="G12" i="6"/>
  <c r="G20" i="7"/>
  <c r="G25" i="10"/>
  <c r="G5" i="10"/>
  <c r="G59" i="11"/>
  <c r="G21" i="61"/>
  <c r="G45" i="59"/>
  <c r="G31" i="58"/>
  <c r="G31" i="57"/>
  <c r="G26" i="57"/>
  <c r="G20" i="57"/>
  <c r="G15" i="57"/>
  <c r="G10" i="57"/>
  <c r="G4" i="57"/>
  <c r="G13" i="6"/>
  <c r="G8" i="7"/>
  <c r="G68" i="11"/>
  <c r="G48" i="11"/>
  <c r="G44" i="11"/>
  <c r="G24" i="11"/>
  <c r="G14" i="11"/>
  <c r="G8" i="11"/>
  <c r="G2" i="11"/>
  <c r="G54" i="12"/>
  <c r="G46" i="12"/>
  <c r="G38" i="12"/>
  <c r="G30" i="12"/>
  <c r="G22" i="12"/>
  <c r="G14" i="12"/>
  <c r="G23" i="62"/>
  <c r="G40" i="61"/>
  <c r="G8" i="61"/>
  <c r="G55" i="59"/>
  <c r="G23" i="59"/>
  <c r="G28" i="58"/>
  <c r="G6" i="4"/>
  <c r="G2" i="4"/>
  <c r="G36" i="7"/>
  <c r="G2" i="7"/>
  <c r="G10" i="10"/>
  <c r="G57" i="11"/>
  <c r="G40" i="11"/>
  <c r="G17" i="11"/>
  <c r="G4" i="11"/>
  <c r="G49" i="14"/>
  <c r="G45" i="14"/>
  <c r="G41" i="14"/>
  <c r="G37" i="14"/>
  <c r="G33" i="14"/>
  <c r="G29" i="14"/>
  <c r="G20" i="62"/>
  <c r="G10" i="61"/>
  <c r="G19" i="59"/>
  <c r="G5" i="58"/>
  <c r="G22" i="10"/>
  <c r="G47" i="12"/>
  <c r="G15" i="12"/>
  <c r="G45" i="16"/>
  <c r="G41" i="16"/>
  <c r="G35" i="17"/>
  <c r="G31" i="17"/>
  <c r="G68" i="19"/>
  <c r="G54" i="19"/>
  <c r="G40" i="19"/>
  <c r="G23" i="19"/>
  <c r="G11" i="19"/>
  <c r="G19" i="62"/>
  <c r="G18" i="61"/>
  <c r="G41" i="59"/>
  <c r="G7" i="58"/>
  <c r="G27" i="7"/>
  <c r="G13" i="8"/>
  <c r="G2" i="9"/>
  <c r="G52" i="11"/>
  <c r="G57" i="12"/>
  <c r="G25" i="12"/>
  <c r="G5" i="12"/>
  <c r="G57" i="13"/>
  <c r="G49" i="13"/>
  <c r="G41" i="13"/>
  <c r="G33" i="13"/>
  <c r="G25" i="13"/>
  <c r="G17" i="13"/>
  <c r="G9" i="13"/>
  <c r="G25" i="14"/>
  <c r="G21" i="14"/>
  <c r="G17" i="14"/>
  <c r="G13" i="14"/>
  <c r="G9" i="14"/>
  <c r="G5" i="14"/>
  <c r="G49" i="15"/>
  <c r="G45" i="15"/>
  <c r="G38" i="16"/>
  <c r="G34" i="16"/>
  <c r="G30" i="16"/>
  <c r="G26" i="16"/>
  <c r="G22" i="16"/>
  <c r="G18" i="16"/>
  <c r="G28" i="17"/>
  <c r="G24" i="17"/>
  <c r="G20" i="17"/>
  <c r="G16" i="17"/>
  <c r="G12" i="17"/>
  <c r="G8" i="17"/>
  <c r="G66" i="19"/>
  <c r="G46" i="19"/>
  <c r="G29" i="19"/>
  <c r="G9" i="19"/>
  <c r="G49" i="20"/>
  <c r="G2" i="60"/>
  <c r="G31" i="7"/>
  <c r="G66" i="11"/>
  <c r="G4" i="12"/>
  <c r="G32" i="13"/>
  <c r="G67" i="19"/>
  <c r="G35" i="19"/>
  <c r="G3" i="19"/>
  <c r="G45" i="20"/>
  <c r="G41" i="20"/>
  <c r="G37" i="20"/>
  <c r="G50" i="21"/>
  <c r="G46" i="21"/>
  <c r="G18" i="21"/>
  <c r="G2" i="21"/>
  <c r="G23" i="22"/>
  <c r="G7" i="22"/>
  <c r="G34" i="23"/>
  <c r="G18" i="23"/>
  <c r="G2" i="23"/>
  <c r="G18" i="24"/>
  <c r="G2" i="24"/>
  <c r="G15" i="26"/>
  <c r="G36" i="15"/>
  <c r="G30" i="15"/>
  <c r="G12" i="16"/>
  <c r="G4" i="17"/>
  <c r="G70" i="19"/>
  <c r="G2" i="62"/>
  <c r="G14" i="61"/>
  <c r="G3" i="60"/>
  <c r="G46" i="59"/>
  <c r="G34" i="59"/>
  <c r="G18" i="59"/>
  <c r="G4" i="59"/>
  <c r="G10" i="58"/>
  <c r="G34" i="7"/>
  <c r="G7" i="7"/>
  <c r="G5" i="8"/>
  <c r="G8" i="10"/>
  <c r="G11" i="62"/>
  <c r="G27" i="61"/>
  <c r="G23" i="60"/>
  <c r="G4" i="60"/>
  <c r="G17" i="58"/>
  <c r="G3" i="6"/>
  <c r="G16" i="7"/>
  <c r="G9" i="10"/>
  <c r="G13" i="62"/>
  <c r="G16" i="60"/>
  <c r="G13" i="59"/>
  <c r="G30" i="57"/>
  <c r="G23" i="57"/>
  <c r="G16" i="57"/>
  <c r="G8" i="57"/>
  <c r="G2" i="57"/>
  <c r="G15" i="7"/>
  <c r="G61" i="11"/>
  <c r="G46" i="11"/>
  <c r="G25" i="11"/>
  <c r="G12" i="11"/>
  <c r="G6" i="11"/>
  <c r="G56" i="12"/>
  <c r="G44" i="12"/>
  <c r="G34" i="12"/>
  <c r="G24" i="12"/>
  <c r="G12" i="12"/>
  <c r="G10" i="62"/>
  <c r="G25" i="61"/>
  <c r="G47" i="59"/>
  <c r="G7" i="59"/>
  <c r="G7" i="4"/>
  <c r="G2" i="5"/>
  <c r="G17" i="7"/>
  <c r="G18" i="10"/>
  <c r="G43" i="11"/>
  <c r="G20" i="11"/>
  <c r="G9" i="11"/>
  <c r="G48" i="14"/>
  <c r="G43" i="14"/>
  <c r="G38" i="14"/>
  <c r="G32" i="14"/>
  <c r="G27" i="14"/>
  <c r="G16" i="61"/>
  <c r="G3" i="59"/>
  <c r="G21" i="7"/>
  <c r="G55" i="12"/>
  <c r="G48" i="16"/>
  <c r="G43" i="16"/>
  <c r="G36" i="17"/>
  <c r="G2" i="18"/>
  <c r="G60" i="19"/>
  <c r="G43" i="19"/>
  <c r="G22" i="19"/>
  <c r="G4" i="19"/>
  <c r="G20" i="61"/>
  <c r="G25" i="59"/>
  <c r="G8" i="6"/>
  <c r="G14" i="8"/>
  <c r="G11" i="10"/>
  <c r="G27" i="11"/>
  <c r="G33" i="12"/>
  <c r="G3" i="12"/>
  <c r="G53" i="13"/>
  <c r="G43" i="13"/>
  <c r="G31" i="13"/>
  <c r="G21" i="13"/>
  <c r="G11" i="13"/>
  <c r="G24" i="14"/>
  <c r="G26" i="61"/>
  <c r="G11" i="60"/>
  <c r="G44" i="59"/>
  <c r="G26" i="59"/>
  <c r="G6" i="59"/>
  <c r="G3" i="58"/>
  <c r="G30" i="7"/>
  <c r="G6" i="8"/>
  <c r="G3" i="10"/>
  <c r="G34" i="61"/>
  <c r="G2" i="61"/>
  <c r="G36" i="58"/>
  <c r="G20" i="6"/>
  <c r="G18" i="7"/>
  <c r="G75" i="11"/>
  <c r="G23" i="61"/>
  <c r="G21" i="59"/>
  <c r="G28" i="57"/>
  <c r="G19" i="57"/>
  <c r="G11" i="57"/>
  <c r="G21" i="6"/>
  <c r="G7" i="10"/>
  <c r="G47" i="11"/>
  <c r="G22" i="11"/>
  <c r="G10" i="11"/>
  <c r="G58" i="12"/>
  <c r="G42" i="12"/>
  <c r="G28" i="12"/>
  <c r="G16" i="12"/>
  <c r="G7" i="62"/>
  <c r="G25" i="60"/>
  <c r="G15" i="59"/>
  <c r="G5" i="4"/>
  <c r="G5" i="6"/>
  <c r="G26" i="10"/>
  <c r="G42" i="11"/>
  <c r="G16" i="11"/>
  <c r="G50" i="14"/>
  <c r="G42" i="14"/>
  <c r="G35" i="14"/>
  <c r="G28" i="14"/>
  <c r="G20" i="60"/>
  <c r="G24" i="58"/>
  <c r="G60" i="11"/>
  <c r="G47" i="16"/>
  <c r="G38" i="17"/>
  <c r="G32" i="17"/>
  <c r="G55" i="19"/>
  <c r="G31" i="19"/>
  <c r="G8" i="19"/>
  <c r="G13" i="61"/>
  <c r="G9" i="58"/>
  <c r="G15" i="8"/>
  <c r="G72" i="11"/>
  <c r="G49" i="12"/>
  <c r="G7" i="12"/>
  <c r="G51" i="13"/>
  <c r="G37" i="13"/>
  <c r="G23" i="13"/>
  <c r="G7" i="13"/>
  <c r="G22" i="14"/>
  <c r="G16" i="14"/>
  <c r="G11" i="14"/>
  <c r="G6" i="14"/>
  <c r="G48" i="15"/>
  <c r="G40" i="16"/>
  <c r="G35" i="16"/>
  <c r="G29" i="16"/>
  <c r="G24" i="16"/>
  <c r="G19" i="16"/>
  <c r="G27" i="17"/>
  <c r="G22" i="17"/>
  <c r="G17" i="17"/>
  <c r="G11" i="17"/>
  <c r="G73" i="19"/>
  <c r="G49" i="19"/>
  <c r="G26" i="19"/>
  <c r="G2" i="19"/>
  <c r="G7" i="60"/>
  <c r="G12" i="7"/>
  <c r="G35" i="12"/>
  <c r="G40" i="13"/>
  <c r="G19" i="61"/>
  <c r="G54" i="59"/>
  <c r="G28" i="59"/>
  <c r="G2" i="59"/>
  <c r="G11" i="6"/>
  <c r="G8" i="8"/>
  <c r="G24" i="62"/>
  <c r="G15" i="61"/>
  <c r="G6" i="60"/>
  <c r="G16" i="6"/>
  <c r="G21" i="10"/>
  <c r="G30" i="61"/>
  <c r="G26" i="58"/>
  <c r="G24" i="57"/>
  <c r="G12" i="57"/>
  <c r="G4" i="6"/>
  <c r="G58" i="11"/>
  <c r="G29" i="11"/>
  <c r="G7" i="11"/>
  <c r="G50" i="12"/>
  <c r="G32" i="12"/>
  <c r="G10" i="12"/>
  <c r="G31" i="61"/>
  <c r="G31" i="59"/>
  <c r="G4" i="4"/>
  <c r="G9" i="7"/>
  <c r="G64" i="11"/>
  <c r="G13" i="11"/>
  <c r="G46" i="14"/>
  <c r="G36" i="14"/>
  <c r="G26" i="14"/>
  <c r="G35" i="59"/>
  <c r="G6" i="10"/>
  <c r="G46" i="16"/>
  <c r="G34" i="17"/>
  <c r="G63" i="19"/>
  <c r="G28" i="19"/>
  <c r="G9" i="62"/>
  <c r="G9" i="59"/>
  <c r="G12" i="8"/>
  <c r="G28" i="11"/>
  <c r="G9" i="12"/>
  <c r="G47" i="13"/>
  <c r="G29" i="13"/>
  <c r="G13" i="13"/>
  <c r="G20" i="14"/>
  <c r="G14" i="14"/>
  <c r="G7" i="14"/>
  <c r="G47" i="15"/>
  <c r="G37" i="16"/>
  <c r="G31" i="16"/>
  <c r="G23" i="16"/>
  <c r="G30" i="17"/>
  <c r="G23" i="17"/>
  <c r="G15" i="17"/>
  <c r="G9" i="17"/>
  <c r="G58" i="19"/>
  <c r="G17" i="19"/>
  <c r="G12" i="60"/>
  <c r="G35" i="7"/>
  <c r="G19" i="12"/>
  <c r="G16" i="13"/>
  <c r="G57" i="19"/>
  <c r="G48" i="20"/>
  <c r="G43" i="20"/>
  <c r="G38" i="20"/>
  <c r="G49" i="21"/>
  <c r="G26" i="21"/>
  <c r="G3" i="21"/>
  <c r="G16" i="22"/>
  <c r="G42" i="23"/>
  <c r="G19" i="23"/>
  <c r="G27" i="24"/>
  <c r="G10" i="24"/>
  <c r="G20" i="26"/>
  <c r="G35" i="15"/>
  <c r="G16" i="16"/>
  <c r="G5" i="17"/>
  <c r="G45" i="19"/>
  <c r="G13" i="19"/>
  <c r="G25" i="20"/>
  <c r="G19" i="20"/>
  <c r="G33" i="21"/>
  <c r="G15" i="21"/>
  <c r="G35" i="22"/>
  <c r="G12" i="22"/>
  <c r="G31" i="23"/>
  <c r="G30" i="24"/>
  <c r="G49" i="59"/>
  <c r="G23" i="11"/>
  <c r="G22" i="13"/>
  <c r="G24" i="15"/>
  <c r="G14" i="15"/>
  <c r="G18" i="60"/>
  <c r="G65" i="11"/>
  <c r="G37" i="11"/>
  <c r="G31" i="11"/>
  <c r="G21" i="12"/>
  <c r="G42" i="13"/>
  <c r="G10" i="13"/>
  <c r="G52" i="19"/>
  <c r="G20" i="19"/>
  <c r="G36" i="20"/>
  <c r="G32" i="20"/>
  <c r="G45" i="21"/>
  <c r="G41" i="21"/>
  <c r="G25" i="21"/>
  <c r="G9" i="21"/>
  <c r="G30" i="22"/>
  <c r="G14" i="22"/>
  <c r="G41" i="23"/>
  <c r="G25" i="23"/>
  <c r="G9" i="23"/>
  <c r="G25" i="24"/>
  <c r="G9" i="24"/>
  <c r="G21" i="26"/>
  <c r="G11" i="59"/>
  <c r="G34" i="11"/>
  <c r="G43" i="12"/>
  <c r="G60" i="13"/>
  <c r="G28" i="13"/>
  <c r="G42" i="15"/>
  <c r="G33" i="15"/>
  <c r="G13" i="16"/>
  <c r="G53" i="19"/>
  <c r="G26" i="20"/>
  <c r="G16" i="20"/>
  <c r="G36" i="21"/>
  <c r="G14" i="21"/>
  <c r="G30" i="23"/>
  <c r="G6" i="23"/>
  <c r="G7" i="24"/>
  <c r="G17" i="26"/>
  <c r="G9" i="26"/>
  <c r="G5" i="26"/>
  <c r="G35" i="61"/>
  <c r="G56" i="11"/>
  <c r="G2" i="12"/>
  <c r="G26" i="15"/>
  <c r="G20" i="15"/>
  <c r="G12" i="15"/>
  <c r="G14" i="26"/>
  <c r="G36" i="23"/>
  <c r="G4" i="24"/>
  <c r="G8" i="15"/>
  <c r="G4" i="15"/>
  <c r="G56" i="16"/>
  <c r="G52" i="16"/>
  <c r="G8" i="16"/>
  <c r="G4" i="16"/>
  <c r="G54" i="17"/>
  <c r="G50" i="17"/>
  <c r="G46" i="17"/>
  <c r="G42" i="17"/>
  <c r="G32" i="19"/>
  <c r="G10" i="20"/>
  <c r="G6" i="20"/>
  <c r="G13" i="21"/>
  <c r="G18" i="22"/>
  <c r="G29" i="23"/>
  <c r="G29" i="24"/>
  <c r="G64" i="19"/>
  <c r="G21" i="21"/>
  <c r="G10" i="22"/>
  <c r="G20" i="24"/>
  <c r="G22" i="62"/>
  <c r="G14" i="60"/>
  <c r="G36" i="59"/>
  <c r="G25" i="58"/>
  <c r="G11" i="7"/>
  <c r="G20" i="10"/>
  <c r="G12" i="61"/>
  <c r="G21" i="58"/>
  <c r="G10" i="7"/>
  <c r="G24" i="60"/>
  <c r="G2" i="58"/>
  <c r="G14" i="57"/>
  <c r="G25" i="7"/>
  <c r="G45" i="11"/>
  <c r="G11" i="11"/>
  <c r="G48" i="12"/>
  <c r="G20" i="12"/>
  <c r="G38" i="61"/>
  <c r="G33" i="58"/>
  <c r="G14" i="6"/>
  <c r="G73" i="11"/>
  <c r="G52" i="14"/>
  <c r="G40" i="14"/>
  <c r="G30" i="14"/>
  <c r="G37" i="58"/>
  <c r="G31" i="12"/>
  <c r="G37" i="17"/>
  <c r="G51" i="19"/>
  <c r="G16" i="19"/>
  <c r="G57" i="59"/>
  <c r="G11" i="8"/>
  <c r="G41" i="12"/>
  <c r="G55" i="13"/>
  <c r="G27" i="13"/>
  <c r="G3" i="13"/>
  <c r="G15" i="14"/>
  <c r="G4" i="14"/>
  <c r="G44" i="15"/>
  <c r="G32" i="16"/>
  <c r="G21" i="16"/>
  <c r="G26" i="17"/>
  <c r="G18" i="17"/>
  <c r="G7" i="17"/>
  <c r="G37" i="19"/>
  <c r="G50" i="20"/>
  <c r="G4" i="7"/>
  <c r="G48" i="13"/>
  <c r="G59" i="19"/>
  <c r="G47" i="20"/>
  <c r="G40" i="20"/>
  <c r="G2" i="20"/>
  <c r="G19" i="21"/>
  <c r="G31" i="22"/>
  <c r="G43" i="23"/>
  <c r="G11" i="23"/>
  <c r="G19" i="24"/>
  <c r="G25" i="26"/>
  <c r="G34" i="15"/>
  <c r="G10" i="16"/>
  <c r="G71" i="19"/>
  <c r="G7" i="19"/>
  <c r="G22" i="20"/>
  <c r="G35" i="21"/>
  <c r="G7" i="21"/>
  <c r="G27" i="22"/>
  <c r="G38" i="23"/>
  <c r="G14" i="24"/>
  <c r="G17" i="6"/>
  <c r="G54" i="13"/>
  <c r="G22" i="15"/>
  <c r="G3" i="61"/>
  <c r="G69" i="11"/>
  <c r="G36" i="11"/>
  <c r="G53" i="12"/>
  <c r="G50" i="13"/>
  <c r="G2" i="13"/>
  <c r="G44" i="19"/>
  <c r="G10" i="19"/>
  <c r="G31" i="20"/>
  <c r="G43" i="21"/>
  <c r="G38" i="21"/>
  <c r="G8" i="21"/>
  <c r="G22" i="22"/>
  <c r="G5" i="22"/>
  <c r="G24" i="23"/>
  <c r="G33" i="24"/>
  <c r="G16" i="24"/>
  <c r="G16" i="26"/>
  <c r="G10" i="6"/>
  <c r="G59" i="12"/>
  <c r="G52" i="13"/>
  <c r="G12" i="13"/>
  <c r="G37" i="15"/>
  <c r="G11" i="16"/>
  <c r="G15" i="19"/>
  <c r="G17" i="20"/>
  <c r="G34" i="21"/>
  <c r="G11" i="22"/>
  <c r="G7" i="23"/>
  <c r="G6" i="24"/>
  <c r="G11" i="26"/>
  <c r="G6" i="26"/>
  <c r="G17" i="59"/>
  <c r="G61" i="12"/>
  <c r="G30" i="13"/>
  <c r="G17" i="15"/>
  <c r="G62" i="19"/>
  <c r="G9" i="22"/>
  <c r="G11" i="15"/>
  <c r="G6" i="15"/>
  <c r="G57" i="16"/>
  <c r="G51" i="16"/>
  <c r="G6" i="16"/>
  <c r="G55" i="17"/>
  <c r="G49" i="17"/>
  <c r="G44" i="17"/>
  <c r="G39" i="17"/>
  <c r="G9" i="20"/>
  <c r="G29" i="21"/>
  <c r="G33" i="22"/>
  <c r="G28" i="23"/>
  <c r="G13" i="24"/>
  <c r="G24" i="19"/>
  <c r="G37" i="23"/>
  <c r="G6" i="62"/>
  <c r="G50" i="59"/>
  <c r="G12" i="59"/>
  <c r="G3" i="7"/>
  <c r="G8" i="62"/>
  <c r="G30" i="58"/>
  <c r="G13" i="10"/>
  <c r="G29" i="59"/>
  <c r="G18" i="57"/>
  <c r="G15" i="10"/>
  <c r="G18" i="11"/>
  <c r="G52" i="12"/>
  <c r="G18" i="12"/>
  <c r="G15" i="60"/>
  <c r="G3" i="4"/>
  <c r="G41" i="11"/>
  <c r="G47" i="14"/>
  <c r="G31" i="14"/>
  <c r="G18" i="6"/>
  <c r="G44" i="16"/>
  <c r="G72" i="19"/>
  <c r="G25" i="62"/>
  <c r="G29" i="7"/>
  <c r="G26" i="11"/>
  <c r="G45" i="13"/>
  <c r="G15" i="13"/>
  <c r="G18" i="14"/>
  <c r="G3" i="14"/>
  <c r="G36" i="16"/>
  <c r="G25" i="16"/>
  <c r="G25" i="17"/>
  <c r="G13" i="17"/>
  <c r="G41" i="19"/>
  <c r="G8" i="60"/>
  <c r="G51" i="12"/>
  <c r="G65" i="19"/>
  <c r="G46" i="20"/>
  <c r="G4" i="20"/>
  <c r="G27" i="21"/>
  <c r="G24" i="22"/>
  <c r="G27" i="23"/>
  <c r="G26" i="24"/>
  <c r="G43" i="15"/>
  <c r="G28" i="15"/>
  <c r="G76" i="19"/>
  <c r="G6" i="19"/>
  <c r="G18" i="20"/>
  <c r="G23" i="21"/>
  <c r="G20" i="22"/>
  <c r="G15" i="23"/>
  <c r="G20" i="58"/>
  <c r="G14" i="13"/>
  <c r="G18" i="15"/>
  <c r="G76" i="11"/>
  <c r="G35" i="11"/>
  <c r="G6" i="12"/>
  <c r="G18" i="13"/>
  <c r="G42" i="19"/>
  <c r="G34" i="20"/>
  <c r="G44" i="21"/>
  <c r="G24" i="21"/>
  <c r="G37" i="22"/>
  <c r="G6" i="22"/>
  <c r="G17" i="23"/>
  <c r="G24" i="24"/>
  <c r="G22" i="26"/>
  <c r="G19" i="7"/>
  <c r="G11" i="12"/>
  <c r="G20" i="13"/>
  <c r="G31" i="15"/>
  <c r="G3" i="17"/>
  <c r="G20" i="20"/>
  <c r="G31" i="21"/>
  <c r="G23" i="23"/>
  <c r="G15" i="24"/>
  <c r="G10" i="26"/>
  <c r="G3" i="26"/>
  <c r="G54" i="11"/>
  <c r="G25" i="15"/>
  <c r="G15" i="15"/>
  <c r="G25" i="22"/>
  <c r="G10" i="15"/>
  <c r="G3" i="15"/>
  <c r="G53" i="16"/>
  <c r="G5" i="16"/>
  <c r="G52" i="17"/>
  <c r="G45" i="17"/>
  <c r="G30" i="19"/>
  <c r="G7" i="20"/>
  <c r="G34" i="22"/>
  <c r="G13" i="23"/>
  <c r="G19" i="26"/>
  <c r="G26" i="22"/>
  <c r="G36" i="61"/>
  <c r="G38" i="59"/>
  <c r="G23" i="58"/>
  <c r="G2" i="8"/>
  <c r="G32" i="61"/>
  <c r="G13" i="58"/>
  <c r="G70" i="11"/>
  <c r="G16" i="58"/>
  <c r="G7" i="57"/>
  <c r="G74" i="11"/>
  <c r="G15" i="11"/>
  <c r="G40" i="12"/>
  <c r="G26" i="62"/>
  <c r="G39" i="59"/>
  <c r="G24" i="7"/>
  <c r="G39" i="11"/>
  <c r="G44" i="14"/>
  <c r="G14" i="62"/>
  <c r="G6" i="7"/>
  <c r="G42" i="16"/>
  <c r="G48" i="19"/>
  <c r="G3" i="62"/>
  <c r="G13" i="7"/>
  <c r="G17" i="12"/>
  <c r="G39" i="13"/>
  <c r="G5" i="13"/>
  <c r="G12" i="14"/>
  <c r="G2" i="14"/>
  <c r="G33" i="16"/>
  <c r="G20" i="16"/>
  <c r="G21" i="17"/>
  <c r="G10" i="17"/>
  <c r="G34" i="19"/>
  <c r="G27" i="59"/>
  <c r="G56" i="13"/>
  <c r="G33" i="19"/>
  <c r="G44" i="20"/>
  <c r="G3" i="20"/>
  <c r="G11" i="21"/>
  <c r="G15" i="22"/>
  <c r="G26" i="23"/>
  <c r="G11" i="24"/>
  <c r="G40" i="15"/>
  <c r="G15" i="16"/>
  <c r="G39" i="19"/>
  <c r="G28" i="20"/>
  <c r="G15" i="20"/>
  <c r="G6" i="21"/>
  <c r="G3" i="22"/>
  <c r="G31" i="24"/>
  <c r="G55" i="11"/>
  <c r="G6" i="13"/>
  <c r="G13" i="15"/>
  <c r="G51" i="11"/>
  <c r="G32" i="11"/>
  <c r="G58" i="13"/>
  <c r="G53" i="14"/>
  <c r="G18" i="19"/>
  <c r="G33" i="20"/>
  <c r="G42" i="21"/>
  <c r="G17" i="21"/>
  <c r="G29" i="22"/>
  <c r="G40" i="23"/>
  <c r="G16" i="23"/>
  <c r="G17" i="24"/>
  <c r="G2" i="27"/>
  <c r="G21" i="11"/>
  <c r="G8" i="12"/>
  <c r="G4" i="13"/>
  <c r="G29" i="15"/>
  <c r="G47" i="19"/>
  <c r="G14" i="20"/>
  <c r="G22" i="21"/>
  <c r="G14" i="23"/>
  <c r="G23" i="26"/>
  <c r="G8" i="26"/>
  <c r="G2" i="26"/>
  <c r="G45" i="12"/>
  <c r="G23" i="15"/>
  <c r="G56" i="19"/>
  <c r="G21" i="23"/>
  <c r="G9" i="15"/>
  <c r="G2" i="15"/>
  <c r="G50" i="16"/>
  <c r="G3" i="16"/>
  <c r="G51" i="17"/>
  <c r="G43" i="17"/>
  <c r="G12" i="20"/>
  <c r="G5" i="20"/>
  <c r="G17" i="22"/>
  <c r="G12" i="23"/>
  <c r="G13" i="26"/>
  <c r="G5" i="23"/>
  <c r="AK11" i="60"/>
  <c r="AM11" i="60"/>
  <c r="AL11" i="60"/>
  <c r="AN13" i="60"/>
  <c r="AM13" i="60"/>
  <c r="AT13" i="60" s="1"/>
  <c r="AL13" i="60"/>
  <c r="AS13" i="60" s="1"/>
  <c r="AK13" i="60"/>
  <c r="AR13" i="60" s="1"/>
  <c r="AN14" i="60"/>
  <c r="AK14" i="60"/>
  <c r="AR14" i="60" s="1"/>
  <c r="AK230" i="29"/>
  <c r="AK99" i="29"/>
  <c r="F19" i="16"/>
  <c r="F27" i="11"/>
  <c r="F6" i="61"/>
  <c r="F25" i="59"/>
  <c r="F10" i="62"/>
  <c r="F46" i="19"/>
  <c r="F12" i="17"/>
  <c r="F19" i="57"/>
  <c r="F52" i="11"/>
  <c r="F35" i="58"/>
  <c r="F12" i="21"/>
  <c r="F21" i="10"/>
  <c r="F43" i="15"/>
  <c r="F15" i="19"/>
  <c r="F12" i="7"/>
  <c r="F20" i="15"/>
  <c r="F24" i="11"/>
  <c r="F31" i="12"/>
  <c r="F15" i="15"/>
  <c r="F54" i="11"/>
  <c r="F20" i="6"/>
  <c r="F9" i="10"/>
  <c r="F48" i="15"/>
  <c r="F2" i="16"/>
  <c r="F47" i="59"/>
  <c r="F16" i="58"/>
  <c r="F52" i="59"/>
  <c r="F39" i="23"/>
  <c r="F4" i="8"/>
  <c r="F23" i="10"/>
  <c r="F16" i="60"/>
  <c r="F4" i="4"/>
  <c r="F9" i="21"/>
  <c r="F36" i="21"/>
  <c r="F22" i="16"/>
  <c r="F29" i="20"/>
  <c r="F24" i="57"/>
  <c r="F9" i="23"/>
  <c r="F37" i="20"/>
  <c r="F33" i="14"/>
  <c r="F9" i="13"/>
  <c r="F28" i="20"/>
  <c r="F31" i="20"/>
  <c r="F13" i="19"/>
  <c r="F16" i="26"/>
  <c r="F55" i="13"/>
  <c r="F42" i="21"/>
  <c r="F39" i="61"/>
  <c r="F22" i="19"/>
  <c r="F42" i="16"/>
  <c r="F32" i="20"/>
  <c r="F34" i="12"/>
  <c r="F6" i="12"/>
  <c r="F46" i="17"/>
  <c r="F7" i="19"/>
  <c r="F19" i="26"/>
  <c r="F40" i="23"/>
  <c r="F11" i="14"/>
  <c r="F21" i="58"/>
  <c r="F39" i="13"/>
  <c r="F17" i="6"/>
  <c r="F10" i="15"/>
  <c r="F25" i="7"/>
  <c r="F63" i="19"/>
  <c r="F8" i="23"/>
  <c r="F24" i="16"/>
  <c r="F5" i="8"/>
  <c r="F25" i="11"/>
  <c r="F9" i="12"/>
  <c r="F9" i="59"/>
  <c r="F26" i="19"/>
  <c r="F25" i="16"/>
  <c r="F35" i="14"/>
  <c r="F40" i="61"/>
  <c r="F19" i="62"/>
  <c r="F28" i="59"/>
  <c r="F43" i="13"/>
  <c r="F7" i="22"/>
  <c r="F37" i="12"/>
  <c r="F19" i="23"/>
  <c r="F13" i="8"/>
  <c r="F9" i="8"/>
  <c r="F4" i="60"/>
  <c r="F22" i="60"/>
  <c r="F21" i="12"/>
  <c r="F5" i="24"/>
  <c r="F2" i="11"/>
  <c r="F50" i="20"/>
  <c r="F49" i="15"/>
  <c r="F14" i="13"/>
  <c r="F36" i="7"/>
  <c r="F13" i="22"/>
  <c r="F9" i="11"/>
  <c r="F41" i="12"/>
  <c r="F7" i="57"/>
  <c r="F33" i="58"/>
  <c r="F52" i="14"/>
  <c r="F14" i="22"/>
  <c r="F30" i="7"/>
  <c r="F52" i="19"/>
  <c r="F10" i="59"/>
  <c r="F31" i="23"/>
  <c r="F21" i="15"/>
  <c r="AK53" i="29"/>
  <c r="AB53" i="11" s="1"/>
  <c r="AC53" i="11" s="1"/>
  <c r="AD53" i="11" s="1"/>
  <c r="AE53" i="11" s="1"/>
  <c r="AF53" i="11" s="1"/>
  <c r="AK39" i="29"/>
  <c r="AB39" i="11" s="1"/>
  <c r="AC39" i="11" s="1"/>
  <c r="AD39" i="11" s="1"/>
  <c r="AE39" i="11" s="1"/>
  <c r="AF39" i="11" s="1"/>
  <c r="AK152" i="29"/>
  <c r="AK159" i="29"/>
  <c r="AK77" i="29"/>
  <c r="AK209" i="29"/>
  <c r="AK63" i="29"/>
  <c r="AB63" i="11" s="1"/>
  <c r="AC63" i="11" s="1"/>
  <c r="AD63" i="11" s="1"/>
  <c r="AE63" i="11" s="1"/>
  <c r="AF63" i="11" s="1"/>
  <c r="AK80" i="29"/>
  <c r="AK26" i="29"/>
  <c r="AB26" i="11" s="1"/>
  <c r="AC26" i="11" s="1"/>
  <c r="AD26" i="11" s="1"/>
  <c r="AE26" i="11" s="1"/>
  <c r="AF26" i="11" s="1"/>
  <c r="AK23" i="29"/>
  <c r="AB23" i="11" s="1"/>
  <c r="AC23" i="11" s="1"/>
  <c r="AD23" i="11" s="1"/>
  <c r="AE23" i="11" s="1"/>
  <c r="AF23" i="11" s="1"/>
  <c r="AK125" i="29"/>
  <c r="AK162" i="29"/>
  <c r="AK123" i="29"/>
  <c r="AK147" i="29"/>
  <c r="AK49" i="29"/>
  <c r="AB49" i="11" s="1"/>
  <c r="AC49" i="11" s="1"/>
  <c r="AD49" i="11" s="1"/>
  <c r="AE49" i="11" s="1"/>
  <c r="AF49" i="11" s="1"/>
  <c r="AK221" i="29"/>
  <c r="AK174" i="29"/>
  <c r="AK16" i="29"/>
  <c r="AB16" i="11" s="1"/>
  <c r="AC16" i="11" s="1"/>
  <c r="AD16" i="11" s="1"/>
  <c r="AE16" i="11" s="1"/>
  <c r="AF16" i="11" s="1"/>
  <c r="F5" i="10"/>
  <c r="AH17" i="60"/>
  <c r="AM17" i="60" s="1"/>
  <c r="AT17" i="60" s="1"/>
  <c r="G5" i="21"/>
  <c r="G2" i="22"/>
  <c r="G11" i="20"/>
  <c r="G48" i="17"/>
  <c r="G49" i="16"/>
  <c r="G7" i="15"/>
  <c r="G24" i="26"/>
  <c r="G46" i="13"/>
  <c r="G7" i="26"/>
  <c r="G23" i="24"/>
  <c r="G13" i="20"/>
  <c r="G14" i="16"/>
  <c r="G44" i="13"/>
  <c r="G43" i="59"/>
  <c r="G8" i="23"/>
  <c r="G21" i="22"/>
  <c r="G40" i="21"/>
  <c r="G12" i="19"/>
  <c r="G34" i="13"/>
  <c r="G50" i="11"/>
  <c r="G27" i="15"/>
  <c r="G2" i="63"/>
  <c r="G36" i="22"/>
  <c r="G23" i="20"/>
  <c r="G9" i="16"/>
  <c r="G3" i="24"/>
  <c r="G8" i="22"/>
  <c r="G48" i="21"/>
  <c r="G27" i="19"/>
  <c r="G35" i="58"/>
  <c r="G69" i="19"/>
  <c r="G17" i="16"/>
  <c r="G46" i="15"/>
  <c r="G23" i="14"/>
  <c r="G61" i="13"/>
  <c r="G11" i="61"/>
  <c r="G33" i="17"/>
  <c r="G4" i="62"/>
  <c r="G19" i="11"/>
  <c r="G18" i="58"/>
  <c r="G36" i="12"/>
  <c r="G49" i="11"/>
  <c r="G27" i="57"/>
  <c r="G37" i="7"/>
  <c r="G24" i="10"/>
  <c r="G22" i="59"/>
  <c r="AK35" i="29"/>
  <c r="AB35" i="11" s="1"/>
  <c r="AC35" i="11" s="1"/>
  <c r="AD35" i="11" s="1"/>
  <c r="AE35" i="11" s="1"/>
  <c r="AF35" i="11" s="1"/>
  <c r="AK85" i="29"/>
  <c r="F11" i="21"/>
  <c r="F48" i="21"/>
  <c r="F13" i="14"/>
  <c r="F38" i="15"/>
  <c r="F21" i="22"/>
  <c r="F36" i="15"/>
  <c r="F19" i="20"/>
  <c r="F57" i="11"/>
  <c r="F75" i="19"/>
  <c r="F34" i="7"/>
  <c r="F23" i="11"/>
  <c r="F22" i="11"/>
  <c r="F21" i="6"/>
  <c r="F17" i="21"/>
  <c r="F4" i="59"/>
  <c r="F10" i="6"/>
  <c r="F31" i="57"/>
  <c r="F7" i="13"/>
  <c r="F45" i="13"/>
  <c r="F50" i="21"/>
  <c r="F46" i="15"/>
  <c r="F8" i="61"/>
  <c r="F11" i="11"/>
  <c r="F14" i="15"/>
  <c r="F10" i="14"/>
  <c r="F5" i="62"/>
  <c r="F11" i="62"/>
  <c r="F50" i="19"/>
  <c r="F27" i="57"/>
  <c r="F26" i="61"/>
  <c r="F2" i="63"/>
  <c r="F66" i="11"/>
  <c r="F29" i="13"/>
  <c r="F26" i="62"/>
  <c r="F7" i="20"/>
  <c r="F12" i="62"/>
  <c r="F39" i="17"/>
  <c r="F5" i="11"/>
  <c r="F21" i="16"/>
  <c r="F4" i="13"/>
  <c r="F4" i="17"/>
  <c r="F12" i="16"/>
  <c r="F16" i="21"/>
  <c r="F65" i="19"/>
  <c r="F23" i="62"/>
  <c r="F2" i="8"/>
  <c r="F20" i="58"/>
  <c r="F7" i="4"/>
  <c r="F34" i="22"/>
  <c r="F26" i="26"/>
  <c r="F5" i="23"/>
  <c r="F8" i="60"/>
  <c r="F54" i="16"/>
  <c r="F16" i="12"/>
  <c r="F30" i="17"/>
  <c r="F35" i="22"/>
  <c r="F11" i="58"/>
  <c r="F20" i="60"/>
  <c r="F8" i="8"/>
  <c r="F46" i="11"/>
  <c r="F45" i="12"/>
  <c r="F15" i="26"/>
  <c r="F23" i="16"/>
  <c r="F41" i="23"/>
  <c r="F3" i="26"/>
  <c r="F5" i="14"/>
  <c r="F11" i="60"/>
  <c r="F38" i="59"/>
  <c r="F53" i="14"/>
  <c r="F12" i="24"/>
  <c r="F7" i="62"/>
  <c r="F15" i="12"/>
  <c r="F11" i="15"/>
  <c r="F16" i="57"/>
  <c r="F18" i="62"/>
  <c r="F13" i="62"/>
  <c r="F15" i="59"/>
  <c r="F21" i="21"/>
  <c r="F2" i="23"/>
  <c r="F2" i="17"/>
  <c r="F40" i="12"/>
  <c r="F32" i="59"/>
  <c r="F10" i="7"/>
  <c r="F23" i="58"/>
  <c r="F56" i="12"/>
  <c r="F44" i="19"/>
  <c r="F31" i="17"/>
  <c r="F5" i="58"/>
  <c r="F45" i="59"/>
  <c r="F33" i="23"/>
  <c r="F22" i="12"/>
  <c r="F4" i="19"/>
  <c r="F2" i="4"/>
  <c r="F37" i="7"/>
  <c r="F13" i="10"/>
  <c r="F50" i="11"/>
  <c r="F44" i="14"/>
  <c r="F39" i="20"/>
  <c r="F38" i="21"/>
  <c r="F24" i="23"/>
  <c r="F11" i="57"/>
  <c r="F43" i="17"/>
  <c r="F34" i="19"/>
  <c r="F14" i="58"/>
  <c r="AL14" i="60"/>
  <c r="AS14" i="60" s="1"/>
  <c r="G5" i="24"/>
  <c r="G12" i="24"/>
  <c r="G12" i="21"/>
  <c r="G40" i="17"/>
  <c r="G53" i="17"/>
  <c r="G54" i="16"/>
  <c r="G21" i="24"/>
  <c r="G16" i="15"/>
  <c r="G14" i="10"/>
  <c r="G12" i="26"/>
  <c r="G4" i="22"/>
  <c r="G24" i="20"/>
  <c r="G38" i="15"/>
  <c r="G27" i="12"/>
  <c r="G2" i="25"/>
  <c r="G32" i="23"/>
  <c r="G38" i="22"/>
  <c r="G29" i="20"/>
  <c r="G50" i="19"/>
  <c r="G37" i="12"/>
  <c r="G33" i="59"/>
  <c r="G13" i="12"/>
  <c r="G22" i="23"/>
  <c r="G30" i="21"/>
  <c r="G21" i="19"/>
  <c r="G32" i="15"/>
  <c r="G3" i="23"/>
  <c r="G32" i="22"/>
  <c r="G39" i="20"/>
  <c r="G8" i="13"/>
  <c r="G5" i="19"/>
  <c r="G14" i="17"/>
  <c r="G27" i="16"/>
  <c r="G8" i="14"/>
  <c r="G19" i="13"/>
  <c r="G63" i="11"/>
  <c r="G19" i="19"/>
  <c r="G23" i="12"/>
  <c r="G34" i="14"/>
  <c r="G2" i="10"/>
  <c r="G6" i="61"/>
  <c r="G60" i="12"/>
  <c r="G3" i="57"/>
  <c r="G53" i="59"/>
  <c r="G17" i="60"/>
  <c r="G32" i="7"/>
  <c r="G58" i="59"/>
  <c r="F53" i="19"/>
  <c r="F4" i="16"/>
  <c r="F35" i="20"/>
  <c r="F46" i="21"/>
  <c r="F2" i="15"/>
  <c r="F42" i="59"/>
  <c r="F9" i="22"/>
  <c r="F6" i="6"/>
  <c r="F41" i="13"/>
  <c r="F19" i="11"/>
  <c r="F35" i="61"/>
  <c r="F51" i="12"/>
  <c r="F27" i="15"/>
  <c r="F60" i="13"/>
  <c r="F18" i="57"/>
  <c r="F27" i="14"/>
  <c r="F43" i="59"/>
  <c r="F35" i="15"/>
  <c r="F57" i="16"/>
  <c r="F17" i="12"/>
  <c r="F19" i="13"/>
  <c r="F27" i="58"/>
  <c r="F6" i="22"/>
  <c r="F9" i="14"/>
  <c r="F12" i="60"/>
  <c r="F29" i="7"/>
  <c r="F24" i="60"/>
  <c r="F24" i="10"/>
  <c r="F28" i="23"/>
  <c r="F3" i="60"/>
  <c r="F49" i="20"/>
  <c r="F16" i="6"/>
  <c r="F17" i="19"/>
  <c r="F8" i="16"/>
  <c r="F32" i="15"/>
  <c r="F16" i="19"/>
  <c r="F20" i="19"/>
  <c r="F22" i="23"/>
  <c r="F41" i="19"/>
  <c r="F7" i="7"/>
  <c r="F3" i="16"/>
  <c r="F19" i="6"/>
  <c r="F12" i="15"/>
  <c r="F44" i="11"/>
  <c r="F30" i="11"/>
  <c r="F22" i="57"/>
  <c r="F28" i="13"/>
  <c r="F44" i="21"/>
  <c r="F31" i="14"/>
  <c r="F6" i="10"/>
  <c r="F41" i="17"/>
  <c r="F10" i="17"/>
  <c r="F49" i="11"/>
  <c r="F60" i="19"/>
  <c r="F49" i="13"/>
  <c r="F31" i="16"/>
  <c r="F6" i="15"/>
  <c r="F2" i="12"/>
  <c r="F28" i="15"/>
  <c r="F2" i="26"/>
  <c r="F25" i="62"/>
  <c r="F25" i="60"/>
  <c r="F22" i="15"/>
  <c r="F39" i="15"/>
  <c r="F28" i="17"/>
  <c r="F15" i="11"/>
  <c r="F32" i="16"/>
  <c r="F17" i="22"/>
  <c r="F9" i="58"/>
  <c r="F3" i="58"/>
  <c r="F32" i="13"/>
  <c r="F25" i="13"/>
  <c r="F18" i="12"/>
  <c r="F44" i="20"/>
  <c r="F15" i="23"/>
  <c r="F4" i="21"/>
  <c r="F20" i="11"/>
  <c r="F18" i="22"/>
  <c r="F12" i="26"/>
  <c r="F50" i="59"/>
  <c r="F47" i="13"/>
  <c r="F4" i="23"/>
  <c r="F18" i="19"/>
  <c r="F7" i="23"/>
  <c r="F52" i="12"/>
  <c r="F8" i="20"/>
  <c r="F30" i="59"/>
  <c r="F33" i="15"/>
  <c r="F5" i="61"/>
  <c r="F50" i="14"/>
  <c r="F27" i="7"/>
  <c r="F38" i="23"/>
  <c r="F15" i="62"/>
  <c r="F13" i="26"/>
  <c r="F25" i="61"/>
  <c r="F33" i="61"/>
  <c r="F23" i="26"/>
  <c r="F11" i="6"/>
  <c r="F11" i="8"/>
  <c r="F56" i="59"/>
  <c r="F74" i="19"/>
  <c r="F20" i="10"/>
  <c r="F2" i="59"/>
  <c r="AM14" i="60"/>
  <c r="AT14" i="60" s="1"/>
  <c r="G4" i="23"/>
  <c r="G28" i="24"/>
  <c r="G28" i="21"/>
  <c r="G41" i="17"/>
  <c r="G2" i="16"/>
  <c r="G55" i="16"/>
  <c r="G20" i="23"/>
  <c r="G21" i="15"/>
  <c r="G22" i="58"/>
  <c r="G18" i="26"/>
  <c r="G19" i="22"/>
  <c r="G27" i="20"/>
  <c r="G41" i="15"/>
  <c r="G5" i="11"/>
  <c r="G8" i="24"/>
  <c r="G33" i="23"/>
  <c r="G16" i="21"/>
  <c r="G30" i="20"/>
  <c r="G74" i="19"/>
  <c r="G30" i="11"/>
  <c r="G27" i="60"/>
  <c r="G29" i="12"/>
  <c r="G39" i="23"/>
  <c r="G32" i="21"/>
  <c r="G38" i="19"/>
  <c r="G39" i="15"/>
  <c r="G10" i="23"/>
  <c r="G10" i="21"/>
  <c r="G42" i="20"/>
  <c r="G24" i="13"/>
  <c r="G14" i="19"/>
  <c r="G19" i="17"/>
  <c r="G28" i="16"/>
  <c r="G10" i="14"/>
  <c r="G35" i="13"/>
  <c r="G10" i="8"/>
  <c r="G36" i="19"/>
  <c r="G39" i="12"/>
  <c r="G39" i="14"/>
  <c r="G16" i="8"/>
  <c r="G16" i="62"/>
  <c r="G3" i="11"/>
  <c r="G6" i="57"/>
  <c r="G67" i="11"/>
  <c r="G19" i="60"/>
  <c r="G15" i="6"/>
  <c r="G4" i="61"/>
  <c r="AB15" i="31"/>
  <c r="F10" i="20"/>
  <c r="AG23" i="7"/>
  <c r="AU16" i="60"/>
  <c r="AU2" i="60"/>
  <c r="AF10" i="7"/>
  <c r="AF34" i="7"/>
  <c r="AF35" i="7"/>
  <c r="AF18" i="58"/>
  <c r="AF15" i="58"/>
  <c r="AL2" i="29" a="1"/>
  <c r="AF29" i="58"/>
  <c r="AL163" i="29" l="1"/>
  <c r="AL202" i="29"/>
  <c r="AL125" i="29"/>
  <c r="AL172" i="29"/>
  <c r="AL60" i="29"/>
  <c r="AL13" i="29"/>
  <c r="AL147" i="29"/>
  <c r="AL183" i="29"/>
  <c r="AL31" i="29"/>
  <c r="AL28" i="29"/>
  <c r="AL113" i="29"/>
  <c r="AL198" i="29"/>
  <c r="AL88" i="29"/>
  <c r="AL173" i="29"/>
  <c r="AL94" i="29"/>
  <c r="AL64" i="29"/>
  <c r="AL25" i="29"/>
  <c r="AL196" i="29"/>
  <c r="AL154" i="29"/>
  <c r="AL179" i="29"/>
  <c r="AL91" i="29"/>
  <c r="AL12" i="29"/>
  <c r="AL124" i="29"/>
  <c r="AL18" i="29"/>
  <c r="AL136" i="29"/>
  <c r="AL73" i="29"/>
  <c r="AL96" i="29"/>
  <c r="AL121" i="29"/>
  <c r="AL133" i="29"/>
  <c r="AL7" i="29"/>
  <c r="AL139" i="29"/>
  <c r="AL22" i="29"/>
  <c r="AL140" i="29"/>
  <c r="AL34" i="29"/>
  <c r="AL146" i="29"/>
  <c r="AL105" i="29"/>
  <c r="AL128" i="29"/>
  <c r="AL142" i="29"/>
  <c r="AL165" i="29"/>
  <c r="AL78" i="29"/>
  <c r="AL30" i="29"/>
  <c r="AL2" i="29"/>
  <c r="AM2" i="29" s="1" a="1"/>
  <c r="AL44" i="29"/>
  <c r="AL71" i="29"/>
  <c r="AL164" i="29"/>
  <c r="AL116" i="29"/>
  <c r="AL40" i="29"/>
  <c r="AL33" i="29"/>
  <c r="AL23" i="29"/>
  <c r="AL132" i="29"/>
  <c r="AL84" i="29"/>
  <c r="AL29" i="29"/>
  <c r="AL17" i="29"/>
  <c r="AL195" i="29"/>
  <c r="AL47" i="29"/>
  <c r="AL75" i="29"/>
  <c r="AL72" i="29"/>
  <c r="AL3" i="29"/>
  <c r="AL55" i="29"/>
  <c r="AL171" i="29"/>
  <c r="AL49" i="29"/>
  <c r="AL156" i="29"/>
  <c r="AL66" i="29"/>
  <c r="AL194" i="29"/>
  <c r="AL180" i="29"/>
  <c r="AL192" i="29"/>
  <c r="AL26" i="29"/>
  <c r="AL207" i="29"/>
  <c r="AL11" i="29"/>
  <c r="AL38" i="29"/>
  <c r="AL182" i="29"/>
  <c r="AL104" i="29"/>
  <c r="AL126" i="29"/>
  <c r="AL4" i="29"/>
  <c r="AL80" i="29"/>
  <c r="AL87" i="29"/>
  <c r="AL111" i="29"/>
  <c r="AL108" i="29"/>
  <c r="AL61" i="29"/>
  <c r="AL205" i="29"/>
  <c r="AL74" i="29"/>
  <c r="AL206" i="29"/>
  <c r="AL90" i="29"/>
  <c r="AL148" i="29"/>
  <c r="AL203" i="29"/>
  <c r="AL58" i="29"/>
  <c r="AL210" i="29"/>
  <c r="AL145" i="29"/>
  <c r="AL199" i="29"/>
  <c r="AL14" i="29"/>
  <c r="AL141" i="29"/>
  <c r="AL76" i="29"/>
  <c r="AL35" i="29"/>
  <c r="AL118" i="29"/>
  <c r="AL103" i="29"/>
  <c r="AL83" i="29"/>
  <c r="AL107" i="29"/>
  <c r="AL70" i="29"/>
  <c r="AL24" i="29"/>
  <c r="AL152" i="29"/>
  <c r="AL21" i="29"/>
  <c r="AL110" i="29"/>
  <c r="AL197" i="29"/>
  <c r="AL187" i="29"/>
  <c r="AL97" i="29"/>
  <c r="AL77" i="29"/>
  <c r="AL190" i="29"/>
  <c r="AL174" i="29"/>
  <c r="AL131" i="29"/>
  <c r="AL191" i="29"/>
  <c r="AL193" i="29"/>
  <c r="AL178" i="29"/>
  <c r="AL181" i="29"/>
  <c r="AL101" i="29"/>
  <c r="AL53" i="29"/>
  <c r="AL161" i="29"/>
  <c r="AL115" i="29"/>
  <c r="AL32" i="29"/>
  <c r="AL86" i="29"/>
  <c r="AL144" i="29"/>
  <c r="AL200" i="29"/>
  <c r="AL79" i="29"/>
  <c r="AL184" i="29"/>
  <c r="AL100" i="29"/>
  <c r="AL211" i="29"/>
  <c r="AL95" i="29"/>
  <c r="AL92" i="29"/>
  <c r="AL45" i="29"/>
  <c r="AL9" i="29"/>
  <c r="AL106" i="29"/>
  <c r="AL153" i="29"/>
  <c r="AL99" i="29"/>
  <c r="AL63" i="29"/>
  <c r="AL150" i="29"/>
  <c r="AL162" i="29"/>
  <c r="AL42" i="29"/>
  <c r="AL16" i="29"/>
  <c r="AL167" i="29"/>
  <c r="AL54" i="29"/>
  <c r="AL8" i="29"/>
  <c r="AL41" i="29"/>
  <c r="AL36" i="29"/>
  <c r="AL208" i="29"/>
  <c r="AL168" i="29"/>
  <c r="AL102" i="29"/>
  <c r="AL176" i="29"/>
  <c r="AL157" i="29"/>
  <c r="AL127" i="29"/>
  <c r="AL37" i="29"/>
  <c r="AL82" i="29"/>
  <c r="AL123" i="29"/>
  <c r="AL169" i="29"/>
  <c r="AL43" i="29"/>
  <c r="AL177" i="29"/>
  <c r="AL137" i="29"/>
  <c r="AL112" i="29"/>
  <c r="AL65" i="29"/>
  <c r="AL20" i="29"/>
  <c r="AL51" i="29"/>
  <c r="AL166" i="29"/>
  <c r="AL10" i="29"/>
  <c r="AL170" i="29"/>
  <c r="AL27" i="29"/>
  <c r="AL204" i="29"/>
  <c r="AL201" i="29"/>
  <c r="AL19" i="29"/>
  <c r="AL130" i="29"/>
  <c r="AL135" i="29"/>
  <c r="AL57" i="29"/>
  <c r="AL120" i="29"/>
  <c r="AL56" i="29"/>
  <c r="AL67" i="29"/>
  <c r="AL122" i="29"/>
  <c r="AL62" i="29"/>
  <c r="AL159" i="29"/>
  <c r="AL109" i="29"/>
  <c r="AL149" i="29"/>
  <c r="AL39" i="29"/>
  <c r="AL209" i="29"/>
  <c r="AL160" i="29"/>
  <c r="AL59" i="29"/>
  <c r="AL93" i="29"/>
  <c r="AL89" i="29"/>
  <c r="AL114" i="29"/>
  <c r="AL46" i="29"/>
  <c r="AL155" i="29"/>
  <c r="AL188" i="29"/>
  <c r="AL85" i="29"/>
  <c r="AL6" i="29"/>
  <c r="AL68" i="29"/>
  <c r="AL50" i="29"/>
  <c r="AL15" i="29"/>
  <c r="AL48" i="29"/>
  <c r="AL138" i="29"/>
  <c r="AL129" i="29"/>
  <c r="AL119" i="29"/>
  <c r="AL143" i="29"/>
  <c r="AL158" i="29"/>
  <c r="AL117" i="29"/>
  <c r="AL5" i="29"/>
  <c r="AL69" i="29"/>
  <c r="AL81" i="29"/>
  <c r="AL98" i="29"/>
  <c r="AL189" i="29"/>
  <c r="AL151" i="29"/>
  <c r="AL186" i="29"/>
  <c r="AL134" i="29"/>
  <c r="AL185" i="29"/>
  <c r="AL52" i="29"/>
  <c r="AL175" i="29"/>
  <c r="AG36" i="7"/>
  <c r="AG35" i="7"/>
  <c r="AG37" i="7"/>
  <c r="AG16" i="11"/>
  <c r="AK16" i="11"/>
  <c r="AG23" i="11"/>
  <c r="AK23" i="11"/>
  <c r="AG39" i="11"/>
  <c r="AK39" i="11"/>
  <c r="AN65" i="11"/>
  <c r="AJ65" i="11"/>
  <c r="AO65" i="11" s="1"/>
  <c r="AJ38" i="11"/>
  <c r="AO38" i="11" s="1"/>
  <c r="AN38" i="11"/>
  <c r="AJ40" i="11"/>
  <c r="AO40" i="11" s="1"/>
  <c r="AN40" i="11"/>
  <c r="AN3" i="11"/>
  <c r="AJ3" i="11"/>
  <c r="AO3" i="11" s="1"/>
  <c r="AJ46" i="11"/>
  <c r="AO46" i="11" s="1"/>
  <c r="AN46" i="11"/>
  <c r="AM61" i="11"/>
  <c r="AI61" i="11"/>
  <c r="AN8" i="11"/>
  <c r="AJ8" i="11"/>
  <c r="AO8" i="11" s="1"/>
  <c r="AH5" i="11"/>
  <c r="AL5" i="11"/>
  <c r="AM58" i="11"/>
  <c r="AI58" i="11"/>
  <c r="AG13" i="7"/>
  <c r="AF17" i="60"/>
  <c r="AK17" i="60" s="1"/>
  <c r="AG11" i="7"/>
  <c r="AG12" i="7"/>
  <c r="AK26" i="11"/>
  <c r="AG26" i="11"/>
  <c r="AG53" i="11"/>
  <c r="AK53" i="11"/>
  <c r="AU13" i="60"/>
  <c r="AS11" i="60"/>
  <c r="AS12" i="60" s="1"/>
  <c r="AS18" i="60" s="1"/>
  <c r="AL12" i="60"/>
  <c r="AL18" i="60" s="1"/>
  <c r="AL28" i="11"/>
  <c r="AH28" i="11"/>
  <c r="AM32" i="11"/>
  <c r="AI32" i="11"/>
  <c r="AH67" i="11"/>
  <c r="AL67" i="11"/>
  <c r="AI12" i="11"/>
  <c r="AM12" i="11"/>
  <c r="AJ44" i="11"/>
  <c r="AO44" i="11" s="1"/>
  <c r="AN44" i="11"/>
  <c r="AI64" i="11"/>
  <c r="AM64" i="11"/>
  <c r="AN76" i="11"/>
  <c r="AJ76" i="11"/>
  <c r="AO76" i="11" s="1"/>
  <c r="AI2" i="11"/>
  <c r="AM2" i="11"/>
  <c r="AI19" i="11"/>
  <c r="AM19" i="11"/>
  <c r="AI7" i="11"/>
  <c r="AM7" i="11"/>
  <c r="AT11" i="60"/>
  <c r="AT12" i="60" s="1"/>
  <c r="AM12" i="60"/>
  <c r="AJ36" i="11"/>
  <c r="AO36" i="11" s="1"/>
  <c r="AN36" i="11"/>
  <c r="AJ74" i="11"/>
  <c r="AO74" i="11" s="1"/>
  <c r="AN74" i="11"/>
  <c r="AL21" i="11"/>
  <c r="AH21" i="11"/>
  <c r="AI69" i="11"/>
  <c r="AM69" i="11"/>
  <c r="AM45" i="11"/>
  <c r="AI45" i="11"/>
  <c r="AL66" i="11"/>
  <c r="AH66" i="11"/>
  <c r="AN4" i="11"/>
  <c r="AJ4" i="11"/>
  <c r="AO4" i="11" s="1"/>
  <c r="AK35" i="11"/>
  <c r="AG35" i="11"/>
  <c r="AG49" i="11"/>
  <c r="AK49" i="11"/>
  <c r="AG63" i="11"/>
  <c r="AK63" i="11"/>
  <c r="AU14" i="60"/>
  <c r="AN11" i="60"/>
  <c r="AR11" i="60"/>
  <c r="AK12" i="60"/>
  <c r="AL31" i="11"/>
  <c r="AH31" i="11"/>
  <c r="AH75" i="11"/>
  <c r="AL75" i="11"/>
  <c r="AM62" i="11"/>
  <c r="AI62" i="11"/>
  <c r="AH18" i="11"/>
  <c r="AL18" i="11"/>
  <c r="AI29" i="11"/>
  <c r="AM29" i="11"/>
  <c r="AJ48" i="11"/>
  <c r="AO48" i="11" s="1"/>
  <c r="AN48" i="11"/>
  <c r="AJ20" i="11"/>
  <c r="AO20" i="11" s="1"/>
  <c r="AN20" i="11"/>
  <c r="AM42" i="11"/>
  <c r="AI42" i="11"/>
  <c r="AM54" i="11"/>
  <c r="AI54" i="11"/>
  <c r="AJ17" i="11"/>
  <c r="AO17" i="11" s="1"/>
  <c r="AN17" i="11"/>
  <c r="AJ34" i="11"/>
  <c r="AO34" i="11" s="1"/>
  <c r="AN34" i="11"/>
  <c r="AN43" i="11"/>
  <c r="AJ43" i="11"/>
  <c r="AO43" i="11" s="1"/>
  <c r="AJ54" i="11" l="1"/>
  <c r="AO54" i="11" s="1"/>
  <c r="AN54" i="11"/>
  <c r="AN62" i="11"/>
  <c r="AJ62" i="11"/>
  <c r="AO62" i="11" s="1"/>
  <c r="AI31" i="11"/>
  <c r="AM31" i="11"/>
  <c r="AJ45" i="11"/>
  <c r="AO45" i="11" s="1"/>
  <c r="AN45" i="11"/>
  <c r="AI21" i="11"/>
  <c r="AM21" i="11"/>
  <c r="AN32" i="11"/>
  <c r="AJ32" i="11"/>
  <c r="AO32" i="11" s="1"/>
  <c r="AG19" i="60"/>
  <c r="AH53" i="11"/>
  <c r="AL53" i="11"/>
  <c r="AH23" i="11"/>
  <c r="AL23" i="11"/>
  <c r="AN29" i="11"/>
  <c r="AJ29" i="11"/>
  <c r="AO29" i="11" s="1"/>
  <c r="AH49" i="11"/>
  <c r="AL49" i="11"/>
  <c r="AN7" i="11"/>
  <c r="AJ7" i="11"/>
  <c r="AO7" i="11" s="1"/>
  <c r="AJ2" i="11"/>
  <c r="AO2" i="11" s="1"/>
  <c r="AN2" i="11"/>
  <c r="AJ64" i="11"/>
  <c r="AO64" i="11" s="1"/>
  <c r="AN64" i="11"/>
  <c r="AN12" i="11"/>
  <c r="AJ12" i="11"/>
  <c r="AO12" i="11" s="1"/>
  <c r="AH26" i="11"/>
  <c r="AL26" i="11"/>
  <c r="AR17" i="60"/>
  <c r="AU17" i="60" s="1"/>
  <c r="AN17" i="60"/>
  <c r="AJ61" i="11"/>
  <c r="AO61" i="11" s="1"/>
  <c r="AN61" i="11"/>
  <c r="AN42" i="11"/>
  <c r="AJ42" i="11"/>
  <c r="AO42" i="11" s="1"/>
  <c r="AK18" i="60"/>
  <c r="AN12" i="60"/>
  <c r="AH35" i="11"/>
  <c r="AL35" i="11"/>
  <c r="AM66" i="11"/>
  <c r="AI66" i="11"/>
  <c r="AM18" i="60"/>
  <c r="AO25" i="60"/>
  <c r="AM28" i="11"/>
  <c r="AI28" i="11"/>
  <c r="AI5" i="11"/>
  <c r="AM5" i="11"/>
  <c r="AH39" i="11"/>
  <c r="AL39" i="11"/>
  <c r="AH16" i="11"/>
  <c r="AL16" i="11"/>
  <c r="AM116" i="29"/>
  <c r="AM201" i="29"/>
  <c r="AM117" i="29"/>
  <c r="AM202" i="29"/>
  <c r="AM124" i="29"/>
  <c r="AM8" i="29"/>
  <c r="AC8" i="19" s="1"/>
  <c r="AM14" i="29"/>
  <c r="AC14" i="19" s="1"/>
  <c r="AM68" i="29"/>
  <c r="AC68" i="19" s="1"/>
  <c r="AM153" i="29"/>
  <c r="AM5" i="29"/>
  <c r="AC5" i="19" s="1"/>
  <c r="AM64" i="29"/>
  <c r="AC64" i="19" s="1"/>
  <c r="AM149" i="29"/>
  <c r="AM54" i="29"/>
  <c r="AC54" i="19" s="1"/>
  <c r="AM193" i="29"/>
  <c r="AM130" i="29"/>
  <c r="AM79" i="29"/>
  <c r="AM91" i="29"/>
  <c r="AM103" i="29"/>
  <c r="AM131" i="29"/>
  <c r="AM169" i="29"/>
  <c r="AM21" i="29"/>
  <c r="AC21" i="19" s="1"/>
  <c r="AM80" i="29"/>
  <c r="AM192" i="29"/>
  <c r="AM145" i="29"/>
  <c r="AM114" i="29"/>
  <c r="AM86" i="29"/>
  <c r="AM152" i="29"/>
  <c r="AM47" i="29"/>
  <c r="AC47" i="19" s="1"/>
  <c r="AM59" i="29"/>
  <c r="AC59" i="19" s="1"/>
  <c r="AM71" i="29"/>
  <c r="AC71" i="19" s="1"/>
  <c r="AM163" i="29"/>
  <c r="AM20" i="29"/>
  <c r="AC20" i="19" s="1"/>
  <c r="AM190" i="29"/>
  <c r="AM118" i="29"/>
  <c r="AM127" i="29"/>
  <c r="AM151" i="29"/>
  <c r="AM9" i="29"/>
  <c r="AC9" i="19" s="1"/>
  <c r="AM73" i="29"/>
  <c r="AC73" i="19" s="1"/>
  <c r="AM158" i="29"/>
  <c r="AM10" i="29"/>
  <c r="AC10" i="19" s="1"/>
  <c r="AM74" i="29"/>
  <c r="AC74" i="19" s="1"/>
  <c r="AM160" i="29"/>
  <c r="AM81" i="29"/>
  <c r="AM93" i="29"/>
  <c r="AM65" i="29"/>
  <c r="AC65" i="19" s="1"/>
  <c r="AM185" i="29"/>
  <c r="AM37" i="29"/>
  <c r="AC37" i="19" s="1"/>
  <c r="AM122" i="29"/>
  <c r="AM113" i="29"/>
  <c r="AM146" i="29"/>
  <c r="AM150" i="29"/>
  <c r="AM173" i="29"/>
  <c r="AM167" i="29"/>
  <c r="AM67" i="29"/>
  <c r="AC67" i="19" s="1"/>
  <c r="AM142" i="29"/>
  <c r="AM133" i="29"/>
  <c r="AM92" i="29"/>
  <c r="AM168" i="29"/>
  <c r="AM172" i="29"/>
  <c r="AM109" i="29"/>
  <c r="AM199" i="29"/>
  <c r="AM70" i="29"/>
  <c r="AC70" i="19" s="1"/>
  <c r="AM204" i="29"/>
  <c r="AM75" i="29"/>
  <c r="AC75" i="19" s="1"/>
  <c r="AM115" i="29"/>
  <c r="AM148" i="29"/>
  <c r="AM85" i="29"/>
  <c r="AM6" i="29"/>
  <c r="AC6" i="19" s="1"/>
  <c r="AM120" i="29"/>
  <c r="AM43" i="29"/>
  <c r="AC43" i="19" s="1"/>
  <c r="AM83" i="29"/>
  <c r="AM164" i="29"/>
  <c r="AM157" i="29"/>
  <c r="AM56" i="29"/>
  <c r="AC56" i="19" s="1"/>
  <c r="AM63" i="29"/>
  <c r="AC63" i="19" s="1"/>
  <c r="AM170" i="29"/>
  <c r="AM72" i="29"/>
  <c r="AC72" i="19" s="1"/>
  <c r="AM182" i="29"/>
  <c r="AM31" i="29"/>
  <c r="AC31" i="19" s="1"/>
  <c r="AM55" i="29"/>
  <c r="AC55" i="19" s="1"/>
  <c r="AM22" i="29"/>
  <c r="AC22" i="19" s="1"/>
  <c r="AM53" i="29"/>
  <c r="AC53" i="19" s="1"/>
  <c r="AM181" i="29"/>
  <c r="AM209" i="29"/>
  <c r="AM90" i="29"/>
  <c r="AM177" i="29"/>
  <c r="AM88" i="29"/>
  <c r="AM155" i="29"/>
  <c r="AM25" i="29"/>
  <c r="AC25" i="19" s="1"/>
  <c r="AM196" i="29"/>
  <c r="AM29" i="29"/>
  <c r="AC29" i="19" s="1"/>
  <c r="AM66" i="29"/>
  <c r="AC66" i="19" s="1"/>
  <c r="AM111" i="29"/>
  <c r="AM135" i="29"/>
  <c r="AM35" i="29"/>
  <c r="AC35" i="19" s="1"/>
  <c r="AM16" i="29"/>
  <c r="AC16" i="19" s="1"/>
  <c r="AM188" i="29"/>
  <c r="AM184" i="29"/>
  <c r="AM206" i="29"/>
  <c r="AM197" i="29"/>
  <c r="AM44" i="29"/>
  <c r="AC44" i="19" s="1"/>
  <c r="AM205" i="29"/>
  <c r="AM119" i="29"/>
  <c r="AM105" i="29"/>
  <c r="AM101" i="29"/>
  <c r="AM40" i="29"/>
  <c r="AC40" i="19" s="1"/>
  <c r="AM161" i="29"/>
  <c r="AM179" i="29"/>
  <c r="AM62" i="29"/>
  <c r="AC62" i="19" s="1"/>
  <c r="AM58" i="29"/>
  <c r="AC58" i="19" s="1"/>
  <c r="AM97" i="29"/>
  <c r="AM147" i="29"/>
  <c r="AM30" i="29"/>
  <c r="AC30" i="19" s="1"/>
  <c r="AM94" i="29"/>
  <c r="AM38" i="29"/>
  <c r="AC38" i="19" s="1"/>
  <c r="AM50" i="29"/>
  <c r="AC50" i="19" s="1"/>
  <c r="AM100" i="29"/>
  <c r="AM176" i="29"/>
  <c r="AM24" i="29"/>
  <c r="AC24" i="19" s="1"/>
  <c r="AM108" i="29"/>
  <c r="AM207" i="29"/>
  <c r="AM27" i="29"/>
  <c r="AC27" i="19" s="1"/>
  <c r="AM195" i="29"/>
  <c r="AM57" i="29"/>
  <c r="AC57" i="19" s="1"/>
  <c r="AM28" i="29"/>
  <c r="AC28" i="19" s="1"/>
  <c r="AM106" i="29"/>
  <c r="AM198" i="29"/>
  <c r="AM187" i="29"/>
  <c r="AM69" i="29"/>
  <c r="AC69" i="19" s="1"/>
  <c r="AM104" i="29"/>
  <c r="AM203" i="29"/>
  <c r="AM36" i="29"/>
  <c r="AC36" i="19" s="1"/>
  <c r="AM26" i="29"/>
  <c r="AC26" i="19" s="1"/>
  <c r="AM102" i="29"/>
  <c r="AM140" i="29"/>
  <c r="AM95" i="29"/>
  <c r="AM211" i="29"/>
  <c r="AM17" i="29"/>
  <c r="AC17" i="19" s="1"/>
  <c r="AM154" i="29"/>
  <c r="AM139" i="29"/>
  <c r="AM51" i="29"/>
  <c r="AC51" i="19" s="1"/>
  <c r="AM121" i="29"/>
  <c r="AM156" i="29"/>
  <c r="AM77" i="29"/>
  <c r="AM107" i="29"/>
  <c r="AM19" i="29"/>
  <c r="AC19" i="19" s="1"/>
  <c r="AM52" i="29"/>
  <c r="AC52" i="19" s="1"/>
  <c r="AM166" i="29"/>
  <c r="AM41" i="29"/>
  <c r="AC41" i="19" s="1"/>
  <c r="AM200" i="29"/>
  <c r="AM15" i="29"/>
  <c r="AC15" i="19" s="1"/>
  <c r="AM3" i="29"/>
  <c r="AC3" i="19" s="1"/>
  <c r="AM48" i="29"/>
  <c r="AC48" i="19" s="1"/>
  <c r="AM175" i="29"/>
  <c r="AM99" i="29"/>
  <c r="AM186" i="29"/>
  <c r="AM23" i="29"/>
  <c r="AC23" i="19" s="1"/>
  <c r="AM144" i="29"/>
  <c r="AM134" i="29"/>
  <c r="AM191" i="29"/>
  <c r="AM49" i="29"/>
  <c r="AC49" i="19" s="1"/>
  <c r="AM159" i="29"/>
  <c r="AM39" i="29"/>
  <c r="AC39" i="19" s="1"/>
  <c r="AM18" i="29"/>
  <c r="AC18" i="19" s="1"/>
  <c r="AM132" i="29"/>
  <c r="AM98" i="29"/>
  <c r="AM89" i="29"/>
  <c r="AM33" i="29"/>
  <c r="AC33" i="19" s="1"/>
  <c r="AM137" i="29"/>
  <c r="AM96" i="29"/>
  <c r="AM136" i="29"/>
  <c r="AM126" i="29"/>
  <c r="AM208" i="29"/>
  <c r="AM45" i="29"/>
  <c r="AC45" i="19" s="1"/>
  <c r="AM84" i="29"/>
  <c r="AM165" i="29"/>
  <c r="AM129" i="29"/>
  <c r="AM123" i="29"/>
  <c r="AM78" i="29"/>
  <c r="AM210" i="29"/>
  <c r="AM171" i="29"/>
  <c r="AM76" i="29"/>
  <c r="AC76" i="19" s="1"/>
  <c r="AM11" i="29"/>
  <c r="AC11" i="19" s="1"/>
  <c r="AM174" i="29"/>
  <c r="AM183" i="29"/>
  <c r="AM180" i="29"/>
  <c r="AM138" i="29"/>
  <c r="AM178" i="29"/>
  <c r="AM12" i="29"/>
  <c r="AC12" i="19" s="1"/>
  <c r="AM60" i="29"/>
  <c r="AC60" i="19" s="1"/>
  <c r="AM110" i="29"/>
  <c r="AM13" i="29"/>
  <c r="AC13" i="19" s="1"/>
  <c r="AM125" i="29"/>
  <c r="AM42" i="29"/>
  <c r="AC42" i="19" s="1"/>
  <c r="AM87" i="29"/>
  <c r="AM189" i="29"/>
  <c r="AM143" i="29"/>
  <c r="AM194" i="29"/>
  <c r="AM141" i="29"/>
  <c r="AM32" i="29"/>
  <c r="AC32" i="19" s="1"/>
  <c r="AM82" i="29"/>
  <c r="AM61" i="29"/>
  <c r="AC61" i="19" s="1"/>
  <c r="AM2" i="29"/>
  <c r="AC2" i="19" s="1"/>
  <c r="AM162" i="29"/>
  <c r="AM34" i="29"/>
  <c r="AC34" i="19" s="1"/>
  <c r="AM46" i="29"/>
  <c r="AC46" i="19" s="1"/>
  <c r="AM7" i="29"/>
  <c r="AC7" i="19" s="1"/>
  <c r="AM4" i="29"/>
  <c r="AC4" i="19" s="1"/>
  <c r="AM128" i="29"/>
  <c r="AM112" i="29"/>
  <c r="AI18" i="11"/>
  <c r="AM18" i="11"/>
  <c r="AM75" i="11"/>
  <c r="AI75" i="11"/>
  <c r="AU11" i="60"/>
  <c r="AR12" i="60"/>
  <c r="AH63" i="11"/>
  <c r="AL63" i="11"/>
  <c r="AJ69" i="11"/>
  <c r="AO69" i="11" s="1"/>
  <c r="AN69" i="11"/>
  <c r="AV25" i="60"/>
  <c r="AT18" i="60"/>
  <c r="AN19" i="11"/>
  <c r="AJ19" i="11"/>
  <c r="AO19" i="11" s="1"/>
  <c r="AI67" i="11"/>
  <c r="AM67" i="11"/>
  <c r="AN58" i="11"/>
  <c r="AJ58" i="11"/>
  <c r="AO58" i="11" s="1"/>
  <c r="AD34" i="19" l="1"/>
  <c r="AE34" i="19"/>
  <c r="AB34" i="19"/>
  <c r="AE12" i="19"/>
  <c r="AB12" i="19"/>
  <c r="AD12" i="19"/>
  <c r="AD49" i="19"/>
  <c r="AB49" i="19"/>
  <c r="AE49" i="19"/>
  <c r="AD23" i="19"/>
  <c r="AE23" i="19"/>
  <c r="AB23" i="19"/>
  <c r="AE48" i="19"/>
  <c r="AB48" i="19"/>
  <c r="AD48" i="19"/>
  <c r="AD41" i="19"/>
  <c r="AB41" i="19"/>
  <c r="AE41" i="19"/>
  <c r="AD51" i="19"/>
  <c r="AE51" i="19"/>
  <c r="AB51" i="19"/>
  <c r="AD26" i="19"/>
  <c r="AE26" i="19"/>
  <c r="AB26" i="19"/>
  <c r="AD69" i="19"/>
  <c r="AB69" i="19"/>
  <c r="AE69" i="19"/>
  <c r="AB28" i="19"/>
  <c r="AE28" i="19"/>
  <c r="AD28" i="19"/>
  <c r="AB30" i="19"/>
  <c r="AD30" i="19"/>
  <c r="AE30" i="19"/>
  <c r="AD62" i="19"/>
  <c r="AB62" i="19"/>
  <c r="AE62" i="19"/>
  <c r="AE44" i="19"/>
  <c r="AD44" i="19"/>
  <c r="AB44" i="19"/>
  <c r="AB25" i="19"/>
  <c r="AD25" i="19"/>
  <c r="AE25" i="19"/>
  <c r="AB22" i="19"/>
  <c r="AD22" i="19"/>
  <c r="AE22" i="19"/>
  <c r="AB72" i="19"/>
  <c r="AE72" i="19"/>
  <c r="AD72" i="19"/>
  <c r="AB65" i="19"/>
  <c r="AE65" i="19"/>
  <c r="AD65" i="19"/>
  <c r="AB74" i="19"/>
  <c r="AD74" i="19"/>
  <c r="AE74" i="19"/>
  <c r="AB9" i="19"/>
  <c r="AD9" i="19"/>
  <c r="AE9" i="19"/>
  <c r="AE59" i="19"/>
  <c r="AD59" i="19"/>
  <c r="AB59" i="19"/>
  <c r="AB21" i="19"/>
  <c r="AD21" i="19"/>
  <c r="AE21" i="19"/>
  <c r="AE54" i="19"/>
  <c r="AB54" i="19"/>
  <c r="AD54" i="19"/>
  <c r="AI39" i="11"/>
  <c r="AM39" i="11"/>
  <c r="AN18" i="60"/>
  <c r="AF19" i="60"/>
  <c r="AM26" i="11"/>
  <c r="AI26" i="11"/>
  <c r="AD4" i="19"/>
  <c r="AE4" i="19"/>
  <c r="AB4" i="19"/>
  <c r="AE32" i="19"/>
  <c r="AB32" i="19"/>
  <c r="AD32" i="19"/>
  <c r="AE13" i="19"/>
  <c r="AD13" i="19"/>
  <c r="AB13" i="19"/>
  <c r="AE33" i="19"/>
  <c r="AB33" i="19"/>
  <c r="AD33" i="19"/>
  <c r="AD18" i="19"/>
  <c r="AB18" i="19"/>
  <c r="AE18" i="19"/>
  <c r="AD3" i="19"/>
  <c r="AB3" i="19"/>
  <c r="AE3" i="19"/>
  <c r="AD36" i="19"/>
  <c r="AE36" i="19"/>
  <c r="AB36" i="19"/>
  <c r="AB57" i="19"/>
  <c r="AE57" i="19"/>
  <c r="AD57" i="19"/>
  <c r="AD50" i="19"/>
  <c r="AE50" i="19"/>
  <c r="AB50" i="19"/>
  <c r="AB16" i="19"/>
  <c r="AD16" i="19"/>
  <c r="AE16" i="19"/>
  <c r="AB66" i="19"/>
  <c r="AD66" i="19"/>
  <c r="AE66" i="19"/>
  <c r="AB55" i="19"/>
  <c r="AE55" i="19"/>
  <c r="AD55" i="19"/>
  <c r="AB6" i="19"/>
  <c r="AE6" i="19"/>
  <c r="AD6" i="19"/>
  <c r="AE75" i="19"/>
  <c r="AD75" i="19"/>
  <c r="AB75" i="19"/>
  <c r="AD10" i="19"/>
  <c r="AE10" i="19"/>
  <c r="AB10" i="19"/>
  <c r="AB20" i="19"/>
  <c r="AE20" i="19"/>
  <c r="AD20" i="19"/>
  <c r="AD47" i="19"/>
  <c r="AE47" i="19"/>
  <c r="AB47" i="19"/>
  <c r="AE68" i="19"/>
  <c r="AD68" i="19"/>
  <c r="AB68" i="19"/>
  <c r="X25" i="58"/>
  <c r="X21" i="62"/>
  <c r="X42" i="16"/>
  <c r="X7" i="58"/>
  <c r="X34" i="58"/>
  <c r="X5" i="4"/>
  <c r="X12" i="23"/>
  <c r="X13" i="17"/>
  <c r="X26" i="14"/>
  <c r="X21" i="17"/>
  <c r="X40" i="11"/>
  <c r="X2" i="58"/>
  <c r="X10" i="7"/>
  <c r="X38" i="19"/>
  <c r="X39" i="20"/>
  <c r="X9" i="21"/>
  <c r="X19" i="20"/>
  <c r="X14" i="12"/>
  <c r="X8" i="11"/>
  <c r="X5" i="11"/>
  <c r="X3" i="12"/>
  <c r="X23" i="20"/>
  <c r="X10" i="59"/>
  <c r="X8" i="8"/>
  <c r="X10" i="13"/>
  <c r="X53" i="16"/>
  <c r="X22" i="61"/>
  <c r="X31" i="13"/>
  <c r="X37" i="59"/>
  <c r="X2" i="4"/>
  <c r="X51" i="12"/>
  <c r="X3" i="10"/>
  <c r="X10" i="12"/>
  <c r="X22" i="7"/>
  <c r="X12" i="62"/>
  <c r="X9" i="17"/>
  <c r="X3" i="6"/>
  <c r="X19" i="61"/>
  <c r="X16" i="60"/>
  <c r="X36" i="16"/>
  <c r="X22" i="13"/>
  <c r="X36" i="59"/>
  <c r="X33" i="16"/>
  <c r="X25" i="7"/>
  <c r="X11" i="10"/>
  <c r="X20" i="11"/>
  <c r="X4" i="11"/>
  <c r="X54" i="17"/>
  <c r="X36" i="15"/>
  <c r="X4" i="26"/>
  <c r="X57" i="19"/>
  <c r="X10" i="57"/>
  <c r="X32" i="58"/>
  <c r="X16" i="10"/>
  <c r="X25" i="59"/>
  <c r="X44" i="12"/>
  <c r="X59" i="13"/>
  <c r="X9" i="14"/>
  <c r="X20" i="24"/>
  <c r="X14" i="24"/>
  <c r="X35" i="23"/>
  <c r="X36" i="23"/>
  <c r="X2" i="24"/>
  <c r="X57" i="11"/>
  <c r="X48" i="17"/>
  <c r="X12" i="16"/>
  <c r="X17" i="59"/>
  <c r="X23" i="60"/>
  <c r="X39" i="11"/>
  <c r="X24" i="12"/>
  <c r="X30" i="24"/>
  <c r="X57" i="59"/>
  <c r="X9" i="10"/>
  <c r="X24" i="20"/>
  <c r="X13" i="10"/>
  <c r="X17" i="13"/>
  <c r="X11" i="20"/>
  <c r="X31" i="7"/>
  <c r="X44" i="23"/>
  <c r="X22" i="57"/>
  <c r="X4" i="20"/>
  <c r="X39" i="15"/>
  <c r="X22" i="60"/>
  <c r="X23" i="12"/>
  <c r="X54" i="13"/>
  <c r="X28" i="15"/>
  <c r="X5" i="10"/>
  <c r="X6" i="17"/>
  <c r="X7" i="20"/>
  <c r="X75" i="19"/>
  <c r="X20" i="14"/>
  <c r="X18" i="20"/>
  <c r="X35" i="58"/>
  <c r="X3" i="11"/>
  <c r="X29" i="20"/>
  <c r="X36" i="61"/>
  <c r="X27" i="58"/>
  <c r="X8" i="15"/>
  <c r="X17" i="24"/>
  <c r="X32" i="61"/>
  <c r="X4" i="12"/>
  <c r="X26" i="16"/>
  <c r="X24" i="19"/>
  <c r="X47" i="11"/>
  <c r="X10" i="15"/>
  <c r="X2" i="20"/>
  <c r="X43" i="15"/>
  <c r="X53" i="13"/>
  <c r="X24" i="57"/>
  <c r="X2" i="27"/>
  <c r="X21" i="59"/>
  <c r="X5" i="7"/>
  <c r="X42" i="14"/>
  <c r="X6" i="23"/>
  <c r="X7" i="62"/>
  <c r="X3" i="7"/>
  <c r="X33" i="20"/>
  <c r="X19" i="21"/>
  <c r="X3" i="22"/>
  <c r="X21" i="14"/>
  <c r="X24" i="24"/>
  <c r="X18" i="12"/>
  <c r="X17" i="62"/>
  <c r="X22" i="15"/>
  <c r="X11" i="62"/>
  <c r="X18" i="23"/>
  <c r="X8" i="59"/>
  <c r="X29" i="24"/>
  <c r="X7" i="15"/>
  <c r="X25" i="13"/>
  <c r="X15" i="6"/>
  <c r="X22" i="23"/>
  <c r="X26" i="22"/>
  <c r="X25" i="17"/>
  <c r="X9" i="16"/>
  <c r="X51" i="59"/>
  <c r="X34" i="19"/>
  <c r="X44" i="16"/>
  <c r="X23" i="62"/>
  <c r="X36" i="21"/>
  <c r="X18" i="14"/>
  <c r="X19" i="57"/>
  <c r="X48" i="14"/>
  <c r="X33" i="11"/>
  <c r="X11" i="7"/>
  <c r="X37" i="13"/>
  <c r="X2" i="13"/>
  <c r="X14" i="11"/>
  <c r="X24" i="62"/>
  <c r="X32" i="22"/>
  <c r="X30" i="23"/>
  <c r="X19" i="12"/>
  <c r="X28" i="61"/>
  <c r="X26" i="19"/>
  <c r="X37" i="61"/>
  <c r="X27" i="13"/>
  <c r="X31" i="57"/>
  <c r="X41" i="16"/>
  <c r="X49" i="16"/>
  <c r="X26" i="11"/>
  <c r="X3" i="14"/>
  <c r="X32" i="15"/>
  <c r="X11" i="13"/>
  <c r="X26" i="26"/>
  <c r="X3" i="21"/>
  <c r="X19" i="26"/>
  <c r="X24" i="7"/>
  <c r="X53" i="17"/>
  <c r="X29" i="11"/>
  <c r="X16" i="14"/>
  <c r="X37" i="23"/>
  <c r="X59" i="19"/>
  <c r="X7" i="61"/>
  <c r="X29" i="23"/>
  <c r="X33" i="22"/>
  <c r="X63" i="19"/>
  <c r="X48" i="16"/>
  <c r="X4" i="58"/>
  <c r="X71" i="11"/>
  <c r="X39" i="23"/>
  <c r="X51" i="11"/>
  <c r="X13" i="22"/>
  <c r="X61" i="19"/>
  <c r="X13" i="24"/>
  <c r="X5" i="14"/>
  <c r="X40" i="59"/>
  <c r="X4" i="8"/>
  <c r="X4" i="19"/>
  <c r="X18" i="57"/>
  <c r="X2" i="7"/>
  <c r="X37" i="20"/>
  <c r="X3" i="26"/>
  <c r="X4" i="16"/>
  <c r="X38" i="61"/>
  <c r="X49" i="15"/>
  <c r="X39" i="12"/>
  <c r="X30" i="21"/>
  <c r="X6" i="21"/>
  <c r="X48" i="11"/>
  <c r="X17" i="17"/>
  <c r="X39" i="17"/>
  <c r="X20" i="10"/>
  <c r="X28" i="13"/>
  <c r="X27" i="11"/>
  <c r="X47" i="21"/>
  <c r="X19" i="14"/>
  <c r="X9" i="8"/>
  <c r="X58" i="12"/>
  <c r="X12" i="21"/>
  <c r="X58" i="11"/>
  <c r="X22" i="21"/>
  <c r="X32" i="20"/>
  <c r="X12" i="12"/>
  <c r="X53" i="19"/>
  <c r="X18" i="62"/>
  <c r="X20" i="7"/>
  <c r="X30" i="20"/>
  <c r="X5" i="17"/>
  <c r="X7" i="13"/>
  <c r="X5" i="62"/>
  <c r="X9" i="59"/>
  <c r="X23" i="13"/>
  <c r="X43" i="20"/>
  <c r="X54" i="11"/>
  <c r="X7" i="14"/>
  <c r="X24" i="16"/>
  <c r="X7" i="22"/>
  <c r="X14" i="22"/>
  <c r="X25" i="23"/>
  <c r="X3" i="15"/>
  <c r="X52" i="19"/>
  <c r="X26" i="60"/>
  <c r="X4" i="22"/>
  <c r="X4" i="4"/>
  <c r="X2" i="18"/>
  <c r="X9" i="11"/>
  <c r="X17" i="10"/>
  <c r="X20" i="23"/>
  <c r="X29" i="12"/>
  <c r="X23" i="10"/>
  <c r="X43" i="21"/>
  <c r="X12" i="15"/>
  <c r="X54" i="19"/>
  <c r="X66" i="11"/>
  <c r="X30" i="15"/>
  <c r="X7" i="10"/>
  <c r="X69" i="19"/>
  <c r="X22" i="17"/>
  <c r="X40" i="12"/>
  <c r="X20" i="62"/>
  <c r="X71" i="19"/>
  <c r="X60" i="19"/>
  <c r="X9" i="12"/>
  <c r="X9" i="26"/>
  <c r="X48" i="21"/>
  <c r="X74" i="11"/>
  <c r="X21" i="19"/>
  <c r="X21" i="10"/>
  <c r="X8" i="58"/>
  <c r="X13" i="7"/>
  <c r="X59" i="12"/>
  <c r="X29" i="17"/>
  <c r="X17" i="7"/>
  <c r="X29" i="16"/>
  <c r="X7" i="23"/>
  <c r="X41" i="11"/>
  <c r="X76" i="11"/>
  <c r="X37" i="17"/>
  <c r="X32" i="21"/>
  <c r="X10" i="6"/>
  <c r="X14" i="60"/>
  <c r="X28" i="58"/>
  <c r="X51" i="13"/>
  <c r="X31" i="19"/>
  <c r="X43" i="13"/>
  <c r="X45" i="59"/>
  <c r="X25" i="60"/>
  <c r="X3" i="13"/>
  <c r="X19" i="6"/>
  <c r="X28" i="59"/>
  <c r="X6" i="59"/>
  <c r="X21" i="16"/>
  <c r="X8" i="62"/>
  <c r="X17" i="60"/>
  <c r="X14" i="7"/>
  <c r="X24" i="21"/>
  <c r="X7" i="16"/>
  <c r="X14" i="58"/>
  <c r="X35" i="20"/>
  <c r="X5" i="57"/>
  <c r="X24" i="61"/>
  <c r="X2" i="25"/>
  <c r="X6" i="60"/>
  <c r="X13" i="19"/>
  <c r="X3" i="62"/>
  <c r="X4" i="57"/>
  <c r="X31" i="61"/>
  <c r="X52" i="16"/>
  <c r="X15" i="23"/>
  <c r="X38" i="12"/>
  <c r="X21" i="11"/>
  <c r="X2" i="57"/>
  <c r="X30" i="57"/>
  <c r="X29" i="22"/>
  <c r="X65" i="19"/>
  <c r="X23" i="14"/>
  <c r="X19" i="10"/>
  <c r="X18" i="59"/>
  <c r="X24" i="14"/>
  <c r="X19" i="11"/>
  <c r="X55" i="17"/>
  <c r="X66" i="19"/>
  <c r="X59" i="11"/>
  <c r="X3" i="24"/>
  <c r="X48" i="13"/>
  <c r="X40" i="19"/>
  <c r="X35" i="22"/>
  <c r="X56" i="12"/>
  <c r="X47" i="59"/>
  <c r="X21" i="23"/>
  <c r="X9" i="15"/>
  <c r="X58" i="59"/>
  <c r="X12" i="20"/>
  <c r="X74" i="19"/>
  <c r="X42" i="20"/>
  <c r="X7" i="24"/>
  <c r="X20" i="58"/>
  <c r="X17" i="26"/>
  <c r="X8" i="23"/>
  <c r="X41" i="21"/>
  <c r="X17" i="22"/>
  <c r="X35" i="15"/>
  <c r="X22" i="19"/>
  <c r="X5" i="8"/>
  <c r="X3" i="57"/>
  <c r="X14" i="19"/>
  <c r="X13" i="6"/>
  <c r="X29" i="58"/>
  <c r="X17" i="61"/>
  <c r="X15" i="15"/>
  <c r="X49" i="12"/>
  <c r="X56" i="16"/>
  <c r="X52" i="11"/>
  <c r="X6" i="61"/>
  <c r="X76" i="19"/>
  <c r="X22" i="58"/>
  <c r="X45" i="14"/>
  <c r="X46" i="11"/>
  <c r="X39" i="61"/>
  <c r="X49" i="21"/>
  <c r="X32" i="23"/>
  <c r="X27" i="61"/>
  <c r="X20" i="12"/>
  <c r="X25" i="12"/>
  <c r="X15" i="12"/>
  <c r="X10" i="17"/>
  <c r="X49" i="20"/>
  <c r="X62" i="19"/>
  <c r="X18" i="17"/>
  <c r="X18" i="22"/>
  <c r="X28" i="22"/>
  <c r="X21" i="26"/>
  <c r="X16" i="13"/>
  <c r="X56" i="11"/>
  <c r="X21" i="22"/>
  <c r="X22" i="11"/>
  <c r="X5" i="59"/>
  <c r="X35" i="13"/>
  <c r="X22" i="12"/>
  <c r="X3" i="60"/>
  <c r="X55" i="16"/>
  <c r="X15" i="59"/>
  <c r="X75" i="11"/>
  <c r="X8" i="19"/>
  <c r="X7" i="21"/>
  <c r="X15" i="19"/>
  <c r="X8" i="20"/>
  <c r="X2" i="62"/>
  <c r="X31" i="12"/>
  <c r="X21" i="60"/>
  <c r="X14" i="6"/>
  <c r="X28" i="20"/>
  <c r="X15" i="13"/>
  <c r="X14" i="21"/>
  <c r="X10" i="60"/>
  <c r="X32" i="7"/>
  <c r="X24" i="26"/>
  <c r="X6" i="13"/>
  <c r="X11" i="60"/>
  <c r="X19" i="19"/>
  <c r="X16" i="61"/>
  <c r="X3" i="58"/>
  <c r="X16" i="17"/>
  <c r="X28" i="57"/>
  <c r="X37" i="15"/>
  <c r="X10" i="58"/>
  <c r="X6" i="14"/>
  <c r="X7" i="57"/>
  <c r="X18" i="60"/>
  <c r="X22" i="26"/>
  <c r="X25" i="57"/>
  <c r="X25" i="19"/>
  <c r="X40" i="20"/>
  <c r="X13" i="14"/>
  <c r="X33" i="21"/>
  <c r="X16" i="21"/>
  <c r="X44" i="59"/>
  <c r="X35" i="19"/>
  <c r="X40" i="21"/>
  <c r="X38" i="22"/>
  <c r="X8" i="6"/>
  <c r="X31" i="23"/>
  <c r="X41" i="17"/>
  <c r="X15" i="11"/>
  <c r="X18" i="19"/>
  <c r="X31" i="20"/>
  <c r="X35" i="21"/>
  <c r="X57" i="13"/>
  <c r="X52" i="59"/>
  <c r="X35" i="16"/>
  <c r="X11" i="22"/>
  <c r="X6" i="58"/>
  <c r="X72" i="19"/>
  <c r="X6" i="20"/>
  <c r="X43" i="14"/>
  <c r="X43" i="59"/>
  <c r="X49" i="17"/>
  <c r="X28" i="21"/>
  <c r="X33" i="23"/>
  <c r="X49" i="14"/>
  <c r="X10" i="21"/>
  <c r="X56" i="19"/>
  <c r="X15" i="24"/>
  <c r="X14" i="26"/>
  <c r="X53" i="11"/>
  <c r="X37" i="58"/>
  <c r="X19" i="60"/>
  <c r="X27" i="20"/>
  <c r="X40" i="61"/>
  <c r="X73" i="11"/>
  <c r="X22" i="16"/>
  <c r="X28" i="12"/>
  <c r="X17" i="57"/>
  <c r="X41" i="23"/>
  <c r="X11" i="24"/>
  <c r="X23" i="57"/>
  <c r="X19" i="16"/>
  <c r="X27" i="24"/>
  <c r="X34" i="17"/>
  <c r="X57" i="12"/>
  <c r="X34" i="13"/>
  <c r="X3" i="19"/>
  <c r="X6" i="11"/>
  <c r="X20" i="22"/>
  <c r="X13" i="23"/>
  <c r="X5" i="12"/>
  <c r="X11" i="57"/>
  <c r="X22" i="14"/>
  <c r="X65" i="11"/>
  <c r="X28" i="24"/>
  <c r="X54" i="12"/>
  <c r="X34" i="15"/>
  <c r="X7" i="7"/>
  <c r="X20" i="20"/>
  <c r="X45" i="15"/>
  <c r="X45" i="16"/>
  <c r="X68" i="11"/>
  <c r="X32" i="19"/>
  <c r="X40" i="13"/>
  <c r="X7" i="8"/>
  <c r="X36" i="11"/>
  <c r="X25" i="20"/>
  <c r="X23" i="16"/>
  <c r="X11" i="12"/>
  <c r="X36" i="20"/>
  <c r="X13" i="16"/>
  <c r="X45" i="12"/>
  <c r="X26" i="61"/>
  <c r="X4" i="7"/>
  <c r="X9" i="57"/>
  <c r="X9" i="22"/>
  <c r="X11" i="26"/>
  <c r="X28" i="19"/>
  <c r="X33" i="12"/>
  <c r="X20" i="15"/>
  <c r="X12" i="14"/>
  <c r="X70" i="11"/>
  <c r="X25" i="14"/>
  <c r="X50" i="19"/>
  <c r="X61" i="12"/>
  <c r="X14" i="62"/>
  <c r="X23" i="59"/>
  <c r="X8" i="24"/>
  <c r="X38" i="11"/>
  <c r="X18" i="21"/>
  <c r="X16" i="24"/>
  <c r="X51" i="14"/>
  <c r="X16" i="57"/>
  <c r="X37" i="14"/>
  <c r="X4" i="59"/>
  <c r="X10" i="8"/>
  <c r="X8" i="57"/>
  <c r="X47" i="12"/>
  <c r="X26" i="62"/>
  <c r="X8" i="22"/>
  <c r="X16" i="16"/>
  <c r="X14" i="59"/>
  <c r="X12" i="8"/>
  <c r="X60" i="12"/>
  <c r="X23" i="19"/>
  <c r="X34" i="22"/>
  <c r="X8" i="60"/>
  <c r="X3" i="59"/>
  <c r="X25" i="16"/>
  <c r="X19" i="62"/>
  <c r="X44" i="14"/>
  <c r="X39" i="13"/>
  <c r="X2" i="11"/>
  <c r="X23" i="58"/>
  <c r="X46" i="21"/>
  <c r="X36" i="58"/>
  <c r="X31" i="59"/>
  <c r="X46" i="12"/>
  <c r="X6" i="24"/>
  <c r="X31" i="22"/>
  <c r="X3" i="17"/>
  <c r="X17" i="21"/>
  <c r="X4" i="10"/>
  <c r="X26" i="17"/>
  <c r="X36" i="7"/>
  <c r="X53" i="14"/>
  <c r="X2" i="16"/>
  <c r="X35" i="11"/>
  <c r="X16" i="26"/>
  <c r="X41" i="20"/>
  <c r="X27" i="62"/>
  <c r="X22" i="10"/>
  <c r="X18" i="11"/>
  <c r="X40" i="15"/>
  <c r="X5" i="13"/>
  <c r="X9" i="60"/>
  <c r="X49" i="59"/>
  <c r="X33" i="17"/>
  <c r="X23" i="61"/>
  <c r="X6" i="7"/>
  <c r="X41" i="59"/>
  <c r="X50" i="59"/>
  <c r="X21" i="6"/>
  <c r="X36" i="14"/>
  <c r="X2" i="10"/>
  <c r="X22" i="24"/>
  <c r="X13" i="26"/>
  <c r="X2" i="61"/>
  <c r="X3" i="61"/>
  <c r="X9" i="23"/>
  <c r="X29" i="57"/>
  <c r="X51" i="19"/>
  <c r="X2" i="21"/>
  <c r="X26" i="59"/>
  <c r="X28" i="14"/>
  <c r="X15" i="21"/>
  <c r="X2" i="9"/>
  <c r="X17" i="58"/>
  <c r="X19" i="17"/>
  <c r="X46" i="13"/>
  <c r="X27" i="17"/>
  <c r="X52" i="17"/>
  <c r="X4" i="15"/>
  <c r="X20" i="13"/>
  <c r="X18" i="26"/>
  <c r="X61" i="11"/>
  <c r="X3" i="23"/>
  <c r="X33" i="59"/>
  <c r="X2" i="19"/>
  <c r="X29" i="7"/>
  <c r="X21" i="7"/>
  <c r="X37" i="21"/>
  <c r="X47" i="16"/>
  <c r="X15" i="16"/>
  <c r="X32" i="17"/>
  <c r="X5" i="24"/>
  <c r="X13" i="60"/>
  <c r="X22" i="62"/>
  <c r="X50" i="14"/>
  <c r="X34" i="21"/>
  <c r="X20" i="16"/>
  <c r="X47" i="13"/>
  <c r="X8" i="12"/>
  <c r="X20" i="17"/>
  <c r="X4" i="60"/>
  <c r="X49" i="19"/>
  <c r="X20" i="21"/>
  <c r="X21" i="61"/>
  <c r="X6" i="8"/>
  <c r="X42" i="12"/>
  <c r="X56" i="59"/>
  <c r="X12" i="11"/>
  <c r="X12" i="59"/>
  <c r="X21" i="12"/>
  <c r="X3" i="16"/>
  <c r="X9" i="13"/>
  <c r="X23" i="17"/>
  <c r="X18" i="61"/>
  <c r="X17" i="16"/>
  <c r="X57" i="16"/>
  <c r="X42" i="21"/>
  <c r="X33" i="13"/>
  <c r="X38" i="17"/>
  <c r="X16" i="20"/>
  <c r="X8" i="13"/>
  <c r="X36" i="22"/>
  <c r="X5" i="61"/>
  <c r="X16" i="11"/>
  <c r="X40" i="16"/>
  <c r="X55" i="12"/>
  <c r="X20" i="59"/>
  <c r="X38" i="15"/>
  <c r="X27" i="23"/>
  <c r="X40" i="23"/>
  <c r="X9" i="61"/>
  <c r="X26" i="21"/>
  <c r="X11" i="21"/>
  <c r="X19" i="24"/>
  <c r="X11" i="17"/>
  <c r="X42" i="11"/>
  <c r="X23" i="24"/>
  <c r="X5" i="21"/>
  <c r="X9" i="20"/>
  <c r="X14" i="16"/>
  <c r="X27" i="12"/>
  <c r="X19" i="58"/>
  <c r="X32" i="13"/>
  <c r="X29" i="61"/>
  <c r="X46" i="17"/>
  <c r="X50" i="13"/>
  <c r="X14" i="10"/>
  <c r="X30" i="22"/>
  <c r="X35" i="17"/>
  <c r="X19" i="59"/>
  <c r="X54" i="16"/>
  <c r="X7" i="11"/>
  <c r="X14" i="61"/>
  <c r="X8" i="16"/>
  <c r="X15" i="7"/>
  <c r="X12" i="17"/>
  <c r="X7" i="6"/>
  <c r="X31" i="21"/>
  <c r="X33" i="15"/>
  <c r="X20" i="19"/>
  <c r="X31" i="15"/>
  <c r="X19" i="22"/>
  <c r="X58" i="19"/>
  <c r="X12" i="7"/>
  <c r="X45" i="20"/>
  <c r="X11" i="23"/>
  <c r="X8" i="7"/>
  <c r="X37" i="16"/>
  <c r="X16" i="59"/>
  <c r="X2" i="14"/>
  <c r="X27" i="60"/>
  <c r="X47" i="20"/>
  <c r="X52" i="14"/>
  <c r="X11" i="59"/>
  <c r="X20" i="61"/>
  <c r="X2" i="22"/>
  <c r="X53" i="59"/>
  <c r="X21" i="21"/>
  <c r="X13" i="57"/>
  <c r="X10" i="14"/>
  <c r="X48" i="59"/>
  <c r="X12" i="19"/>
  <c r="X6" i="19"/>
  <c r="X39" i="19"/>
  <c r="X30" i="11"/>
  <c r="X72" i="11"/>
  <c r="X14" i="8"/>
  <c r="X17" i="6"/>
  <c r="X23" i="7"/>
  <c r="X16" i="15"/>
  <c r="X39" i="16"/>
  <c r="X29" i="59"/>
  <c r="X12" i="58"/>
  <c r="X15" i="62"/>
  <c r="X34" i="16"/>
  <c r="X14" i="20"/>
  <c r="X15" i="14"/>
  <c r="X8" i="26"/>
  <c r="X27" i="7"/>
  <c r="X15" i="58"/>
  <c r="X56" i="13"/>
  <c r="X29" i="14"/>
  <c r="X70" i="19"/>
  <c r="X10" i="11"/>
  <c r="X45" i="11"/>
  <c r="X35" i="61"/>
  <c r="X29" i="21"/>
  <c r="X15" i="17"/>
  <c r="X34" i="59"/>
  <c r="X35" i="12"/>
  <c r="X17" i="19"/>
  <c r="X10" i="22"/>
  <c r="X29" i="19"/>
  <c r="X4" i="61"/>
  <c r="X11" i="8"/>
  <c r="X14" i="57"/>
  <c r="X15" i="8"/>
  <c r="X39" i="59"/>
  <c r="X30" i="17"/>
  <c r="X19" i="23"/>
  <c r="X2" i="28"/>
  <c r="X9" i="58"/>
  <c r="X25" i="15"/>
  <c r="X55" i="13"/>
  <c r="X31" i="58"/>
  <c r="X30" i="7"/>
  <c r="X10" i="24"/>
  <c r="X44" i="21"/>
  <c r="X41" i="12"/>
  <c r="X36" i="13"/>
  <c r="X28" i="23"/>
  <c r="X45" i="13"/>
  <c r="X67" i="19"/>
  <c r="X28" i="11"/>
  <c r="X46" i="15"/>
  <c r="X40" i="14"/>
  <c r="X27" i="59"/>
  <c r="X5" i="22"/>
  <c r="X64" i="11"/>
  <c r="X20" i="60"/>
  <c r="X24" i="13"/>
  <c r="X12" i="6"/>
  <c r="X26" i="15"/>
  <c r="X17" i="20"/>
  <c r="X50" i="21"/>
  <c r="X25" i="26"/>
  <c r="X8" i="21"/>
  <c r="X30" i="13"/>
  <c r="X51" i="16"/>
  <c r="X21" i="58"/>
  <c r="X4" i="13"/>
  <c r="X31" i="24"/>
  <c r="X46" i="59"/>
  <c r="X30" i="58"/>
  <c r="X33" i="14"/>
  <c r="X26" i="7"/>
  <c r="X2" i="6"/>
  <c r="X31" i="17"/>
  <c r="X17" i="12"/>
  <c r="X16" i="58"/>
  <c r="X28" i="16"/>
  <c r="X18" i="10"/>
  <c r="X45" i="17"/>
  <c r="X6" i="12"/>
  <c r="X50" i="11"/>
  <c r="X43" i="19"/>
  <c r="X53" i="12"/>
  <c r="X17" i="11"/>
  <c r="X37" i="12"/>
  <c r="X73" i="19"/>
  <c r="X42" i="17"/>
  <c r="X22" i="59"/>
  <c r="X51" i="17"/>
  <c r="X6" i="6"/>
  <c r="X37" i="11"/>
  <c r="X16" i="62"/>
  <c r="X52" i="13"/>
  <c r="X23" i="26"/>
  <c r="X13" i="59"/>
  <c r="X43" i="12"/>
  <c r="X32" i="24"/>
  <c r="X21" i="15"/>
  <c r="X3" i="4"/>
  <c r="X37" i="22"/>
  <c r="X45" i="19"/>
  <c r="X5" i="20"/>
  <c r="X18" i="58"/>
  <c r="X11" i="61"/>
  <c r="X21" i="24"/>
  <c r="X21" i="20"/>
  <c r="X30" i="61"/>
  <c r="X30" i="59"/>
  <c r="X52" i="12"/>
  <c r="X3" i="8"/>
  <c r="X7" i="4"/>
  <c r="X7" i="59"/>
  <c r="X24" i="23"/>
  <c r="X7" i="26"/>
  <c r="X4" i="24"/>
  <c r="X14" i="23"/>
  <c r="X41" i="13"/>
  <c r="X68" i="19"/>
  <c r="X61" i="13"/>
  <c r="X41" i="15"/>
  <c r="X36" i="12"/>
  <c r="X35" i="7"/>
  <c r="X34" i="20"/>
  <c r="X9" i="24"/>
  <c r="X42" i="19"/>
  <c r="X6" i="26"/>
  <c r="X9" i="19"/>
  <c r="X10" i="61"/>
  <c r="X7" i="60"/>
  <c r="X15" i="22"/>
  <c r="X16" i="8"/>
  <c r="X29" i="15"/>
  <c r="X6" i="22"/>
  <c r="X25" i="61"/>
  <c r="X43" i="11"/>
  <c r="X18" i="7"/>
  <c r="X23" i="21"/>
  <c r="X32" i="12"/>
  <c r="X8" i="14"/>
  <c r="X15" i="20"/>
  <c r="X23" i="15"/>
  <c r="X18" i="24"/>
  <c r="X23" i="22"/>
  <c r="X24" i="15"/>
  <c r="X2" i="60"/>
  <c r="X29" i="13"/>
  <c r="X50" i="16"/>
  <c r="X67" i="11"/>
  <c r="X39" i="14"/>
  <c r="X4" i="14"/>
  <c r="X24" i="58"/>
  <c r="X26" i="23"/>
  <c r="X11" i="11"/>
  <c r="X60" i="11"/>
  <c r="X38" i="59"/>
  <c r="X34" i="7"/>
  <c r="X27" i="14"/>
  <c r="X12" i="60"/>
  <c r="X27" i="57"/>
  <c r="X3" i="20"/>
  <c r="X13" i="13"/>
  <c r="X20" i="26"/>
  <c r="X2" i="26"/>
  <c r="X32" i="16"/>
  <c r="X10" i="10"/>
  <c r="X10" i="62"/>
  <c r="X13" i="15"/>
  <c r="X48" i="15"/>
  <c r="X13" i="11"/>
  <c r="X62" i="11"/>
  <c r="X60" i="13"/>
  <c r="X38" i="16"/>
  <c r="X13" i="8"/>
  <c r="X50" i="17"/>
  <c r="X14" i="15"/>
  <c r="X22" i="22"/>
  <c r="X5" i="26"/>
  <c r="X24" i="10"/>
  <c r="X2" i="23"/>
  <c r="X55" i="11"/>
  <c r="X27" i="15"/>
  <c r="X6" i="10"/>
  <c r="X28" i="17"/>
  <c r="X22" i="20"/>
  <c r="X38" i="21"/>
  <c r="X11" i="19"/>
  <c r="X14" i="17"/>
  <c r="X48" i="12"/>
  <c r="X24" i="22"/>
  <c r="X27" i="21"/>
  <c r="X58" i="13"/>
  <c r="X19" i="7"/>
  <c r="X12" i="24"/>
  <c r="X32" i="14"/>
  <c r="X41" i="14"/>
  <c r="X25" i="10"/>
  <c r="X11" i="58"/>
  <c r="X26" i="20"/>
  <c r="X15" i="61"/>
  <c r="X18" i="16"/>
  <c r="X25" i="62"/>
  <c r="X30" i="12"/>
  <c r="X44" i="11"/>
  <c r="X18" i="6"/>
  <c r="X13" i="12"/>
  <c r="X37" i="19"/>
  <c r="X13" i="21"/>
  <c r="X46" i="16"/>
  <c r="X47" i="15"/>
  <c r="X11" i="6"/>
  <c r="X44" i="17"/>
  <c r="X55" i="19"/>
  <c r="X46" i="19"/>
  <c r="X5" i="16"/>
  <c r="X7" i="17"/>
  <c r="X26" i="57"/>
  <c r="X17" i="15"/>
  <c r="X26" i="24"/>
  <c r="X43" i="23"/>
  <c r="X11" i="14"/>
  <c r="X21" i="13"/>
  <c r="X6" i="16"/>
  <c r="X2" i="5"/>
  <c r="X14" i="13"/>
  <c r="X36" i="19"/>
  <c r="X47" i="19"/>
  <c r="X2" i="17"/>
  <c r="X32" i="59"/>
  <c r="X27" i="19"/>
  <c r="X42" i="15"/>
  <c r="X28" i="7"/>
  <c r="X4" i="17"/>
  <c r="X49" i="11"/>
  <c r="X2" i="12"/>
  <c r="X33" i="61"/>
  <c r="X34" i="14"/>
  <c r="X19" i="13"/>
  <c r="X15" i="57"/>
  <c r="X24" i="11"/>
  <c r="X15" i="26"/>
  <c r="X47" i="14"/>
  <c r="X19" i="15"/>
  <c r="X2" i="56"/>
  <c r="X15" i="60"/>
  <c r="X16" i="6"/>
  <c r="X16" i="22"/>
  <c r="X18" i="15"/>
  <c r="X38" i="23"/>
  <c r="X24" i="59"/>
  <c r="X5" i="58"/>
  <c r="X15" i="10"/>
  <c r="X33" i="7"/>
  <c r="X25" i="22"/>
  <c r="X50" i="12"/>
  <c r="X34" i="12"/>
  <c r="X17" i="14"/>
  <c r="X42" i="13"/>
  <c r="X6" i="57"/>
  <c r="X4" i="6"/>
  <c r="X46" i="14"/>
  <c r="X5" i="19"/>
  <c r="X48" i="19"/>
  <c r="X25" i="24"/>
  <c r="X8" i="61"/>
  <c r="X44" i="13"/>
  <c r="X5" i="23"/>
  <c r="X20" i="57"/>
  <c r="X9" i="6"/>
  <c r="X34" i="23"/>
  <c r="X43" i="17"/>
  <c r="X44" i="20"/>
  <c r="X33" i="58"/>
  <c r="X31" i="16"/>
  <c r="X45" i="21"/>
  <c r="X13" i="20"/>
  <c r="X33" i="24"/>
  <c r="X4" i="23"/>
  <c r="X63" i="11"/>
  <c r="X36" i="17"/>
  <c r="X34" i="61"/>
  <c r="X23" i="11"/>
  <c r="X30" i="14"/>
  <c r="X26" i="13"/>
  <c r="X12" i="26"/>
  <c r="X2" i="8"/>
  <c r="X64" i="19"/>
  <c r="X25" i="11"/>
  <c r="X7" i="19"/>
  <c r="X12" i="61"/>
  <c r="X69" i="11"/>
  <c r="X30" i="19"/>
  <c r="X8" i="17"/>
  <c r="X4" i="62"/>
  <c r="X16" i="12"/>
  <c r="X5" i="15"/>
  <c r="X13" i="62"/>
  <c r="X10" i="16"/>
  <c r="X50" i="20"/>
  <c r="X6" i="62"/>
  <c r="X27" i="22"/>
  <c r="X25" i="21"/>
  <c r="X10" i="19"/>
  <c r="X23" i="23"/>
  <c r="X9" i="7"/>
  <c r="X37" i="7"/>
  <c r="X38" i="14"/>
  <c r="X5" i="6"/>
  <c r="X26" i="10"/>
  <c r="X12" i="13"/>
  <c r="X16" i="19"/>
  <c r="X49" i="13"/>
  <c r="X12" i="22"/>
  <c r="X39" i="21"/>
  <c r="X32" i="11"/>
  <c r="X21" i="57"/>
  <c r="X6" i="4"/>
  <c r="X24" i="60"/>
  <c r="X44" i="15"/>
  <c r="X46" i="20"/>
  <c r="X47" i="17"/>
  <c r="X2" i="63"/>
  <c r="X20" i="6"/>
  <c r="X12" i="57"/>
  <c r="X31" i="14"/>
  <c r="X30" i="16"/>
  <c r="X48" i="20"/>
  <c r="X5" i="60"/>
  <c r="X26" i="58"/>
  <c r="X42" i="59"/>
  <c r="X26" i="12"/>
  <c r="X9" i="62"/>
  <c r="X38" i="20"/>
  <c r="X6" i="15"/>
  <c r="X54" i="59"/>
  <c r="X10" i="20"/>
  <c r="X42" i="23"/>
  <c r="X11" i="16"/>
  <c r="X40" i="17"/>
  <c r="X11" i="15"/>
  <c r="X17" i="23"/>
  <c r="X24" i="17"/>
  <c r="X12" i="10"/>
  <c r="X35" i="14"/>
  <c r="X7" i="12"/>
  <c r="X10" i="26"/>
  <c r="X14" i="14"/>
  <c r="X43" i="16"/>
  <c r="X35" i="59"/>
  <c r="X33" i="19"/>
  <c r="X55" i="59"/>
  <c r="X13" i="61"/>
  <c r="X18" i="13"/>
  <c r="X4" i="21"/>
  <c r="X16" i="7"/>
  <c r="X34" i="11"/>
  <c r="X2" i="15"/>
  <c r="X8" i="10"/>
  <c r="X10" i="23"/>
  <c r="X27" i="16"/>
  <c r="X44" i="19"/>
  <c r="X13" i="58"/>
  <c r="X38" i="13"/>
  <c r="X41" i="19"/>
  <c r="X2" i="59"/>
  <c r="X16" i="23"/>
  <c r="X31" i="11"/>
  <c r="AI53" i="11"/>
  <c r="AM53" i="11"/>
  <c r="AN67" i="11"/>
  <c r="AJ67" i="11"/>
  <c r="AO67" i="11" s="1"/>
  <c r="AA2" i="60"/>
  <c r="AA14" i="60"/>
  <c r="AA5" i="60"/>
  <c r="AA23" i="60"/>
  <c r="AA13" i="60"/>
  <c r="AA3" i="60"/>
  <c r="AA22" i="60"/>
  <c r="AA17" i="60"/>
  <c r="AA15" i="60"/>
  <c r="AA19" i="60"/>
  <c r="AA27" i="60"/>
  <c r="AA9" i="60"/>
  <c r="AA10" i="60"/>
  <c r="AA18" i="60"/>
  <c r="AA8" i="60"/>
  <c r="AA24" i="60"/>
  <c r="AA11" i="60"/>
  <c r="AA7" i="60"/>
  <c r="AA26" i="60"/>
  <c r="AA16" i="60"/>
  <c r="AA12" i="60"/>
  <c r="AA6" i="60"/>
  <c r="AA21" i="60"/>
  <c r="AA25" i="60"/>
  <c r="AA4" i="60"/>
  <c r="AA20" i="60"/>
  <c r="AM63" i="11"/>
  <c r="AI63" i="11"/>
  <c r="AU12" i="60"/>
  <c r="AR18" i="60"/>
  <c r="AN18" i="11"/>
  <c r="AJ18" i="11"/>
  <c r="AO18" i="11" s="1"/>
  <c r="AD7" i="19"/>
  <c r="AE7" i="19"/>
  <c r="AB7" i="19"/>
  <c r="AD2" i="19"/>
  <c r="AE2" i="19"/>
  <c r="AB2" i="19"/>
  <c r="AD11" i="19"/>
  <c r="AE11" i="19"/>
  <c r="AB11" i="19"/>
  <c r="AB39" i="19"/>
  <c r="AE39" i="19"/>
  <c r="AD39" i="19"/>
  <c r="AE15" i="19"/>
  <c r="AB15" i="19"/>
  <c r="AD15" i="19"/>
  <c r="AE52" i="19"/>
  <c r="AD52" i="19"/>
  <c r="AB52" i="19"/>
  <c r="AB24" i="19"/>
  <c r="AD24" i="19"/>
  <c r="AE24" i="19"/>
  <c r="AD38" i="19"/>
  <c r="AE38" i="19"/>
  <c r="AB38" i="19"/>
  <c r="AE35" i="19"/>
  <c r="AD35" i="19"/>
  <c r="AB35" i="19"/>
  <c r="AB29" i="19"/>
  <c r="AE29" i="19"/>
  <c r="AD29" i="19"/>
  <c r="AD31" i="19"/>
  <c r="AE31" i="19"/>
  <c r="AB31" i="19"/>
  <c r="AB63" i="19"/>
  <c r="AD63" i="19"/>
  <c r="AE63" i="19"/>
  <c r="AE37" i="19"/>
  <c r="AB37" i="19"/>
  <c r="AD37" i="19"/>
  <c r="AE64" i="19"/>
  <c r="AB64" i="19"/>
  <c r="AD64" i="19"/>
  <c r="AE14" i="19"/>
  <c r="AB14" i="19"/>
  <c r="AD14" i="19"/>
  <c r="AM16" i="11"/>
  <c r="AI16" i="11"/>
  <c r="AJ5" i="11"/>
  <c r="AO5" i="11" s="1"/>
  <c r="AN5" i="11"/>
  <c r="AH19" i="60"/>
  <c r="AM35" i="11"/>
  <c r="AI35" i="11"/>
  <c r="AJ75" i="11"/>
  <c r="AO75" i="11" s="1"/>
  <c r="AN75" i="11"/>
  <c r="AE46" i="19"/>
  <c r="AB46" i="19"/>
  <c r="AD46" i="19"/>
  <c r="AE61" i="19"/>
  <c r="AB61" i="19"/>
  <c r="AD61" i="19"/>
  <c r="AB42" i="19"/>
  <c r="AD42" i="19"/>
  <c r="AE42" i="19"/>
  <c r="AD60" i="19"/>
  <c r="AE60" i="19"/>
  <c r="AB60" i="19"/>
  <c r="AB76" i="19"/>
  <c r="AE76" i="19"/>
  <c r="AD76" i="19"/>
  <c r="AE45" i="19"/>
  <c r="AB45" i="19"/>
  <c r="AD45" i="19"/>
  <c r="AE19" i="19"/>
  <c r="AB19" i="19"/>
  <c r="AD19" i="19"/>
  <c r="AE17" i="19"/>
  <c r="AD17" i="19"/>
  <c r="AB17" i="19"/>
  <c r="AD27" i="19"/>
  <c r="AE27" i="19"/>
  <c r="AB27" i="19"/>
  <c r="AE58" i="19"/>
  <c r="AB58" i="19"/>
  <c r="AD58" i="19"/>
  <c r="AD40" i="19"/>
  <c r="AB40" i="19"/>
  <c r="AE40" i="19"/>
  <c r="AE53" i="19"/>
  <c r="AB53" i="19"/>
  <c r="AD53" i="19"/>
  <c r="AE56" i="19"/>
  <c r="AD56" i="19"/>
  <c r="AB56" i="19"/>
  <c r="AE43" i="19"/>
  <c r="AD43" i="19"/>
  <c r="AB43" i="19"/>
  <c r="AB70" i="19"/>
  <c r="AE70" i="19"/>
  <c r="AD70" i="19"/>
  <c r="AE67" i="19"/>
  <c r="AD67" i="19"/>
  <c r="AB67" i="19"/>
  <c r="AE73" i="19"/>
  <c r="AB73" i="19"/>
  <c r="AD73" i="19"/>
  <c r="AD71" i="19"/>
  <c r="AE71" i="19"/>
  <c r="AB71" i="19"/>
  <c r="AB5" i="19"/>
  <c r="AE5" i="19"/>
  <c r="AD5" i="19"/>
  <c r="AB8" i="19"/>
  <c r="AD8" i="19"/>
  <c r="AE8" i="19"/>
  <c r="AJ28" i="11"/>
  <c r="AO28" i="11" s="1"/>
  <c r="AN28" i="11"/>
  <c r="AJ66" i="11"/>
  <c r="AO66" i="11" s="1"/>
  <c r="AN66" i="11"/>
  <c r="AI49" i="11"/>
  <c r="AM49" i="11"/>
  <c r="AM23" i="11"/>
  <c r="AI23" i="11"/>
  <c r="AN21" i="11"/>
  <c r="AJ21" i="11"/>
  <c r="AO21" i="11" s="1"/>
  <c r="AN31" i="11"/>
  <c r="AJ31" i="11"/>
  <c r="AO31" i="11" s="1"/>
  <c r="AN35" i="11" l="1"/>
  <c r="AJ35" i="11"/>
  <c r="AO35" i="11" s="1"/>
  <c r="AJ39" i="11"/>
  <c r="AO39" i="11" s="1"/>
  <c r="AN39" i="11"/>
  <c r="AI19" i="60"/>
  <c r="AU18" i="60"/>
  <c r="AJ23" i="11"/>
  <c r="AO23" i="11" s="1"/>
  <c r="AN23" i="11"/>
  <c r="AJ63" i="11"/>
  <c r="AO63" i="11" s="1"/>
  <c r="AN63" i="11"/>
  <c r="AN49" i="11"/>
  <c r="AJ49" i="11"/>
  <c r="AO49" i="11" s="1"/>
  <c r="AJ53" i="11"/>
  <c r="AO53" i="11" s="1"/>
  <c r="AN53" i="11"/>
  <c r="AN16" i="11"/>
  <c r="AJ16" i="11"/>
  <c r="AO16" i="11" s="1"/>
  <c r="AN26" i="11"/>
  <c r="AJ26" i="11"/>
  <c r="AO26" i="11" s="1"/>
  <c r="AL19" i="60" l="1"/>
  <c r="AM19" i="60"/>
  <c r="AK19" i="60"/>
  <c r="AT19" i="60" l="1"/>
  <c r="AT20" i="60" s="1"/>
  <c r="AM20" i="60"/>
  <c r="AN19" i="60"/>
  <c r="AR19" i="60"/>
  <c r="AK20" i="60"/>
  <c r="AS19" i="60"/>
  <c r="AS20" i="60" s="1"/>
  <c r="AL20" i="60"/>
  <c r="AU19" i="60" l="1"/>
  <c r="AR20" i="60"/>
  <c r="AO21" i="60"/>
  <c r="AN20" i="60"/>
  <c r="AO26" i="60" l="1"/>
  <c r="AO22" i="60"/>
  <c r="AO27" i="60" s="1"/>
  <c r="AV21" i="60"/>
  <c r="AU20" i="60"/>
  <c r="AV22" i="60" l="1"/>
  <c r="AV27" i="60" s="1"/>
  <c r="AV26" i="60"/>
  <c r="Z11" i="24"/>
  <c r="Z33" i="61"/>
  <c r="Z50" i="16"/>
  <c r="Z21" i="11"/>
  <c r="Z5" i="24"/>
  <c r="Z5" i="26"/>
  <c r="Z25" i="13"/>
  <c r="Z25" i="20"/>
  <c r="Z36" i="23"/>
  <c r="Z50" i="12"/>
  <c r="Z9" i="19"/>
  <c r="Z34" i="16"/>
  <c r="Z3" i="10"/>
  <c r="Z47" i="20"/>
  <c r="Z42" i="17"/>
  <c r="Z18" i="12"/>
  <c r="Z34" i="23"/>
  <c r="Z59" i="13"/>
  <c r="Z48" i="17"/>
  <c r="Z12" i="17"/>
  <c r="Z13" i="24"/>
  <c r="Z33" i="21"/>
  <c r="Z33" i="19"/>
  <c r="Z22" i="17"/>
  <c r="Z51" i="16"/>
  <c r="Z9" i="8"/>
  <c r="Z17" i="26"/>
  <c r="Z14" i="23"/>
  <c r="Z54" i="11"/>
  <c r="Z33" i="16"/>
  <c r="Z37" i="20"/>
  <c r="Z14" i="17"/>
  <c r="Z24" i="61"/>
  <c r="Z48" i="59"/>
  <c r="Z12" i="62"/>
  <c r="Z25" i="23"/>
  <c r="Z58" i="11"/>
  <c r="Z7" i="21"/>
  <c r="Z32" i="7"/>
  <c r="Z21" i="26"/>
  <c r="Z2" i="23"/>
  <c r="Z9" i="14"/>
  <c r="Z27" i="59"/>
  <c r="Z9" i="10"/>
  <c r="Z29" i="57"/>
  <c r="Z19" i="14"/>
  <c r="Z18" i="22"/>
  <c r="Z23" i="60"/>
  <c r="Z2" i="60"/>
  <c r="Z32" i="61"/>
  <c r="Z44" i="12"/>
  <c r="Z12" i="58"/>
  <c r="Z10" i="11"/>
  <c r="Z53" i="11"/>
  <c r="Z12" i="22"/>
  <c r="Z13" i="57"/>
  <c r="Z9" i="11"/>
  <c r="Z48" i="13"/>
  <c r="Z8" i="13"/>
  <c r="Z21" i="10"/>
  <c r="Z16" i="14"/>
  <c r="Z75" i="11"/>
  <c r="Z74" i="19"/>
  <c r="Z22" i="23"/>
  <c r="Z19" i="21"/>
  <c r="Z2" i="4"/>
  <c r="Z36" i="7"/>
  <c r="Z6" i="21"/>
  <c r="Z2" i="17"/>
  <c r="Z12" i="21"/>
  <c r="Z14" i="8"/>
  <c r="Z26" i="61"/>
  <c r="Z38" i="14"/>
  <c r="Z18" i="24"/>
  <c r="Z15" i="16"/>
  <c r="Z41" i="13"/>
  <c r="Z41" i="21"/>
  <c r="Z10" i="19"/>
  <c r="Z37" i="19"/>
  <c r="Z13" i="13"/>
  <c r="Z3" i="20"/>
  <c r="Z14" i="24"/>
  <c r="Z10" i="8"/>
  <c r="Z14" i="13"/>
  <c r="Z2" i="61"/>
  <c r="Z21" i="13"/>
  <c r="Z39" i="13"/>
  <c r="Z49" i="17"/>
  <c r="Z14" i="11"/>
  <c r="Z53" i="19"/>
  <c r="Z21" i="14"/>
  <c r="Z38" i="13"/>
  <c r="Z26" i="21"/>
  <c r="Z13" i="14"/>
  <c r="Z47" i="14"/>
  <c r="Z24" i="20"/>
  <c r="Z9" i="23"/>
  <c r="Z8" i="11"/>
  <c r="Z4" i="58"/>
  <c r="Z26" i="26"/>
  <c r="Z27" i="14"/>
  <c r="Z4" i="12"/>
  <c r="Z48" i="16"/>
  <c r="Z2" i="63"/>
  <c r="Z30" i="24"/>
  <c r="Z14" i="58"/>
  <c r="Z22" i="60"/>
  <c r="Z40" i="20"/>
  <c r="Z6" i="59"/>
  <c r="Z29" i="15"/>
  <c r="Z8" i="7"/>
  <c r="Z40" i="15"/>
  <c r="Z28" i="12"/>
  <c r="Z18" i="15"/>
  <c r="Z23" i="59"/>
  <c r="Z31" i="22"/>
  <c r="Z4" i="14"/>
  <c r="Z57" i="19"/>
  <c r="Z5" i="14"/>
  <c r="Z34" i="61"/>
  <c r="Z13" i="22"/>
  <c r="Z43" i="20"/>
  <c r="Z10" i="16"/>
  <c r="Z49" i="15"/>
  <c r="Z18" i="7"/>
  <c r="Z25" i="15"/>
  <c r="Z47" i="17"/>
  <c r="Z34" i="13"/>
  <c r="Z21" i="59"/>
  <c r="Z11" i="10"/>
  <c r="Z17" i="19"/>
  <c r="Z8" i="61"/>
  <c r="Z31" i="7"/>
  <c r="Z32" i="14"/>
  <c r="Z33" i="23"/>
  <c r="Z21" i="21"/>
  <c r="Z14" i="7"/>
  <c r="Z21" i="62"/>
  <c r="Z26" i="23"/>
  <c r="Z23" i="21"/>
  <c r="Z8" i="10"/>
  <c r="Z26" i="58"/>
  <c r="Z31" i="19"/>
  <c r="Z16" i="60"/>
  <c r="Z42" i="23"/>
  <c r="Z38" i="19"/>
  <c r="Z30" i="61"/>
  <c r="Z5" i="57"/>
  <c r="Z6" i="7"/>
  <c r="Z15" i="19"/>
  <c r="Z39" i="21"/>
  <c r="Z57" i="12"/>
  <c r="Z13" i="61"/>
  <c r="Z32" i="13"/>
  <c r="Z40" i="16"/>
  <c r="Z48" i="15"/>
  <c r="Z24" i="19"/>
  <c r="Z11" i="26"/>
  <c r="Z48" i="21"/>
  <c r="Z34" i="20"/>
  <c r="Z21" i="15"/>
  <c r="Z34" i="12"/>
  <c r="Z5" i="58"/>
  <c r="Z49" i="12"/>
  <c r="Z50" i="21"/>
  <c r="Z2" i="22"/>
  <c r="Z61" i="12"/>
  <c r="Z42" i="14"/>
  <c r="Z31" i="14"/>
  <c r="Z30" i="13"/>
  <c r="Z41" i="23"/>
  <c r="Z50" i="59"/>
  <c r="Z21" i="60"/>
  <c r="Z66" i="11"/>
  <c r="Z33" i="22"/>
  <c r="Z12" i="20"/>
  <c r="Z21" i="16"/>
  <c r="Z15" i="58"/>
  <c r="Z28" i="14"/>
  <c r="Z46" i="12"/>
  <c r="Z19" i="19"/>
  <c r="Z5" i="15"/>
  <c r="Z24" i="23"/>
  <c r="Z28" i="13"/>
  <c r="Z32" i="22"/>
  <c r="Z22" i="13"/>
  <c r="Z6" i="58"/>
  <c r="Z42" i="21"/>
  <c r="Z8" i="19"/>
  <c r="Z11" i="11"/>
  <c r="Z19" i="22"/>
  <c r="Z2" i="18"/>
  <c r="Z8" i="12"/>
  <c r="Z50" i="14"/>
  <c r="Z2" i="57"/>
  <c r="Z26" i="59"/>
  <c r="Z6" i="61"/>
  <c r="Z38" i="59"/>
  <c r="Z13" i="8"/>
  <c r="Z39" i="11"/>
  <c r="Z37" i="17"/>
  <c r="Z10" i="10"/>
  <c r="Z8" i="26"/>
  <c r="Z17" i="6"/>
  <c r="Z20" i="17"/>
  <c r="Z23" i="14"/>
  <c r="Z4" i="59"/>
  <c r="Z12" i="26"/>
  <c r="Z19" i="59"/>
  <c r="Z18" i="21"/>
  <c r="Z46" i="11"/>
  <c r="Z42" i="15"/>
  <c r="Z10" i="23"/>
  <c r="Z23" i="17"/>
  <c r="Z25" i="59"/>
  <c r="Z44" i="16"/>
  <c r="Z5" i="23"/>
  <c r="Z8" i="20"/>
  <c r="Z28" i="58"/>
  <c r="Z16" i="13"/>
  <c r="Z72" i="19"/>
  <c r="Z30" i="14"/>
  <c r="Z13" i="7"/>
  <c r="Z9" i="26"/>
  <c r="Z9" i="21"/>
  <c r="Z7" i="26"/>
  <c r="Z7" i="61"/>
  <c r="Z26" i="16"/>
  <c r="Z21" i="58"/>
  <c r="Z2" i="27"/>
  <c r="Z9" i="12"/>
  <c r="Z76" i="19"/>
  <c r="Z2" i="20"/>
  <c r="Z12" i="59"/>
  <c r="Z4" i="62"/>
  <c r="Z5" i="11"/>
  <c r="Z11" i="12"/>
  <c r="Z75" i="19"/>
  <c r="Z8" i="24"/>
  <c r="Z13" i="16"/>
  <c r="Z39" i="12"/>
  <c r="Z4" i="57"/>
  <c r="Z46" i="17"/>
  <c r="Z30" i="21"/>
  <c r="Z20" i="19"/>
  <c r="Z32" i="17"/>
  <c r="Z39" i="14"/>
  <c r="Z33" i="7"/>
  <c r="Z24" i="22"/>
  <c r="Z61" i="19"/>
  <c r="Z3" i="11"/>
  <c r="Z4" i="20"/>
  <c r="Z11" i="59"/>
  <c r="Z16" i="10"/>
  <c r="Z23" i="62"/>
  <c r="Z48" i="11"/>
  <c r="Z57" i="16"/>
  <c r="Z28" i="17"/>
  <c r="Z25" i="16"/>
  <c r="Z15" i="21"/>
  <c r="Z12" i="8"/>
  <c r="Z36" i="15"/>
  <c r="Z36" i="14"/>
  <c r="Z28" i="61"/>
  <c r="Z30" i="16"/>
  <c r="Z39" i="59"/>
  <c r="Z11" i="20"/>
  <c r="Z19" i="10"/>
  <c r="Z26" i="7"/>
  <c r="Z58" i="13"/>
  <c r="Z22" i="10"/>
  <c r="Z4" i="24"/>
  <c r="Z41" i="59"/>
  <c r="Z14" i="22"/>
  <c r="Z14" i="26"/>
  <c r="Z23" i="57"/>
  <c r="Z20" i="62"/>
  <c r="Z18" i="26"/>
  <c r="Z55" i="12"/>
  <c r="Z15" i="61"/>
  <c r="Z29" i="23"/>
  <c r="Z11" i="19"/>
  <c r="Z18" i="59"/>
  <c r="Z25" i="14"/>
  <c r="Z16" i="58"/>
  <c r="Z25" i="19"/>
  <c r="Z11" i="61"/>
  <c r="Z35" i="16"/>
  <c r="Z45" i="19"/>
  <c r="Z18" i="23"/>
  <c r="Z37" i="59"/>
  <c r="Z31" i="11"/>
  <c r="Z30" i="57"/>
  <c r="Z17" i="22"/>
  <c r="Z19" i="11"/>
  <c r="Z22" i="7"/>
  <c r="Z19" i="7"/>
  <c r="Z10" i="13"/>
  <c r="Z7" i="23"/>
  <c r="Z6" i="8"/>
  <c r="Z24" i="12"/>
  <c r="Z4" i="16"/>
  <c r="Z38" i="16"/>
  <c r="Z2" i="28"/>
  <c r="Z21" i="22"/>
  <c r="Z6" i="57"/>
  <c r="Z20" i="7"/>
  <c r="Z43" i="21"/>
  <c r="Z39" i="20"/>
  <c r="Z6" i="24"/>
  <c r="Z31" i="17"/>
  <c r="Z44" i="17"/>
  <c r="Z36" i="21"/>
  <c r="Z36" i="19"/>
  <c r="Z18" i="14"/>
  <c r="Z44" i="13"/>
  <c r="Z6" i="23"/>
  <c r="Z50" i="19"/>
  <c r="Z14" i="62"/>
  <c r="Z35" i="59"/>
  <c r="Z4" i="6"/>
  <c r="Z10" i="60"/>
  <c r="Z18" i="20"/>
  <c r="Z27" i="19"/>
  <c r="Z10" i="57"/>
  <c r="Z12" i="6"/>
  <c r="Z47" i="21"/>
  <c r="Z28" i="20"/>
  <c r="Z59" i="19"/>
  <c r="Z28" i="24"/>
  <c r="Z5" i="59"/>
  <c r="Z71" i="19"/>
  <c r="Z20" i="11"/>
  <c r="Z2" i="5"/>
  <c r="Z31" i="21"/>
  <c r="Z8" i="60"/>
  <c r="Z11" i="8"/>
  <c r="Z67" i="11"/>
  <c r="Z2" i="7"/>
  <c r="Z5" i="60"/>
  <c r="Z18" i="6"/>
  <c r="Z12" i="19"/>
  <c r="Z32" i="21"/>
  <c r="Z4" i="13"/>
  <c r="Z58" i="59"/>
  <c r="Z12" i="16"/>
  <c r="Z13" i="21"/>
  <c r="Z2" i="59"/>
  <c r="Z20" i="22"/>
  <c r="Z70" i="11"/>
  <c r="Z21" i="17"/>
  <c r="Z31" i="58"/>
  <c r="Z60" i="13"/>
  <c r="Z4" i="61"/>
  <c r="Z44" i="14"/>
  <c r="Z33" i="20"/>
  <c r="Z50" i="20"/>
  <c r="Z21" i="23"/>
  <c r="Z7" i="16"/>
  <c r="Z54" i="12"/>
  <c r="Z12" i="12"/>
  <c r="Z6" i="10"/>
  <c r="Z2" i="26"/>
  <c r="Z35" i="13"/>
  <c r="Z8" i="17"/>
  <c r="Z3" i="23"/>
  <c r="Z58" i="12"/>
  <c r="Z31" i="59"/>
  <c r="Z36" i="59"/>
  <c r="Z10" i="58"/>
  <c r="Z30" i="20"/>
  <c r="Z17" i="60"/>
  <c r="Z51" i="11"/>
  <c r="Z8" i="58"/>
  <c r="Z7" i="4"/>
  <c r="Z63" i="19"/>
  <c r="Z9" i="60"/>
  <c r="Z51" i="12"/>
  <c r="Z14" i="21"/>
  <c r="Z13" i="6"/>
  <c r="Z26" i="11"/>
  <c r="Z5" i="4"/>
  <c r="Z2" i="11"/>
  <c r="Z19" i="6"/>
  <c r="Z43" i="15"/>
  <c r="Z53" i="17"/>
  <c r="Z3" i="22"/>
  <c r="Z16" i="6"/>
  <c r="Z43" i="11"/>
  <c r="Z29" i="24"/>
  <c r="Z55" i="59"/>
  <c r="Z56" i="19"/>
  <c r="Z31" i="23"/>
  <c r="Z7" i="58"/>
  <c r="Z13" i="10"/>
  <c r="Z43" i="17"/>
  <c r="Z30" i="19"/>
  <c r="Z3" i="17"/>
  <c r="Z25" i="61"/>
  <c r="Z26" i="60"/>
  <c r="Z40" i="23"/>
  <c r="Z32" i="19"/>
  <c r="Z17" i="14"/>
  <c r="Z6" i="22"/>
  <c r="Z8" i="21"/>
  <c r="Z18" i="17"/>
  <c r="Z18" i="10"/>
  <c r="Z17" i="61"/>
  <c r="Z27" i="13"/>
  <c r="Z10" i="15"/>
  <c r="Z22" i="16"/>
  <c r="Z20" i="60"/>
  <c r="Z25" i="57"/>
  <c r="Z11" i="62"/>
  <c r="Z27" i="11"/>
  <c r="Z7" i="62"/>
  <c r="Z53" i="13"/>
  <c r="Z45" i="59"/>
  <c r="Z5" i="8"/>
  <c r="Z29" i="11"/>
  <c r="Z20" i="15"/>
  <c r="Z74" i="11"/>
  <c r="Z38" i="11"/>
  <c r="Z37" i="14"/>
  <c r="Z26" i="14"/>
  <c r="Z14" i="15"/>
  <c r="Z3" i="13"/>
  <c r="Z56" i="12"/>
  <c r="Z48" i="12"/>
  <c r="Z51" i="13"/>
  <c r="Z5" i="20"/>
  <c r="Z68" i="19"/>
  <c r="Z12" i="23"/>
  <c r="Z7" i="60"/>
  <c r="Z27" i="12"/>
  <c r="Z55" i="17"/>
  <c r="Z7" i="59"/>
  <c r="Z40" i="13"/>
  <c r="Z21" i="61"/>
  <c r="Z5" i="10"/>
  <c r="Z26" i="24"/>
  <c r="Z16" i="15"/>
  <c r="Z19" i="17"/>
  <c r="Z22" i="20"/>
  <c r="Z29" i="16"/>
  <c r="Z51" i="17"/>
  <c r="Z7" i="12"/>
  <c r="Z9" i="15"/>
  <c r="Z2" i="10"/>
  <c r="Z45" i="16"/>
  <c r="Z37" i="13"/>
  <c r="Z19" i="60"/>
  <c r="Z19" i="20"/>
  <c r="Z33" i="11"/>
  <c r="Z9" i="13"/>
  <c r="Z42" i="12"/>
  <c r="Z47" i="59"/>
  <c r="Z20" i="58"/>
  <c r="Z56" i="59"/>
  <c r="Z9" i="17"/>
  <c r="Z11" i="58"/>
  <c r="Z22" i="22"/>
  <c r="Z13" i="12"/>
  <c r="Z25" i="11"/>
  <c r="Z24" i="24"/>
  <c r="Z11" i="16"/>
  <c r="Z7" i="20"/>
  <c r="Z25" i="12"/>
  <c r="Z10" i="20"/>
  <c r="Z3" i="58"/>
  <c r="Z24" i="15"/>
  <c r="Z20" i="57"/>
  <c r="Z43" i="16"/>
  <c r="Z49" i="13"/>
  <c r="Z24" i="14"/>
  <c r="Z45" i="21"/>
  <c r="Z17" i="15"/>
  <c r="Z15" i="15"/>
  <c r="Z20" i="14"/>
  <c r="Z7" i="8"/>
  <c r="Z35" i="11"/>
  <c r="Z30" i="7"/>
  <c r="Z51" i="19"/>
  <c r="Z22" i="24"/>
  <c r="Z52" i="14"/>
  <c r="Z4" i="19"/>
  <c r="Z23" i="19"/>
  <c r="Z13" i="15"/>
  <c r="Z16" i="20"/>
  <c r="Z11" i="7"/>
  <c r="Z20" i="21"/>
  <c r="Z24" i="21"/>
  <c r="Z45" i="14"/>
  <c r="Z8" i="62"/>
  <c r="Z31" i="13"/>
  <c r="Z38" i="17"/>
  <c r="Z19" i="13"/>
  <c r="Z9" i="61"/>
  <c r="Z3" i="62"/>
  <c r="Z46" i="21"/>
  <c r="Z39" i="16"/>
  <c r="Z14" i="57"/>
  <c r="Z14" i="12"/>
  <c r="Z20" i="23"/>
  <c r="Z26" i="57"/>
  <c r="Z28" i="11"/>
  <c r="Z19" i="24"/>
  <c r="Z43" i="23"/>
  <c r="Z24" i="60"/>
  <c r="Z8" i="23"/>
  <c r="Z8" i="16"/>
  <c r="Z17" i="11"/>
  <c r="Z28" i="19"/>
  <c r="Z14" i="14"/>
  <c r="Z22" i="11"/>
  <c r="Z28" i="7"/>
  <c r="Z26" i="62"/>
  <c r="Z23" i="7"/>
  <c r="Z7" i="24"/>
  <c r="Z20" i="10"/>
  <c r="Z18" i="11"/>
  <c r="Z2" i="13"/>
  <c r="Z31" i="57"/>
  <c r="Z40" i="21"/>
  <c r="Z32" i="20"/>
  <c r="Z16" i="21"/>
  <c r="Z35" i="7"/>
  <c r="Z8" i="22"/>
  <c r="Z19" i="16"/>
  <c r="Z5" i="17"/>
  <c r="Z47" i="15"/>
  <c r="Z29" i="17"/>
  <c r="Z11" i="15"/>
  <c r="Z15" i="17"/>
  <c r="Z37" i="11"/>
  <c r="Z26" i="22"/>
  <c r="Z46" i="16"/>
  <c r="Z19" i="15"/>
  <c r="Z23" i="24"/>
  <c r="Z26" i="15"/>
  <c r="Z67" i="19"/>
  <c r="Z41" i="17"/>
  <c r="Z12" i="11"/>
  <c r="Z2" i="8"/>
  <c r="Z37" i="12"/>
  <c r="Z42" i="19"/>
  <c r="Z15" i="26"/>
  <c r="Z13" i="17"/>
  <c r="Z29" i="12"/>
  <c r="Z15" i="62"/>
  <c r="Z6" i="17"/>
  <c r="Z33" i="14"/>
  <c r="Z7" i="19"/>
  <c r="Z25" i="7"/>
  <c r="Z23" i="22"/>
  <c r="Z47" i="16"/>
  <c r="Z27" i="60"/>
  <c r="Z45" i="13"/>
  <c r="Z24" i="10"/>
  <c r="Z33" i="58"/>
  <c r="Z4" i="11"/>
  <c r="Z31" i="15"/>
  <c r="Z23" i="26"/>
  <c r="Z43" i="14"/>
  <c r="Z62" i="19"/>
  <c r="Z40" i="17"/>
  <c r="Z42" i="11"/>
  <c r="Z3" i="16"/>
  <c r="Z20" i="20"/>
  <c r="Z54" i="13"/>
  <c r="Z28" i="23"/>
  <c r="Z26" i="20"/>
  <c r="Z37" i="61"/>
  <c r="Z56" i="16"/>
  <c r="Z31" i="12"/>
  <c r="Z2" i="58"/>
  <c r="Z27" i="22"/>
  <c r="Z11" i="22"/>
  <c r="Z24" i="57"/>
  <c r="Z6" i="20"/>
  <c r="Z66" i="19"/>
  <c r="Z6" i="15"/>
  <c r="Z32" i="16"/>
  <c r="Z10" i="59"/>
  <c r="Z36" i="58"/>
  <c r="Z39" i="19"/>
  <c r="Z13" i="62"/>
  <c r="Z6" i="4"/>
  <c r="Z25" i="22"/>
  <c r="Z40" i="61"/>
  <c r="Z13" i="23"/>
  <c r="Z11" i="21"/>
  <c r="Z11" i="60"/>
  <c r="Z17" i="58"/>
  <c r="Z9" i="6"/>
  <c r="Z39" i="17"/>
  <c r="Z43" i="59"/>
  <c r="Z28" i="22"/>
  <c r="Z60" i="12"/>
  <c r="Z24" i="17"/>
  <c r="Z30" i="58"/>
  <c r="Z19" i="57"/>
  <c r="Z5" i="6"/>
  <c r="Z37" i="58"/>
  <c r="Z35" i="15"/>
  <c r="Z2" i="12"/>
  <c r="Z6" i="19"/>
  <c r="Z15" i="6"/>
  <c r="Z37" i="16"/>
  <c r="Z18" i="13"/>
  <c r="Z2" i="14"/>
  <c r="Z43" i="19"/>
  <c r="Z50" i="13"/>
  <c r="Z22" i="61"/>
  <c r="Z27" i="7"/>
  <c r="Z37" i="22"/>
  <c r="Z6" i="12"/>
  <c r="Z43" i="13"/>
  <c r="Z25" i="17"/>
  <c r="Z21" i="6"/>
  <c r="Z3" i="6"/>
  <c r="Z17" i="21"/>
  <c r="Z10" i="14"/>
  <c r="Z24" i="11"/>
  <c r="Z57" i="13"/>
  <c r="Z23" i="20"/>
  <c r="Z3" i="7"/>
  <c r="Z50" i="11"/>
  <c r="Z5" i="22"/>
  <c r="Z25" i="62"/>
  <c r="Z30" i="23"/>
  <c r="Z8" i="8"/>
  <c r="Z10" i="21"/>
  <c r="Z17" i="13"/>
  <c r="Z16" i="12"/>
  <c r="Z16" i="8"/>
  <c r="Z47" i="11"/>
  <c r="Z29" i="7"/>
  <c r="Z40" i="14"/>
  <c r="Z65" i="19"/>
  <c r="Z52" i="16"/>
  <c r="Z16" i="7"/>
  <c r="Z10" i="22"/>
  <c r="Z60" i="19"/>
  <c r="Z7" i="17"/>
  <c r="Z36" i="17"/>
  <c r="Z15" i="8"/>
  <c r="Z56" i="13"/>
  <c r="Z30" i="22"/>
  <c r="Z17" i="10"/>
  <c r="Z30" i="59"/>
  <c r="Z32" i="58"/>
  <c r="Z34" i="59"/>
  <c r="Z9" i="22"/>
  <c r="Z70" i="19"/>
  <c r="Z34" i="22"/>
  <c r="Z35" i="17"/>
  <c r="Z51" i="59"/>
  <c r="Z40" i="59"/>
  <c r="Z3" i="26"/>
  <c r="Z39" i="23"/>
  <c r="Z52" i="19"/>
  <c r="Z23" i="13"/>
  <c r="Z23" i="58"/>
  <c r="Z64" i="19"/>
  <c r="Z28" i="59"/>
  <c r="Z7" i="15"/>
  <c r="Z32" i="23"/>
  <c r="Z32" i="11"/>
  <c r="Z35" i="14"/>
  <c r="Z44" i="59"/>
  <c r="Z22" i="15"/>
  <c r="Z44" i="21"/>
  <c r="Z34" i="21"/>
  <c r="Z4" i="26"/>
  <c r="Z11" i="57"/>
  <c r="Z4" i="10"/>
  <c r="Z32" i="59"/>
  <c r="Z12" i="14"/>
  <c r="Z2" i="62"/>
  <c r="Z6" i="13"/>
  <c r="Z38" i="12"/>
  <c r="Z38" i="61"/>
  <c r="Z21" i="12"/>
  <c r="Z46" i="19"/>
  <c r="Z41" i="12"/>
  <c r="Z22" i="62"/>
  <c r="Z33" i="12"/>
  <c r="Z30" i="15"/>
  <c r="Z23" i="15"/>
  <c r="Z27" i="17"/>
  <c r="Z30" i="17"/>
  <c r="Z16" i="23"/>
  <c r="Z7" i="6"/>
  <c r="Z61" i="11"/>
  <c r="Z15" i="22"/>
  <c r="Z25" i="24"/>
  <c r="Z17" i="24"/>
  <c r="Z25" i="10"/>
  <c r="Z29" i="61"/>
  <c r="Z16" i="17"/>
  <c r="Z17" i="20"/>
  <c r="Z6" i="26"/>
  <c r="Z23" i="61"/>
  <c r="Z31" i="24"/>
  <c r="Z49" i="59"/>
  <c r="Z10" i="61"/>
  <c r="Z48" i="20"/>
  <c r="Z30" i="11"/>
  <c r="Z15" i="57"/>
  <c r="Z3" i="21"/>
  <c r="Z23" i="12"/>
  <c r="Z34" i="11"/>
  <c r="Z49" i="16"/>
  <c r="Z16" i="57"/>
  <c r="Z41" i="19"/>
  <c r="Z45" i="11"/>
  <c r="Z20" i="6"/>
  <c r="Z22" i="57"/>
  <c r="Z28" i="21"/>
  <c r="Z65" i="11"/>
  <c r="Z20" i="61"/>
  <c r="Z33" i="24"/>
  <c r="Z22" i="58"/>
  <c r="Z2" i="21"/>
  <c r="Z9" i="20"/>
  <c r="Z3" i="61"/>
  <c r="Z34" i="58"/>
  <c r="Z15" i="10"/>
  <c r="Z36" i="61"/>
  <c r="Z32" i="24"/>
  <c r="Z63" i="11"/>
  <c r="Z44" i="23"/>
  <c r="Z31" i="61"/>
  <c r="Z27" i="61"/>
  <c r="Z16" i="22"/>
  <c r="Z68" i="11"/>
  <c r="Z45" i="17"/>
  <c r="Z46" i="14"/>
  <c r="Z13" i="60"/>
  <c r="Z4" i="8"/>
  <c r="Z3" i="24"/>
  <c r="Z76" i="11"/>
  <c r="Z14" i="20"/>
  <c r="Z14" i="61"/>
  <c r="Z17" i="7"/>
  <c r="Z28" i="16"/>
  <c r="Z54" i="16"/>
  <c r="Z48" i="19"/>
  <c r="Z44" i="15"/>
  <c r="Z25" i="21"/>
  <c r="Z18" i="19"/>
  <c r="Z41" i="14"/>
  <c r="Z7" i="11"/>
  <c r="Z35" i="19"/>
  <c r="Z17" i="59"/>
  <c r="Z14" i="6"/>
  <c r="Z18" i="61"/>
  <c r="Z16" i="62"/>
  <c r="Z27" i="62"/>
  <c r="Z24" i="59"/>
  <c r="Z2" i="15"/>
  <c r="Z17" i="62"/>
  <c r="Z21" i="24"/>
  <c r="Z37" i="7"/>
  <c r="Z24" i="26"/>
  <c r="Z16" i="61"/>
  <c r="Z44" i="20"/>
  <c r="Z35" i="21"/>
  <c r="Z46" i="59"/>
  <c r="Z55" i="16"/>
  <c r="Z26" i="12"/>
  <c r="Z14" i="59"/>
  <c r="Z13" i="59"/>
  <c r="Z42" i="16"/>
  <c r="Z12" i="24"/>
  <c r="Z17" i="23"/>
  <c r="Z2" i="56"/>
  <c r="Z5" i="21"/>
  <c r="Z47" i="12"/>
  <c r="Z6" i="62"/>
  <c r="Z5" i="12"/>
  <c r="Z22" i="21"/>
  <c r="Z39" i="61"/>
  <c r="Z22" i="26"/>
  <c r="Z49" i="19"/>
  <c r="Z29" i="19"/>
  <c r="Z60" i="11"/>
  <c r="Z7" i="14"/>
  <c r="Z3" i="60"/>
  <c r="Z38" i="15"/>
  <c r="Z9" i="7"/>
  <c r="Z27" i="24"/>
  <c r="Z20" i="24"/>
  <c r="Z49" i="11"/>
  <c r="Z56" i="11"/>
  <c r="Z3" i="14"/>
  <c r="Z11" i="13"/>
  <c r="Z5" i="61"/>
  <c r="Z3" i="19"/>
  <c r="Z4" i="7"/>
  <c r="Z14" i="16"/>
  <c r="Z31" i="16"/>
  <c r="Z9" i="58"/>
  <c r="Z12" i="7"/>
  <c r="Z46" i="15"/>
  <c r="Z46" i="20"/>
  <c r="Z21" i="7"/>
  <c r="Z38" i="22"/>
  <c r="Z18" i="60"/>
  <c r="Z41" i="11"/>
  <c r="Z28" i="15"/>
  <c r="Z62" i="11"/>
  <c r="Z32" i="15"/>
  <c r="Z22" i="19"/>
  <c r="Z28" i="57"/>
  <c r="Z55" i="11"/>
  <c r="Z40" i="12"/>
  <c r="Z19" i="58"/>
  <c r="Z18" i="58"/>
  <c r="Z26" i="17"/>
  <c r="Z5" i="16"/>
  <c r="Z53" i="16"/>
  <c r="Z12" i="10"/>
  <c r="Z53" i="59"/>
  <c r="Z26" i="10"/>
  <c r="Z15" i="20"/>
  <c r="Z29" i="14"/>
  <c r="Z49" i="21"/>
  <c r="Z15" i="13"/>
  <c r="Z15" i="7"/>
  <c r="Z24" i="58"/>
  <c r="Z52" i="12"/>
  <c r="Z58" i="19"/>
  <c r="Z21" i="57"/>
  <c r="Z13" i="19"/>
  <c r="Z13" i="58"/>
  <c r="Z42" i="20"/>
  <c r="Z4" i="22"/>
  <c r="Z10" i="6"/>
  <c r="Z57" i="11"/>
  <c r="Z22" i="12"/>
  <c r="Z33" i="15"/>
  <c r="Z34" i="19"/>
  <c r="Z27" i="15"/>
  <c r="Z15" i="14"/>
  <c r="Z17" i="16"/>
  <c r="Z3" i="4"/>
  <c r="Z64" i="11"/>
  <c r="Z19" i="61"/>
  <c r="Z4" i="4"/>
  <c r="Z12" i="13"/>
  <c r="Z20" i="12"/>
  <c r="Z27" i="16"/>
  <c r="Z17" i="12"/>
  <c r="Z69" i="19"/>
  <c r="Z59" i="11"/>
  <c r="Z8" i="6"/>
  <c r="Z36" i="12"/>
  <c r="Z33" i="13"/>
  <c r="Z9" i="62"/>
  <c r="Z45" i="15"/>
  <c r="Z16" i="24"/>
  <c r="Z38" i="21"/>
  <c r="Z13" i="11"/>
  <c r="Z10" i="12"/>
  <c r="Z27" i="21"/>
  <c r="Z9" i="59"/>
  <c r="Z6" i="6"/>
  <c r="Z7" i="57"/>
  <c r="Z18" i="62"/>
  <c r="Z10" i="62"/>
  <c r="Z3" i="59"/>
  <c r="Z30" i="12"/>
  <c r="Z31" i="20"/>
  <c r="Z4" i="17"/>
  <c r="Z15" i="60"/>
  <c r="Z29" i="58"/>
  <c r="Z7" i="22"/>
  <c r="Z24" i="7"/>
  <c r="Z29" i="22"/>
  <c r="Z36" i="11"/>
  <c r="Z12" i="61"/>
  <c r="Z35" i="61"/>
  <c r="Z15" i="11"/>
  <c r="Z10" i="24"/>
  <c r="Z42" i="13"/>
  <c r="Z12" i="15"/>
  <c r="Z55" i="19"/>
  <c r="Z17" i="57"/>
  <c r="Z9" i="16"/>
  <c r="Z40" i="19"/>
  <c r="Z33" i="59"/>
  <c r="Z3" i="12"/>
  <c r="Z4" i="60"/>
  <c r="Z34" i="14"/>
  <c r="Z54" i="19"/>
  <c r="Z8" i="59"/>
  <c r="Z37" i="21"/>
  <c r="Z50" i="17"/>
  <c r="Z21" i="19"/>
  <c r="Z27" i="58"/>
  <c r="Z29" i="59"/>
  <c r="Z24" i="13"/>
  <c r="Z6" i="16"/>
  <c r="Z20" i="16"/>
  <c r="Z2" i="25"/>
  <c r="Z22" i="59"/>
  <c r="Z35" i="58"/>
  <c r="Z51" i="14"/>
  <c r="Z54" i="17"/>
  <c r="Z59" i="12"/>
  <c r="Z10" i="26"/>
  <c r="Z41" i="16"/>
  <c r="Z2" i="6"/>
  <c r="Z41" i="20"/>
  <c r="Z41" i="15"/>
  <c r="Z2" i="24"/>
  <c r="Z6" i="14"/>
  <c r="Z14" i="19"/>
  <c r="Z16" i="16"/>
  <c r="Z53" i="12"/>
  <c r="Z54" i="59"/>
  <c r="Z52" i="13"/>
  <c r="Z25" i="58"/>
  <c r="Z32" i="12"/>
  <c r="Z37" i="23"/>
  <c r="Z25" i="26"/>
  <c r="Z13" i="26"/>
  <c r="Z21" i="20"/>
  <c r="Z14" i="60"/>
  <c r="Z23" i="11"/>
  <c r="Z27" i="57"/>
  <c r="Z52" i="59"/>
  <c r="Z24" i="62"/>
  <c r="Z8" i="15"/>
  <c r="Z6" i="11"/>
  <c r="Z47" i="13"/>
  <c r="Z36" i="16"/>
  <c r="Z69" i="11"/>
  <c r="Z36" i="13"/>
  <c r="Z53" i="14"/>
  <c r="Z34" i="15"/>
  <c r="Z45" i="12"/>
  <c r="Z47" i="19"/>
  <c r="Z16" i="26"/>
  <c r="Z20" i="13"/>
  <c r="Z9" i="24"/>
  <c r="Z7" i="7"/>
  <c r="Z40" i="11"/>
  <c r="Z23" i="10"/>
  <c r="Z16" i="59"/>
  <c r="Z57" i="59"/>
  <c r="Z29" i="20"/>
  <c r="Z27" i="20"/>
  <c r="Z4" i="21"/>
  <c r="Z43" i="12"/>
  <c r="Z18" i="57"/>
  <c r="Z39" i="15"/>
  <c r="Z10" i="17"/>
  <c r="Z61" i="13"/>
  <c r="Z18" i="16"/>
  <c r="Z19" i="12"/>
  <c r="Z38" i="23"/>
  <c r="Z45" i="20"/>
  <c r="Z49" i="20"/>
  <c r="Z3" i="57"/>
  <c r="Z14" i="10"/>
  <c r="Z15" i="12"/>
  <c r="Z44" i="11"/>
  <c r="Z22" i="14"/>
  <c r="Z46" i="13"/>
  <c r="Z38" i="20"/>
  <c r="Z9" i="57"/>
  <c r="Z11" i="6"/>
  <c r="Z7" i="13"/>
  <c r="Z71" i="11"/>
  <c r="Z49" i="14"/>
  <c r="Z33" i="17"/>
  <c r="Z12" i="57"/>
  <c r="Z52" i="17"/>
  <c r="Z5" i="7"/>
  <c r="Z34" i="17"/>
  <c r="Z15" i="23"/>
  <c r="Z12" i="60"/>
  <c r="Z3" i="15"/>
  <c r="Z55" i="13"/>
  <c r="Z27" i="23"/>
  <c r="Z35" i="20"/>
  <c r="Z25" i="60"/>
  <c r="Z19" i="62"/>
  <c r="Z8" i="14"/>
  <c r="Z26" i="19"/>
  <c r="Z16" i="11"/>
  <c r="Z48" i="14"/>
  <c r="Z23" i="23"/>
  <c r="Z42" i="59"/>
  <c r="Z15" i="59"/>
  <c r="Z2" i="9"/>
  <c r="Z10" i="7"/>
  <c r="Z20" i="26"/>
  <c r="Z52" i="11"/>
  <c r="Z19" i="26"/>
  <c r="Z3" i="8"/>
  <c r="Z73" i="19"/>
  <c r="Z11" i="23"/>
  <c r="Z2" i="16"/>
  <c r="Z23" i="16"/>
  <c r="Z4" i="15"/>
  <c r="Z37" i="15"/>
  <c r="Z26" i="13"/>
  <c r="Z4" i="23"/>
  <c r="Z17" i="17"/>
  <c r="Z29" i="13"/>
  <c r="Z36" i="22"/>
  <c r="Z2" i="19"/>
  <c r="Z16" i="19"/>
  <c r="Z5" i="13"/>
  <c r="Z8" i="57"/>
  <c r="Z35" i="23"/>
  <c r="Z35" i="22"/>
  <c r="Z72" i="11"/>
  <c r="Z35" i="12"/>
  <c r="Z11" i="14"/>
  <c r="Z44" i="19"/>
  <c r="Z36" i="20"/>
  <c r="Z20" i="59"/>
  <c r="Z13" i="20"/>
  <c r="Z15" i="24"/>
  <c r="Z19" i="23"/>
  <c r="Z5" i="62"/>
  <c r="Z5" i="19"/>
  <c r="Z7" i="10"/>
  <c r="Z6" i="60"/>
  <c r="Z29" i="21"/>
  <c r="Z11" i="17"/>
  <c r="Z34" i="7"/>
  <c r="Z24" i="16"/>
  <c r="Z73" i="11"/>
  <c r="Y8" i="14"/>
  <c r="Y29" i="61"/>
  <c r="Y38" i="16"/>
  <c r="Y27" i="16"/>
  <c r="Y15" i="24"/>
  <c r="Y36" i="7"/>
  <c r="Y43" i="14"/>
  <c r="Y36" i="16"/>
  <c r="Y25" i="7"/>
  <c r="Y2" i="7"/>
  <c r="Y34" i="58"/>
  <c r="Y52" i="19"/>
  <c r="Y31" i="17"/>
  <c r="Y46" i="14"/>
  <c r="Y37" i="15"/>
  <c r="Y9" i="26"/>
  <c r="Y3" i="20"/>
  <c r="Y53" i="12"/>
  <c r="Y16" i="20"/>
  <c r="Y35" i="22"/>
  <c r="Y51" i="19"/>
  <c r="Y27" i="19"/>
  <c r="Y14" i="15"/>
  <c r="Y20" i="17"/>
  <c r="Y33" i="19"/>
  <c r="Y35" i="61"/>
  <c r="Y11" i="60"/>
  <c r="Y34" i="21"/>
  <c r="Y28" i="15"/>
  <c r="Y25" i="61"/>
  <c r="Y27" i="62"/>
  <c r="Y26" i="17"/>
  <c r="Y45" i="59"/>
  <c r="Y57" i="13"/>
  <c r="Y26" i="21"/>
  <c r="Y31" i="22"/>
  <c r="Y29" i="16"/>
  <c r="Y19" i="58"/>
  <c r="Y19" i="23"/>
  <c r="Y38" i="23"/>
  <c r="Y5" i="20"/>
  <c r="Y47" i="19"/>
  <c r="Y11" i="11"/>
  <c r="Y48" i="16"/>
  <c r="Y30" i="23"/>
  <c r="Y30" i="58"/>
  <c r="Y25" i="62"/>
  <c r="Y2" i="58"/>
  <c r="Y10" i="16"/>
  <c r="Y13" i="11"/>
  <c r="Y65" i="19"/>
  <c r="Y21" i="13"/>
  <c r="Y65" i="11"/>
  <c r="Y46" i="20"/>
  <c r="Y54" i="12"/>
  <c r="Y12" i="8"/>
  <c r="Y34" i="20"/>
  <c r="Y15" i="62"/>
  <c r="Y29" i="14"/>
  <c r="Y15" i="8"/>
  <c r="Y16" i="10"/>
  <c r="Y12" i="6"/>
  <c r="Y7" i="15"/>
  <c r="Y44" i="23"/>
  <c r="Y37" i="12"/>
  <c r="Y7" i="22"/>
  <c r="Y3" i="19"/>
  <c r="Y58" i="12"/>
  <c r="Y36" i="22"/>
  <c r="Y27" i="15"/>
  <c r="Y18" i="19"/>
  <c r="Y42" i="16"/>
  <c r="Y45" i="20"/>
  <c r="Y26" i="58"/>
  <c r="Y41" i="23"/>
  <c r="Y31" i="58"/>
  <c r="Y7" i="14"/>
  <c r="Y2" i="5"/>
  <c r="Y20" i="13"/>
  <c r="Y35" i="59"/>
  <c r="Y4" i="26"/>
  <c r="Y25" i="58"/>
  <c r="Y8" i="10"/>
  <c r="Y26" i="15"/>
  <c r="Y9" i="59"/>
  <c r="Y52" i="17"/>
  <c r="Y18" i="7"/>
  <c r="Y55" i="12"/>
  <c r="Y17" i="58"/>
  <c r="Y56" i="11"/>
  <c r="Y9" i="17"/>
  <c r="Y25" i="15"/>
  <c r="Y17" i="26"/>
  <c r="Y22" i="59"/>
  <c r="Y41" i="11"/>
  <c r="Y39" i="21"/>
  <c r="Y19" i="60"/>
  <c r="Y4" i="14"/>
  <c r="Y34" i="14"/>
  <c r="Y62" i="11"/>
  <c r="Y7" i="26"/>
  <c r="Y3" i="4"/>
  <c r="Y46" i="11"/>
  <c r="Y3" i="61"/>
  <c r="Y55" i="16"/>
  <c r="Y5" i="4"/>
  <c r="Y5" i="11"/>
  <c r="Y12" i="19"/>
  <c r="Y10" i="10"/>
  <c r="Y8" i="59"/>
  <c r="Y32" i="22"/>
  <c r="Y26" i="26"/>
  <c r="Y3" i="15"/>
  <c r="Y17" i="15"/>
  <c r="Y8" i="15"/>
  <c r="Y37" i="19"/>
  <c r="Y30" i="11"/>
  <c r="Y5" i="14"/>
  <c r="Y6" i="15"/>
  <c r="Y2" i="57"/>
  <c r="Y49" i="11"/>
  <c r="Y18" i="57"/>
  <c r="Y36" i="12"/>
  <c r="Y10" i="19"/>
  <c r="Y11" i="6"/>
  <c r="Y66" i="11"/>
  <c r="Y27" i="22"/>
  <c r="Y14" i="8"/>
  <c r="Y40" i="14"/>
  <c r="Y7" i="57"/>
  <c r="Y2" i="19"/>
  <c r="Y32" i="24"/>
  <c r="Y50" i="12"/>
  <c r="Y15" i="59"/>
  <c r="Y28" i="22"/>
  <c r="Y23" i="14"/>
  <c r="Y23" i="19"/>
  <c r="Y46" i="17"/>
  <c r="Y22" i="58"/>
  <c r="Y31" i="7"/>
  <c r="Y30" i="24"/>
  <c r="Y35" i="20"/>
  <c r="Y7" i="61"/>
  <c r="Y38" i="22"/>
  <c r="Y18" i="22"/>
  <c r="Y72" i="11"/>
  <c r="Y5" i="61"/>
  <c r="Y34" i="16"/>
  <c r="Y10" i="15"/>
  <c r="Y11" i="19"/>
  <c r="Y33" i="14"/>
  <c r="Y44" i="15"/>
  <c r="Y5" i="21"/>
  <c r="Y3" i="21"/>
  <c r="Y26" i="61"/>
  <c r="Y52" i="14"/>
  <c r="Y52" i="11"/>
  <c r="Y27" i="59"/>
  <c r="Y21" i="20"/>
  <c r="Y7" i="16"/>
  <c r="Y32" i="13"/>
  <c r="Y48" i="12"/>
  <c r="Y39" i="16"/>
  <c r="Y25" i="21"/>
  <c r="Y7" i="8"/>
  <c r="Y13" i="19"/>
  <c r="Y38" i="19"/>
  <c r="Y37" i="20"/>
  <c r="Y56" i="12"/>
  <c r="Y4" i="15"/>
  <c r="Y35" i="23"/>
  <c r="Y50" i="20"/>
  <c r="Y13" i="13"/>
  <c r="Y13" i="16"/>
  <c r="Y8" i="7"/>
  <c r="Y15" i="58"/>
  <c r="Y42" i="23"/>
  <c r="Y31" i="59"/>
  <c r="Y25" i="26"/>
  <c r="Y15" i="20"/>
  <c r="Y40" i="12"/>
  <c r="Y48" i="15"/>
  <c r="Y32" i="14"/>
  <c r="Y21" i="15"/>
  <c r="Y32" i="17"/>
  <c r="Y3" i="58"/>
  <c r="Y36" i="17"/>
  <c r="Y23" i="60"/>
  <c r="Y8" i="19"/>
  <c r="Y10" i="26"/>
  <c r="Y12" i="13"/>
  <c r="Y31" i="61"/>
  <c r="Y33" i="23"/>
  <c r="Y27" i="14"/>
  <c r="Y18" i="15"/>
  <c r="Y33" i="12"/>
  <c r="Y13" i="6"/>
  <c r="Y51" i="11"/>
  <c r="Y16" i="17"/>
  <c r="Y52" i="13"/>
  <c r="Y2" i="61"/>
  <c r="Y10" i="21"/>
  <c r="Y6" i="17"/>
  <c r="Y14" i="16"/>
  <c r="Y13" i="62"/>
  <c r="Y31" i="23"/>
  <c r="Y18" i="16"/>
  <c r="Y7" i="7"/>
  <c r="Y34" i="7"/>
  <c r="Y53" i="59"/>
  <c r="Y11" i="17"/>
  <c r="Y2" i="59"/>
  <c r="Y14" i="24"/>
  <c r="Y23" i="10"/>
  <c r="Y23" i="59"/>
  <c r="Y41" i="21"/>
  <c r="Y33" i="17"/>
  <c r="Y7" i="12"/>
  <c r="Y29" i="59"/>
  <c r="Y24" i="23"/>
  <c r="Y4" i="6"/>
  <c r="Y25" i="57"/>
  <c r="Y31" i="13"/>
  <c r="Y7" i="60"/>
  <c r="Y13" i="60"/>
  <c r="Y10" i="22"/>
  <c r="Y8" i="61"/>
  <c r="Y3" i="14"/>
  <c r="Y67" i="11"/>
  <c r="Y33" i="16"/>
  <c r="Y14" i="19"/>
  <c r="Y2" i="23"/>
  <c r="Y58" i="11"/>
  <c r="Y9" i="15"/>
  <c r="Y49" i="17"/>
  <c r="Y57" i="16"/>
  <c r="Y4" i="57"/>
  <c r="Y2" i="60"/>
  <c r="Y37" i="21"/>
  <c r="Y7" i="10"/>
  <c r="Y50" i="17"/>
  <c r="Y15" i="22"/>
  <c r="Y13" i="26"/>
  <c r="Y24" i="17"/>
  <c r="Y9" i="20"/>
  <c r="Y51" i="12"/>
  <c r="Y43" i="19"/>
  <c r="Y40" i="17"/>
  <c r="Y13" i="59"/>
  <c r="Y27" i="7"/>
  <c r="Y38" i="61"/>
  <c r="Y60" i="13"/>
  <c r="Y13" i="8"/>
  <c r="Y10" i="60"/>
  <c r="Y27" i="23"/>
  <c r="Y15" i="11"/>
  <c r="Y16" i="12"/>
  <c r="Y31" i="11"/>
  <c r="Y28" i="7"/>
  <c r="Y4" i="19"/>
  <c r="Y44" i="16"/>
  <c r="Y26" i="59"/>
  <c r="Y11" i="10"/>
  <c r="Y45" i="13"/>
  <c r="Y12" i="61"/>
  <c r="Y61" i="11"/>
  <c r="Y39" i="14"/>
  <c r="Y23" i="16"/>
  <c r="Y28" i="58"/>
  <c r="Y19" i="13"/>
  <c r="Y63" i="19"/>
  <c r="Y3" i="60"/>
  <c r="Y43" i="20"/>
  <c r="Y34" i="22"/>
  <c r="Y6" i="26"/>
  <c r="Y44" i="12"/>
  <c r="Y3" i="11"/>
  <c r="Y14" i="57"/>
  <c r="Y17" i="10"/>
  <c r="Y21" i="24"/>
  <c r="Y38" i="20"/>
  <c r="Y49" i="13"/>
  <c r="Y6" i="4"/>
  <c r="Y5" i="6"/>
  <c r="Y8" i="26"/>
  <c r="Y20" i="11"/>
  <c r="Y62" i="19"/>
  <c r="Y55" i="13"/>
  <c r="Y54" i="13"/>
  <c r="Y39" i="59"/>
  <c r="Y41" i="19"/>
  <c r="Y6" i="21"/>
  <c r="Y16" i="23"/>
  <c r="Y20" i="19"/>
  <c r="Y23" i="13"/>
  <c r="Y3" i="57"/>
  <c r="Y16" i="14"/>
  <c r="Y4" i="10"/>
  <c r="Y23" i="17"/>
  <c r="Y10" i="62"/>
  <c r="Y15" i="10"/>
  <c r="Y16" i="21"/>
  <c r="Y9" i="8"/>
  <c r="Y28" i="23"/>
  <c r="Y5" i="8"/>
  <c r="Y11" i="57"/>
  <c r="Y26" i="60"/>
  <c r="Y15" i="61"/>
  <c r="Y20" i="58"/>
  <c r="Y32" i="58"/>
  <c r="Y26" i="7"/>
  <c r="Y33" i="15"/>
  <c r="Y39" i="11"/>
  <c r="Y29" i="20"/>
  <c r="Y9" i="23"/>
  <c r="Y39" i="17"/>
  <c r="Y2" i="56"/>
  <c r="Y24" i="21"/>
  <c r="Y49" i="20"/>
  <c r="Y44" i="21"/>
  <c r="Y21" i="22"/>
  <c r="Y16" i="19"/>
  <c r="Y42" i="17"/>
  <c r="Y4" i="7"/>
  <c r="Y24" i="19"/>
  <c r="Y37" i="59"/>
  <c r="Y66" i="19"/>
  <c r="Y22" i="17"/>
  <c r="Y45" i="21"/>
  <c r="Y30" i="59"/>
  <c r="Y55" i="19"/>
  <c r="Y6" i="6"/>
  <c r="Y11" i="20"/>
  <c r="Y51" i="59"/>
  <c r="Y4" i="17"/>
  <c r="Y23" i="26"/>
  <c r="Y34" i="19"/>
  <c r="Y14" i="58"/>
  <c r="Y17" i="61"/>
  <c r="Y14" i="23"/>
  <c r="Y12" i="26"/>
  <c r="Y12" i="7"/>
  <c r="Y13" i="15"/>
  <c r="Y11" i="8"/>
  <c r="Y5" i="59"/>
  <c r="Y26" i="14"/>
  <c r="Y15" i="12"/>
  <c r="Y27" i="13"/>
  <c r="Y3" i="24"/>
  <c r="Y24" i="57"/>
  <c r="Y37" i="16"/>
  <c r="Y25" i="20"/>
  <c r="Y18" i="12"/>
  <c r="Y5" i="62"/>
  <c r="Y10" i="58"/>
  <c r="Y30" i="15"/>
  <c r="Y29" i="19"/>
  <c r="Y6" i="8"/>
  <c r="Y21" i="62"/>
  <c r="Y6" i="7"/>
  <c r="Y50" i="16"/>
  <c r="Y10" i="59"/>
  <c r="Y36" i="61"/>
  <c r="Y38" i="12"/>
  <c r="Y30" i="14"/>
  <c r="Y30" i="19"/>
  <c r="Y17" i="23"/>
  <c r="Y69" i="11"/>
  <c r="Y21" i="59"/>
  <c r="Y22" i="61"/>
  <c r="Y76" i="19"/>
  <c r="Y60" i="11"/>
  <c r="Y47" i="15"/>
  <c r="Y24" i="59"/>
  <c r="Y39" i="23"/>
  <c r="Y16" i="62"/>
  <c r="Y46" i="59"/>
  <c r="Y57" i="59"/>
  <c r="Y27" i="20"/>
  <c r="Y2" i="10"/>
  <c r="Y38" i="13"/>
  <c r="Y34" i="12"/>
  <c r="Y70" i="11"/>
  <c r="Y22" i="26"/>
  <c r="Y18" i="21"/>
  <c r="Y40" i="15"/>
  <c r="Y2" i="14"/>
  <c r="Y43" i="23"/>
  <c r="Y11" i="16"/>
  <c r="Y5" i="12"/>
  <c r="Y8" i="20"/>
  <c r="Y21" i="26"/>
  <c r="Y35" i="17"/>
  <c r="Y7" i="59"/>
  <c r="Y4" i="11"/>
  <c r="Y44" i="11"/>
  <c r="Y61" i="13"/>
  <c r="Y6" i="13"/>
  <c r="Y24" i="12"/>
  <c r="Y30" i="13"/>
  <c r="Y22" i="20"/>
  <c r="Y4" i="60"/>
  <c r="Y35" i="7"/>
  <c r="Y3" i="23"/>
  <c r="Y3" i="17"/>
  <c r="Y38" i="21"/>
  <c r="Y53" i="19"/>
  <c r="Y18" i="11"/>
  <c r="Y31" i="16"/>
  <c r="Y30" i="61"/>
  <c r="Y20" i="7"/>
  <c r="Y20" i="21"/>
  <c r="Y21" i="14"/>
  <c r="Y37" i="11"/>
  <c r="Y12" i="21"/>
  <c r="Y16" i="59"/>
  <c r="Y56" i="19"/>
  <c r="Y42" i="12"/>
  <c r="Y36" i="59"/>
  <c r="Y22" i="24"/>
  <c r="Y35" i="19"/>
  <c r="Y71" i="11"/>
  <c r="Y10" i="6"/>
  <c r="Y7" i="17"/>
  <c r="Y24" i="58"/>
  <c r="Y15" i="13"/>
  <c r="Y26" i="24"/>
  <c r="Y42" i="20"/>
  <c r="Y11" i="22"/>
  <c r="Y20" i="23"/>
  <c r="Y19" i="10"/>
  <c r="Y56" i="13"/>
  <c r="Y27" i="61"/>
  <c r="Y54" i="19"/>
  <c r="Y6" i="16"/>
  <c r="Y31" i="24"/>
  <c r="Y32" i="61"/>
  <c r="Y13" i="61"/>
  <c r="Y15" i="26"/>
  <c r="Y2" i="16"/>
  <c r="Y49" i="15"/>
  <c r="Y47" i="12"/>
  <c r="Y37" i="22"/>
  <c r="Y18" i="61"/>
  <c r="Y7" i="4"/>
  <c r="Y68" i="19"/>
  <c r="Y29" i="17"/>
  <c r="Y18" i="14"/>
  <c r="Y26" i="62"/>
  <c r="Y76" i="11"/>
  <c r="Y73" i="11"/>
  <c r="Y34" i="13"/>
  <c r="Y40" i="61"/>
  <c r="Y21" i="10"/>
  <c r="Y14" i="26"/>
  <c r="Y24" i="60"/>
  <c r="Y38" i="14"/>
  <c r="Y12" i="23"/>
  <c r="Y6" i="23"/>
  <c r="Y29" i="15"/>
  <c r="Y46" i="13"/>
  <c r="Y40" i="19"/>
  <c r="Y19" i="26"/>
  <c r="Y6" i="19"/>
  <c r="Y3" i="10"/>
  <c r="Y45" i="19"/>
  <c r="Y73" i="19"/>
  <c r="Y3" i="59"/>
  <c r="Y23" i="57"/>
  <c r="Y7" i="13"/>
  <c r="Y4" i="20"/>
  <c r="Y16" i="61"/>
  <c r="Y9" i="61"/>
  <c r="Y8" i="8"/>
  <c r="Y47" i="20"/>
  <c r="Y41" i="12"/>
  <c r="Y48" i="20"/>
  <c r="Y11" i="21"/>
  <c r="Y15" i="60"/>
  <c r="Y14" i="61"/>
  <c r="Y17" i="59"/>
  <c r="Y6" i="22"/>
  <c r="Y10" i="61"/>
  <c r="Y8" i="57"/>
  <c r="Y19" i="62"/>
  <c r="Y28" i="59"/>
  <c r="Y13" i="57"/>
  <c r="Y20" i="22"/>
  <c r="Y33" i="58"/>
  <c r="Y69" i="19"/>
  <c r="Y43" i="59"/>
  <c r="Y44" i="20"/>
  <c r="Y16" i="15"/>
  <c r="Y21" i="60"/>
  <c r="Y12" i="11"/>
  <c r="Y47" i="13"/>
  <c r="Y38" i="59"/>
  <c r="Y23" i="22"/>
  <c r="Y30" i="7"/>
  <c r="Y2" i="12"/>
  <c r="Y20" i="6"/>
  <c r="Y5" i="15"/>
  <c r="Y55" i="59"/>
  <c r="Y44" i="59"/>
  <c r="Y14" i="60"/>
  <c r="Y29" i="12"/>
  <c r="Y22" i="7"/>
  <c r="Y75" i="11"/>
  <c r="Y7" i="6"/>
  <c r="Y54" i="11"/>
  <c r="Y45" i="12"/>
  <c r="Y2" i="62"/>
  <c r="Y22" i="10"/>
  <c r="Y52" i="59"/>
  <c r="Y2" i="63"/>
  <c r="Y9" i="13"/>
  <c r="Y29" i="23"/>
  <c r="Y18" i="26"/>
  <c r="Y39" i="13"/>
  <c r="Y16" i="22"/>
  <c r="Y26" i="11"/>
  <c r="Y19" i="59"/>
  <c r="Y21" i="12"/>
  <c r="Y44" i="17"/>
  <c r="Y35" i="12"/>
  <c r="Y60" i="12"/>
  <c r="Y21" i="19"/>
  <c r="Y2" i="21"/>
  <c r="Y19" i="61"/>
  <c r="Y19" i="14"/>
  <c r="Y34" i="23"/>
  <c r="Y42" i="21"/>
  <c r="Y20" i="20"/>
  <c r="Y3" i="22"/>
  <c r="Y20" i="16"/>
  <c r="Y36" i="15"/>
  <c r="Y6" i="24"/>
  <c r="Y15" i="23"/>
  <c r="Y41" i="13"/>
  <c r="Y11" i="7"/>
  <c r="Y8" i="24"/>
  <c r="Y9" i="10"/>
  <c r="Y36" i="11"/>
  <c r="Y23" i="20"/>
  <c r="Y39" i="20"/>
  <c r="Y32" i="23"/>
  <c r="Y39" i="12"/>
  <c r="Y23" i="61"/>
  <c r="Y14" i="14"/>
  <c r="Y12" i="10"/>
  <c r="Y28" i="21"/>
  <c r="Y4" i="62"/>
  <c r="Y34" i="59"/>
  <c r="Y31" i="21"/>
  <c r="Y23" i="7"/>
  <c r="Y22" i="19"/>
  <c r="Y2" i="15"/>
  <c r="Y70" i="19"/>
  <c r="Y49" i="59"/>
  <c r="Y11" i="23"/>
  <c r="Y21" i="17"/>
  <c r="Y10" i="11"/>
  <c r="Y46" i="15"/>
  <c r="Y26" i="12"/>
  <c r="Y37" i="58"/>
  <c r="Y32" i="15"/>
  <c r="Y14" i="22"/>
  <c r="Y25" i="59"/>
  <c r="Y47" i="16"/>
  <c r="Y13" i="23"/>
  <c r="Y15" i="14"/>
  <c r="Y6" i="62"/>
  <c r="Y3" i="16"/>
  <c r="Y11" i="14"/>
  <c r="Y22" i="13"/>
  <c r="Y25" i="14"/>
  <c r="Y59" i="12"/>
  <c r="Y9" i="7"/>
  <c r="Y12" i="16"/>
  <c r="Y20" i="15"/>
  <c r="Y17" i="7"/>
  <c r="Y15" i="16"/>
  <c r="Y33" i="11"/>
  <c r="Y25" i="10"/>
  <c r="Y17" i="12"/>
  <c r="Y12" i="58"/>
  <c r="Y2" i="28"/>
  <c r="Y40" i="11"/>
  <c r="Y11" i="61"/>
  <c r="Y9" i="6"/>
  <c r="Y18" i="17"/>
  <c r="Y24" i="62"/>
  <c r="Y23" i="11"/>
  <c r="Y15" i="19"/>
  <c r="Y28" i="11"/>
  <c r="Y13" i="20"/>
  <c r="Y2" i="22"/>
  <c r="Y46" i="16"/>
  <c r="Y24" i="20"/>
  <c r="Y55" i="17"/>
  <c r="Y29" i="58"/>
  <c r="Y28" i="17"/>
  <c r="Y58" i="13"/>
  <c r="Y47" i="59"/>
  <c r="Y9" i="21"/>
  <c r="Y13" i="58"/>
  <c r="Y28" i="13"/>
  <c r="Y39" i="19"/>
  <c r="Y19" i="7"/>
  <c r="Y32" i="21"/>
  <c r="Y22" i="60"/>
  <c r="Y55" i="11"/>
  <c r="Y43" i="16"/>
  <c r="Y22" i="16"/>
  <c r="Y19" i="11"/>
  <c r="Y36" i="23"/>
  <c r="Y32" i="12"/>
  <c r="Y10" i="24"/>
  <c r="Y25" i="60"/>
  <c r="Y12" i="14"/>
  <c r="Y52" i="16"/>
  <c r="Y10" i="57"/>
  <c r="Y8" i="11"/>
  <c r="Y2" i="20"/>
  <c r="Y23" i="58"/>
  <c r="Y14" i="7"/>
  <c r="Y17" i="17"/>
  <c r="Y46" i="19"/>
  <c r="Y19" i="6"/>
  <c r="Y4" i="21"/>
  <c r="Y24" i="7"/>
  <c r="Y43" i="13"/>
  <c r="Y56" i="59"/>
  <c r="Y14" i="17"/>
  <c r="Y27" i="12"/>
  <c r="Y37" i="61"/>
  <c r="Y29" i="13"/>
  <c r="Y17" i="20"/>
  <c r="Y8" i="13"/>
  <c r="Y64" i="11"/>
  <c r="Y42" i="14"/>
  <c r="Y11" i="12"/>
  <c r="Y14" i="13"/>
  <c r="Y35" i="58"/>
  <c r="Y24" i="13"/>
  <c r="Y18" i="10"/>
  <c r="Y18" i="62"/>
  <c r="Y17" i="16"/>
  <c r="Y43" i="21"/>
  <c r="Y37" i="17"/>
  <c r="Y68" i="11"/>
  <c r="Y19" i="17"/>
  <c r="Y17" i="62"/>
  <c r="Y48" i="14"/>
  <c r="Y8" i="16"/>
  <c r="Y37" i="14"/>
  <c r="Y34" i="15"/>
  <c r="Y50" i="59"/>
  <c r="Y5" i="23"/>
  <c r="Y20" i="60"/>
  <c r="Y17" i="6"/>
  <c r="Y12" i="59"/>
  <c r="Y75" i="19"/>
  <c r="Y36" i="19"/>
  <c r="Y16" i="24"/>
  <c r="Y2" i="18"/>
  <c r="Y30" i="57"/>
  <c r="Y19" i="22"/>
  <c r="Y5" i="16"/>
  <c r="Y41" i="59"/>
  <c r="Y17" i="21"/>
  <c r="Y33" i="24"/>
  <c r="Y37" i="7"/>
  <c r="Y3" i="8"/>
  <c r="Y26" i="23"/>
  <c r="Y9" i="58"/>
  <c r="Y14" i="62"/>
  <c r="Y54" i="16"/>
  <c r="Y5" i="26"/>
  <c r="Y53" i="13"/>
  <c r="Y11" i="13"/>
  <c r="Y30" i="22"/>
  <c r="Y20" i="14"/>
  <c r="Y46" i="12"/>
  <c r="Y15" i="21"/>
  <c r="Y12" i="60"/>
  <c r="Y25" i="12"/>
  <c r="Y28" i="16"/>
  <c r="Y21" i="7"/>
  <c r="Y9" i="24"/>
  <c r="Y31" i="19"/>
  <c r="Y49" i="19"/>
  <c r="Y42" i="13"/>
  <c r="Y28" i="61"/>
  <c r="Y35" i="21"/>
  <c r="Y3" i="26"/>
  <c r="Y45" i="16"/>
  <c r="Y53" i="17"/>
  <c r="Y19" i="16"/>
  <c r="Y48" i="17"/>
  <c r="Y50" i="19"/>
  <c r="Y19" i="19"/>
  <c r="Y54" i="17"/>
  <c r="Y12" i="62"/>
  <c r="Y44" i="19"/>
  <c r="Y33" i="22"/>
  <c r="Y24" i="10"/>
  <c r="Y8" i="12"/>
  <c r="Y34" i="11"/>
  <c r="Y22" i="62"/>
  <c r="Y30" i="21"/>
  <c r="Y24" i="15"/>
  <c r="Y13" i="22"/>
  <c r="Y26" i="22"/>
  <c r="Y9" i="62"/>
  <c r="Y61" i="12"/>
  <c r="Y23" i="12"/>
  <c r="Y5" i="13"/>
  <c r="Y30" i="17"/>
  <c r="Y51" i="16"/>
  <c r="Y41" i="14"/>
  <c r="Y29" i="21"/>
  <c r="Y9" i="60"/>
  <c r="Y30" i="20"/>
  <c r="Y43" i="12"/>
  <c r="Y17" i="22"/>
  <c r="Y17" i="60"/>
  <c r="Y4" i="12"/>
  <c r="Y9" i="19"/>
  <c r="Y6" i="12"/>
  <c r="Y57" i="11"/>
  <c r="Y17" i="13"/>
  <c r="Y22" i="14"/>
  <c r="Y26" i="20"/>
  <c r="Y4" i="59"/>
  <c r="Y40" i="13"/>
  <c r="Y9" i="57"/>
  <c r="Y54" i="59"/>
  <c r="Y26" i="13"/>
  <c r="Y2" i="27"/>
  <c r="Y35" i="15"/>
  <c r="Y31" i="20"/>
  <c r="Y25" i="17"/>
  <c r="Y33" i="7"/>
  <c r="Y27" i="60"/>
  <c r="Y27" i="21"/>
  <c r="Y14" i="21"/>
  <c r="Y23" i="15"/>
  <c r="Y22" i="23"/>
  <c r="Y24" i="22"/>
  <c r="Y10" i="17"/>
  <c r="Y29" i="22"/>
  <c r="Y11" i="15"/>
  <c r="Y34" i="17"/>
  <c r="Y19" i="20"/>
  <c r="Y26" i="57"/>
  <c r="Y47" i="17"/>
  <c r="Y51" i="17"/>
  <c r="Y41" i="16"/>
  <c r="Y28" i="19"/>
  <c r="Y49" i="14"/>
  <c r="Y36" i="13"/>
  <c r="Y20" i="62"/>
  <c r="Y13" i="14"/>
  <c r="Y29" i="7"/>
  <c r="Y74" i="19"/>
  <c r="Y40" i="21"/>
  <c r="Y19" i="12"/>
  <c r="Y2" i="9"/>
  <c r="Y25" i="23"/>
  <c r="Y40" i="23"/>
  <c r="Y42" i="15"/>
  <c r="Y6" i="11"/>
  <c r="Y48" i="13"/>
  <c r="Y4" i="22"/>
  <c r="Y35" i="13"/>
  <c r="Y17" i="57"/>
  <c r="Y4" i="8"/>
  <c r="Y24" i="24"/>
  <c r="Y13" i="12"/>
  <c r="Y2" i="4"/>
  <c r="Y8" i="62"/>
  <c r="Y2" i="17"/>
  <c r="Y11" i="26"/>
  <c r="Y36" i="20"/>
  <c r="Y20" i="10"/>
  <c r="Y43" i="11"/>
  <c r="Y11" i="62"/>
  <c r="Y14" i="11"/>
  <c r="Y13" i="24"/>
  <c r="Y39" i="15"/>
  <c r="Y3" i="13"/>
  <c r="Y47" i="11"/>
  <c r="Y57" i="19"/>
  <c r="Y11" i="58"/>
  <c r="Y4" i="24"/>
  <c r="Y6" i="58"/>
  <c r="Y43" i="15"/>
  <c r="Y12" i="15"/>
  <c r="Y14" i="12"/>
  <c r="Y40" i="20"/>
  <c r="Y63" i="11"/>
  <c r="Y21" i="6"/>
  <c r="Y32" i="19"/>
  <c r="Y18" i="24"/>
  <c r="Y52" i="12"/>
  <c r="Y3" i="12"/>
  <c r="Y23" i="23"/>
  <c r="Y49" i="12"/>
  <c r="Y4" i="23"/>
  <c r="Y14" i="6"/>
  <c r="Y37" i="13"/>
  <c r="Y27" i="58"/>
  <c r="Y30" i="12"/>
  <c r="Y24" i="61"/>
  <c r="Y2" i="6"/>
  <c r="Y24" i="16"/>
  <c r="Y15" i="7"/>
  <c r="Y25" i="16"/>
  <c r="Y9" i="12"/>
  <c r="Y72" i="19"/>
  <c r="Y41" i="15"/>
  <c r="Y5" i="10"/>
  <c r="Y45" i="15"/>
  <c r="Y22" i="15"/>
  <c r="Y6" i="57"/>
  <c r="Y35" i="14"/>
  <c r="Y36" i="14"/>
  <c r="Y36" i="21"/>
  <c r="Y53" i="11"/>
  <c r="Y15" i="57"/>
  <c r="Y2" i="24"/>
  <c r="Y32" i="7"/>
  <c r="Y10" i="13"/>
  <c r="Y8" i="17"/>
  <c r="Y20" i="61"/>
  <c r="Y50" i="21"/>
  <c r="Y3" i="62"/>
  <c r="Y51" i="14"/>
  <c r="Y5" i="57"/>
  <c r="Y2" i="25"/>
  <c r="Y59" i="13"/>
  <c r="Y20" i="59"/>
  <c r="Y12" i="57"/>
  <c r="Y8" i="60"/>
  <c r="Y31" i="14"/>
  <c r="Y8" i="22"/>
  <c r="Y22" i="12"/>
  <c r="Y16" i="26"/>
  <c r="Y6" i="20"/>
  <c r="Y21" i="16"/>
  <c r="Y53" i="16"/>
  <c r="Y15" i="17"/>
  <c r="Y27" i="17"/>
  <c r="Y33" i="61"/>
  <c r="Y60" i="19"/>
  <c r="Y9" i="22"/>
  <c r="Y8" i="23"/>
  <c r="Y6" i="59"/>
  <c r="Y16" i="13"/>
  <c r="Y6" i="61"/>
  <c r="Y32" i="11"/>
  <c r="Y9" i="11"/>
  <c r="Y45" i="17"/>
  <c r="Y13" i="7"/>
  <c r="Y41" i="20"/>
  <c r="Y2" i="11"/>
  <c r="Y16" i="57"/>
  <c r="Y28" i="20"/>
  <c r="Y21" i="57"/>
  <c r="Y4" i="61"/>
  <c r="Y21" i="11"/>
  <c r="Y28" i="12"/>
  <c r="Y53" i="14"/>
  <c r="Y19" i="57"/>
  <c r="Y31" i="12"/>
  <c r="Y18" i="59"/>
  <c r="Y49" i="21"/>
  <c r="Y21" i="58"/>
  <c r="Y10" i="14"/>
  <c r="Y18" i="60"/>
  <c r="Y22" i="57"/>
  <c r="Y31" i="15"/>
  <c r="Y17" i="19"/>
  <c r="Y20" i="12"/>
  <c r="Y11" i="24"/>
  <c r="Y47" i="21"/>
  <c r="Y5" i="60"/>
  <c r="Y27" i="11"/>
  <c r="Y13" i="17"/>
  <c r="Y25" i="19"/>
  <c r="Y5" i="58"/>
  <c r="Y7" i="23"/>
  <c r="Y26" i="19"/>
  <c r="Y17" i="14"/>
  <c r="Y24" i="11"/>
  <c r="Y6" i="10"/>
  <c r="Y10" i="8"/>
  <c r="Y57" i="12"/>
  <c r="Y41" i="17"/>
  <c r="Y18" i="58"/>
  <c r="Y38" i="17"/>
  <c r="Y32" i="20"/>
  <c r="Y18" i="23"/>
  <c r="Y25" i="22"/>
  <c r="Y16" i="7"/>
  <c r="Y21" i="61"/>
  <c r="Y25" i="11"/>
  <c r="Y21" i="23"/>
  <c r="Y4" i="58"/>
  <c r="Y5" i="19"/>
  <c r="Y13" i="10"/>
  <c r="Y10" i="20"/>
  <c r="Y8" i="6"/>
  <c r="Y6" i="60"/>
  <c r="Y30" i="16"/>
  <c r="Y28" i="57"/>
  <c r="Y7" i="21"/>
  <c r="Y20" i="24"/>
  <c r="Y39" i="61"/>
  <c r="Y48" i="11"/>
  <c r="Y12" i="17"/>
  <c r="Y67" i="19"/>
  <c r="Y21" i="21"/>
  <c r="Y22" i="22"/>
  <c r="Y5" i="17"/>
  <c r="Y31" i="57"/>
  <c r="Y48" i="21"/>
  <c r="Y38" i="11"/>
  <c r="Y18" i="20"/>
  <c r="Y33" i="59"/>
  <c r="Y20" i="57"/>
  <c r="Y20" i="26"/>
  <c r="Y40" i="16"/>
  <c r="Y14" i="10"/>
  <c r="Y8" i="58"/>
  <c r="Y42" i="59"/>
  <c r="Y33" i="13"/>
  <c r="Y50" i="11"/>
  <c r="Y47" i="14"/>
  <c r="Y32" i="16"/>
  <c r="Y29" i="57"/>
  <c r="Y11" i="59"/>
  <c r="Y18" i="6"/>
  <c r="Y34" i="61"/>
  <c r="Y22" i="11"/>
  <c r="Y16" i="8"/>
  <c r="Y5" i="24"/>
  <c r="Y7" i="62"/>
  <c r="Y14" i="20"/>
  <c r="Y2" i="26"/>
  <c r="Y59" i="19"/>
  <c r="Y26" i="10"/>
  <c r="Y28" i="24"/>
  <c r="Y40" i="59"/>
  <c r="Y7" i="11"/>
  <c r="Y15" i="6"/>
  <c r="Y45" i="11"/>
  <c r="Y38" i="15"/>
  <c r="Y9" i="14"/>
  <c r="Y17" i="11"/>
  <c r="Y7" i="24"/>
  <c r="Y25" i="24"/>
  <c r="Y5" i="7"/>
  <c r="Y16" i="60"/>
  <c r="Y56" i="16"/>
  <c r="Y2" i="8"/>
  <c r="Y13" i="21"/>
  <c r="Y61" i="19"/>
  <c r="Y36" i="58"/>
  <c r="Y24" i="26"/>
  <c r="Y35" i="16"/>
  <c r="Y10" i="23"/>
  <c r="Y45" i="14"/>
  <c r="Y29" i="11"/>
  <c r="Y19" i="21"/>
  <c r="Y23" i="24"/>
  <c r="Y28" i="14"/>
  <c r="Y51" i="13"/>
  <c r="Y14" i="59"/>
  <c r="Y27" i="24"/>
  <c r="Y12" i="12"/>
  <c r="Y22" i="21"/>
  <c r="Y58" i="19"/>
  <c r="Y8" i="21"/>
  <c r="Y3" i="7"/>
  <c r="Y27" i="57"/>
  <c r="Y16" i="16"/>
  <c r="Y18" i="13"/>
  <c r="Y64" i="19"/>
  <c r="Y49" i="16"/>
  <c r="Y7" i="19"/>
  <c r="Y59" i="11"/>
  <c r="Y5" i="22"/>
  <c r="Y9" i="16"/>
  <c r="Y15" i="15"/>
  <c r="Y7" i="20"/>
  <c r="Y35" i="11"/>
  <c r="Y50" i="14"/>
  <c r="Y4" i="16"/>
  <c r="Y12" i="20"/>
  <c r="Y12" i="22"/>
  <c r="Y42" i="19"/>
  <c r="Y29" i="24"/>
  <c r="Y32" i="59"/>
  <c r="Y4" i="4"/>
  <c r="Y12" i="24"/>
  <c r="Y48" i="59"/>
  <c r="Y26" i="16"/>
  <c r="Y44" i="14"/>
  <c r="Y58" i="59"/>
  <c r="Y4" i="13"/>
  <c r="Y44" i="13"/>
  <c r="Y24" i="14"/>
  <c r="Y6" i="14"/>
  <c r="Y10" i="7"/>
  <c r="Y33" i="20"/>
  <c r="Y23" i="62"/>
  <c r="Y43" i="17"/>
  <c r="Y17" i="24"/>
  <c r="Y50" i="13"/>
  <c r="Y3" i="6"/>
  <c r="Y7" i="58"/>
  <c r="Y19" i="24"/>
  <c r="Y19" i="15"/>
  <c r="Y74" i="11"/>
  <c r="Y46" i="21"/>
  <c r="Y2" i="13"/>
  <c r="Y16" i="11"/>
  <c r="Y71" i="19"/>
  <c r="Y33" i="21"/>
  <c r="Y42" i="11"/>
  <c r="Y37" i="23"/>
  <c r="Y10" i="12"/>
  <c r="Y16" i="6"/>
  <c r="Y16" i="58"/>
  <c r="Y25" i="13"/>
  <c r="Y48" i="19"/>
  <c r="Y23" i="21"/>
  <c r="AB24" i="60" l="1"/>
  <c r="AB2" i="60"/>
  <c r="AB27" i="60"/>
  <c r="AB20" i="60"/>
  <c r="AB9" i="60"/>
  <c r="AB26" i="60"/>
  <c r="AB15" i="60"/>
  <c r="AB7" i="60"/>
  <c r="AB3" i="60"/>
  <c r="AB21" i="60"/>
  <c r="AB6" i="60"/>
  <c r="AB10" i="60"/>
  <c r="AB23" i="60"/>
  <c r="AB11" i="60"/>
  <c r="AB8" i="60"/>
  <c r="AB14" i="60"/>
  <c r="AB5" i="60"/>
  <c r="AB19" i="60"/>
  <c r="AB16" i="60"/>
  <c r="AB4" i="60"/>
  <c r="AB25" i="60"/>
  <c r="AB12" i="60"/>
  <c r="AB13" i="60"/>
  <c r="AB17" i="60"/>
  <c r="AB18" i="60"/>
  <c r="AB22" i="60"/>
  <c r="AC5" i="60"/>
  <c r="AC2" i="60"/>
  <c r="AC20" i="60"/>
  <c r="AC21" i="60"/>
  <c r="AC17" i="60"/>
  <c r="AC24" i="60"/>
  <c r="AC3" i="60"/>
  <c r="AC4" i="60"/>
  <c r="AC9" i="60"/>
  <c r="AC22" i="60"/>
  <c r="AC7" i="60"/>
  <c r="AC6" i="60"/>
  <c r="AC23" i="60"/>
  <c r="AC14" i="60"/>
  <c r="AC10" i="60"/>
  <c r="AC19" i="60"/>
  <c r="AC16" i="60"/>
  <c r="AC15" i="60"/>
  <c r="AC25" i="60"/>
  <c r="AC11" i="60"/>
  <c r="AC26" i="60"/>
  <c r="AC13" i="60"/>
  <c r="AC12" i="60"/>
  <c r="AC27" i="60"/>
  <c r="AC18" i="60"/>
  <c r="AC8" i="60"/>
</calcChain>
</file>

<file path=xl/sharedStrings.xml><?xml version="1.0" encoding="utf-8"?>
<sst xmlns="http://schemas.openxmlformats.org/spreadsheetml/2006/main" count="7469" uniqueCount="2642">
  <si>
    <t>Next Page</t>
  </si>
  <si>
    <t>OMB Control Number: 0694-0119</t>
  </si>
  <si>
    <t>DEFENSE INDUSTRIAL BASE ASSESSMENT:
Critical Facilities Survey</t>
  </si>
  <si>
    <t>SCOPE OF ASSESSMENT</t>
  </si>
  <si>
    <t xml:space="preserve">The U.S. Department of Commerce, Bureau of Industry and Security (BIS), Office of Technology Evaluation (OTE), in coordination with the U.S. Department of Defense (DOD), Defense Security Service (DSS) is conducting a survey and assessment of organizations responsible for the research, design, engineering, development, manufacture, test, and integration of defense and high-technology products, components, and related services.  The resulting data will provide a baseline understanding of the structure and interdependencies of organizations that participate in DOD acquisition programs and their associated supply chains.  This survey will cover all operations at respondents' locations, including but not limited to the DSS-cleared areas.  This effort will also assist DSS in its mission to provide security oversight and education on behalf of the DOD and other U.S. Government departments and agencies.  </t>
  </si>
  <si>
    <t>RESPONSE TO THIS SURVEY IS REQUIRED BY LAW</t>
  </si>
  <si>
    <t>A response to this survey is required by law (50 U.S.C. App. Sec. 2155).  Failure to respond can result in a maximum fine of $10,000, imprisonment of up to one year, or both.  Information furnished herewith is deemed confidential and will not be published or disclosed except in accordance with Section 705 of the Defense Production Act of 1950, as amended (50 U.S.C App. Sec. 2155).  Section 705 prohibits the publication or disclosure of this information unless the President determines that its withholding is contrary to the national defense.  Information will not be shared with any non-government entity, other than in aggregate form.  The information will be protected pursuant to the appropriate exemptions from disclosure under the Freedom of Information Act (FOIA), should it be the subject of a FOIA request.
Notwithstanding any other provision of law, no person is required to respond to nor shall a person be subject to a penalty for failure to comply with a collection of information subject to the requirements of the Paperwork Reduction Act unless that collection of information displays a currently valid OMB Control Number.</t>
  </si>
  <si>
    <t>BURDEN ESTIMATE AND REQUEST FOR COMMENT</t>
  </si>
  <si>
    <t>Public reporting burden for this collection of information is estimated to average 10 hours per response, including the time for reviewing instructions, searching existing data sources, gathering and maintaining the data needed, and completing and reviewing the collection of information.  Send comments regarding this burden estimate or any other aspect of this collection of information to BIS Information Collection Officer, Room 6883, Bureau of Industry and Security, U.S. Department of Commerce, Washington, D.C. 20230, and to the Office of Management and Budget, Paperwork Reduction Project (OMB Control No. 0694-0119), Washington, D.C. 20503.</t>
  </si>
  <si>
    <t>BUSINESS CONFIDENTIAL - Per Section 705(d) of the Defense Production Act</t>
  </si>
  <si>
    <t>Previous Page</t>
  </si>
  <si>
    <t>Table of Contents</t>
  </si>
  <si>
    <t>TABLE OF CONTENTS</t>
  </si>
  <si>
    <t>I</t>
  </si>
  <si>
    <t>General Instructions</t>
  </si>
  <si>
    <t>II</t>
  </si>
  <si>
    <t>Definitions</t>
  </si>
  <si>
    <t>III</t>
  </si>
  <si>
    <t>Reporting Level / Multiple Facility Instructions</t>
  </si>
  <si>
    <t>Location and Organization Information</t>
  </si>
  <si>
    <t>Mergers, Acquisitions, Divestitures, and Joint Ventures</t>
  </si>
  <si>
    <t>Products and Services</t>
  </si>
  <si>
    <t>U.S. Government Support</t>
  </si>
  <si>
    <t>Critical Suppliers</t>
  </si>
  <si>
    <t>Employment</t>
  </si>
  <si>
    <t>Sales</t>
  </si>
  <si>
    <t>Customers</t>
  </si>
  <si>
    <t>Security Procedures</t>
  </si>
  <si>
    <t>Classified Contract Information</t>
  </si>
  <si>
    <t>Research and Development</t>
  </si>
  <si>
    <t>Financial Information</t>
  </si>
  <si>
    <t>Organizational Challenges and Outreach Information</t>
  </si>
  <si>
    <t>Certification</t>
  </si>
  <si>
    <t>Section I: GENERAL INSTRUCTIONS</t>
  </si>
  <si>
    <t>A.</t>
  </si>
  <si>
    <t>B.</t>
  </si>
  <si>
    <t xml:space="preserve">This survey has been distributed on a CAGE/facility basis, but should be completed at the location level.  A location includes but is not limited to the DSS cleared area.  A major goal of this assessment is to benchmark the operations, practices, and interdependencies of locations that contain DSS cleared facilities.  For the purpose of this survey, a location is a single contiguous site.  Locations may--and often will--contain multiple facilities.  </t>
  </si>
  <si>
    <t>C.</t>
  </si>
  <si>
    <t>D.</t>
  </si>
  <si>
    <t>Do not disclose any classified information in this survey form.</t>
  </si>
  <si>
    <t>E.</t>
  </si>
  <si>
    <t>Estimates are often acceptable (and in some sections encouraged), but in sections that do not explicitly allow estimates you must contact BIS survey support staff before including estimates.</t>
  </si>
  <si>
    <t>F.</t>
  </si>
  <si>
    <t>G.</t>
  </si>
  <si>
    <t xml:space="preserve">After completing, reviewing, and certifying the Excel survey, submit the survey via our Census Bureau web portal: </t>
  </si>
  <si>
    <t>https://respond.census.gov/criticalfacility</t>
  </si>
  <si>
    <t xml:space="preserve">Do not submit the survey via email. </t>
  </si>
  <si>
    <t>H.</t>
  </si>
  <si>
    <t>For questions related to the overall scope of this Defense Industrial Base assessment, contact: 
Brad Botwin, Director, Industrial Studies
Office of Technology Evaluation, Room 1093
U.S. Department of Commerce
1401 Constitution Avenue, NW
Washington, DC 20230
To contact Mr. Botwin, please call (202) 482-7808.
DO NOT submit completed surveys to Mr. Botwin's postal or personal e-mail address; all surveys must be submitted electronically via our Census Bureau web portal:</t>
  </si>
  <si>
    <t>Section II: Definitions</t>
  </si>
  <si>
    <t>Term</t>
  </si>
  <si>
    <t>Definition</t>
  </si>
  <si>
    <t>Applied Research</t>
  </si>
  <si>
    <t>Systematic study to gain knowledge or understanding necessary to determine the means by which a recognized and specific need may be met.  This activity includes work leading to the production of useful materials, devices, and systems or methods, including design, development, and improvement of prototypes and new processes.</t>
  </si>
  <si>
    <t>Authorizing Official</t>
  </si>
  <si>
    <t>Executive officer of the organization or business unit or other individual who has the authority to execute this survey on behalf of the organization.</t>
  </si>
  <si>
    <t>Basic Research</t>
  </si>
  <si>
    <t>Systematic, scientific study directed toward greater knowledge or understanding of the fundamental aspects of phenomena and of observable facts.</t>
  </si>
  <si>
    <t>Classified Contract</t>
  </si>
  <si>
    <t>Any contract that requires access to classified U.S. Government information.  Not to be confused with a contract whose existence may be classified, i.e. a Special Access Program.</t>
  </si>
  <si>
    <t>Cleared Facility/Cleared CAGE</t>
  </si>
  <si>
    <t>A facility possessing a facility clearance (FCL) under the National Industrial Security Program (NISP).</t>
  </si>
  <si>
    <t>Commercial and Government Entity (CAGE) Code</t>
  </si>
  <si>
    <t>Commercially Sensitive Information (CSI)</t>
  </si>
  <si>
    <t>Privileged or proprietary information which, if compromised through alteration, corruption, loss, misuse, or unauthorized disclosure, could cause serious harm to the information's owners.</t>
  </si>
  <si>
    <t>Customer</t>
  </si>
  <si>
    <t>An entity to which an organization directly delivers the product or service that the facility produces. A customer may be another company or another facility owned by the same parent organization.  The customer may be the end user for the item but often will be an intermediate link in the supply chain, adding additional value before transferring the item to yet another customer.</t>
  </si>
  <si>
    <t>Cyber Security</t>
  </si>
  <si>
    <t>The body of technologies, processes, and practices designed to protect networks, computers, programs, and data from attack, damage, or unauthorized access.</t>
  </si>
  <si>
    <t>Data Universal Numbering System (DUNS)</t>
  </si>
  <si>
    <t>Facility</t>
  </si>
  <si>
    <t>For the purpose of this survey, a facility is an area within an organization defined by a single CAGE code. An organization's physical location may contain multiple facilities.</t>
  </si>
  <si>
    <t>Full Time Equivalent (FTE) Employees</t>
  </si>
  <si>
    <t>Employees who work for 40 hours in a normal work week.  Convert part-time employees into "full time equivalents" by taking their work hours as a fraction of 40 hours.</t>
  </si>
  <si>
    <t>Location</t>
  </si>
  <si>
    <t xml:space="preserve">For the purpose of this survey, a location is a single contiguous site.  Locations may--and often will--contain multiple facilities.  Additionally, all off-site activities associated with a location should be reported as part of that location.  For instance, employees who work at a client site should be considered as part of their employing location. </t>
  </si>
  <si>
    <t>North American Industry Classification System (NAICS) Code</t>
  </si>
  <si>
    <t>Product/Process Development</t>
  </si>
  <si>
    <t>Conceptualization and development of a product prior to the production of the product for customers.</t>
  </si>
  <si>
    <t xml:space="preserve">Service </t>
  </si>
  <si>
    <t>An intangible product (contrasted to a good, which is a tangible product).  Services typically cannot be stored or transported, are instantly perishable, and come into existence at the time they are bought and consumed.</t>
  </si>
  <si>
    <t>Single Source</t>
  </si>
  <si>
    <t>An organization that is designated as the only accepted source for the supply of parts, components, materials, or services, even though other sources with equivalent technical know-how and production capability may exist.</t>
  </si>
  <si>
    <t>Sole Source</t>
  </si>
  <si>
    <t>An organization that is the only source for the supply of parts, components, materials, or services. No alternative U.S. or non-U.S. based suppliers exist other than the current supplier.</t>
  </si>
  <si>
    <t>Supplier</t>
  </si>
  <si>
    <t>An entity from which your organization obtains inputs.  A supplier may be another firm with which you have a contractual relationship, or it may be another facility owned by the same parent organization. The inputs may be goods or services.</t>
  </si>
  <si>
    <t>United States</t>
  </si>
  <si>
    <t>The "United States" or "U.S." includes the 50 states, Puerto Rico, the District of Columbia, the island of Guam, the Trust Territories, and the U.S. Virgin Islands.</t>
  </si>
  <si>
    <t>Section III: Reporting Level</t>
  </si>
  <si>
    <t>Does your organization have more than one DSS-cleared facility (CAGE)?
If yes, contact survey support staff immediately to ensure consistent reporting.</t>
  </si>
  <si>
    <t>Identify all CAGE codes covered by this location's response:</t>
  </si>
  <si>
    <t>DSS Cleared CAGE(s) at location</t>
  </si>
  <si>
    <t>All Other CAGEs at location, if applicable</t>
  </si>
  <si>
    <t>Comments:</t>
  </si>
  <si>
    <t>Section 1a: Location Information</t>
  </si>
  <si>
    <t>Provide the following information for your location (see definitions).</t>
  </si>
  <si>
    <t>Location Name</t>
  </si>
  <si>
    <t>Organization Name</t>
  </si>
  <si>
    <t>Street Address</t>
  </si>
  <si>
    <t>City</t>
  </si>
  <si>
    <t>State</t>
  </si>
  <si>
    <t>Zip Code</t>
  </si>
  <si>
    <t>Website</t>
  </si>
  <si>
    <t>Phone Number</t>
  </si>
  <si>
    <t>Parent Organization 1</t>
  </si>
  <si>
    <t>Parent Organization 2</t>
  </si>
  <si>
    <t>State/Province</t>
  </si>
  <si>
    <t>Country</t>
  </si>
  <si>
    <t>Postal Code/Zip Code</t>
  </si>
  <si>
    <t>Primary CAGE Code</t>
  </si>
  <si>
    <t>Is your organization publicly traded or privately held?</t>
  </si>
  <si>
    <t>If your organization is publicly traded, identify its stock ticker symbol.</t>
  </si>
  <si>
    <t>Are any of the areas in your location that are authorized to store classified information or to perform on a classified contract 
shared and/or operated by another organization?  If yes, provide the information below.</t>
  </si>
  <si>
    <t>Other Organization Name</t>
  </si>
  <si>
    <t>Purpose of Shared Area</t>
  </si>
  <si>
    <t>Point of Contact regarding this survey:</t>
  </si>
  <si>
    <t>Name</t>
  </si>
  <si>
    <t>Title</t>
  </si>
  <si>
    <t>E-mail Address</t>
  </si>
  <si>
    <t>Section 1b: Location Information (Cont.)</t>
  </si>
  <si>
    <t>Select the option that most closely describes your location's primary business, and indicate any "Additional Business Lines" that are applicable below.</t>
  </si>
  <si>
    <t>Academic institution</t>
  </si>
  <si>
    <t>Distribution/brokerage/reseller/retail</t>
  </si>
  <si>
    <t>Holding company</t>
  </si>
  <si>
    <t>Inspection and quality control</t>
  </si>
  <si>
    <t>Information technology (software, hardware, installation)</t>
  </si>
  <si>
    <t>Integration (product, systems integration)</t>
  </si>
  <si>
    <t>Maintenance/aftermarket/repair/refurbishing services</t>
  </si>
  <si>
    <t>Manufacturing (including assembly)</t>
  </si>
  <si>
    <t>Manufacturing systems development and management</t>
  </si>
  <si>
    <t>Material finishing (machining, coating, plating, heat treating, etc.)</t>
  </si>
  <si>
    <t>Material preparation (casting, forming, molding, forging, etc.)</t>
  </si>
  <si>
    <t>Product and design engineering (tooling, new processes, etc.)</t>
  </si>
  <si>
    <t>Professional services (legal, accounting, consulting, etc.)</t>
  </si>
  <si>
    <t>Raw materials provider</t>
  </si>
  <si>
    <t>Research and development</t>
  </si>
  <si>
    <t>Testing/evaluation/validation</t>
  </si>
  <si>
    <t>Other</t>
  </si>
  <si>
    <t>(specify here)</t>
  </si>
  <si>
    <t>Data Universal Numbering System (DUNS) Code(s)</t>
  </si>
  <si>
    <t>NAICS (6-digit) Code(s)*</t>
  </si>
  <si>
    <t>Find DUNS numbers at:</t>
  </si>
  <si>
    <t>Find NAICS codes at:</t>
  </si>
  <si>
    <t>http://fedgov.dnb.com/webform</t>
  </si>
  <si>
    <t>http://www.census.gov/epcd/www/naics.html</t>
  </si>
  <si>
    <t>A small business enterprise (as defined by the Small Business Administration)</t>
  </si>
  <si>
    <t>8(a) Firm (as defined by the Small Business Administration)</t>
  </si>
  <si>
    <t>A historically underutilized business zone (HUBZone)</t>
  </si>
  <si>
    <t>A minority-owned business</t>
  </si>
  <si>
    <t>A woman-owned business</t>
  </si>
  <si>
    <t>A veteran-owned or service-disabled veteran owned business</t>
  </si>
  <si>
    <t>Section 2: Mergers, Acquisitions, Divestitures, and Joint Ventures</t>
  </si>
  <si>
    <t>Mergers, Acquisitions, Divestitures</t>
  </si>
  <si>
    <t>Identify your organization's ten most recent mergers, acquisitions, and divestitures, if applicable.</t>
  </si>
  <si>
    <t>Type of Activity</t>
  </si>
  <si>
    <t>Year</t>
  </si>
  <si>
    <t>Primary Objective</t>
  </si>
  <si>
    <t>Explain</t>
  </si>
  <si>
    <t>1.</t>
  </si>
  <si>
    <t>2.</t>
  </si>
  <si>
    <t>3.</t>
  </si>
  <si>
    <t>4.</t>
  </si>
  <si>
    <t>5.</t>
  </si>
  <si>
    <t>6.</t>
  </si>
  <si>
    <t>7.</t>
  </si>
  <si>
    <t>8.</t>
  </si>
  <si>
    <t>9.</t>
  </si>
  <si>
    <t>10.</t>
  </si>
  <si>
    <t>Joint Ventures</t>
  </si>
  <si>
    <t xml:space="preserve">How many joint ventures does your organization currently participate in? </t>
  </si>
  <si>
    <t>Identify your organization's current joint venture relationships, including public/private R&amp;D partnerships, if applicable.  Be sure to provide a description of the joint venture's purpose (e.g. patent licensing, co-production, product integration, after-market support, etc.):</t>
  </si>
  <si>
    <t>Organization/Entity Name</t>
  </si>
  <si>
    <t>Year Initiated</t>
  </si>
  <si>
    <t>Primary Purpose of Relationship</t>
  </si>
  <si>
    <t>11.</t>
  </si>
  <si>
    <t>12.</t>
  </si>
  <si>
    <t>13.</t>
  </si>
  <si>
    <t>14.</t>
  </si>
  <si>
    <t>15.</t>
  </si>
  <si>
    <t>Section 3: Products and Services</t>
  </si>
  <si>
    <t xml:space="preserve">In Section 3 you will be asked to identify the products and services your location manufactures, distributes, researches, and/or provides.  For the purpose of this survey, products and services have been divided into 25 general categories, as detailed below.  
Identify each general category in which your location has capabilities.  In the next five pages you will select the individual type of products or services within these categories in which your location participates. 
The list below contains links that can move you to a particular product and/or service segment.  After completing this page you may skip to the sections with the products/services that pertain to your location, but be sure to review all segments to ensure you do not omit any required information. </t>
  </si>
  <si>
    <t>Part</t>
  </si>
  <si>
    <t>Product and Service Category</t>
  </si>
  <si>
    <t>Participation</t>
  </si>
  <si>
    <t>A</t>
  </si>
  <si>
    <t>Raw Materials (Ores, Alloys, Chemicals, etc.)</t>
  </si>
  <si>
    <t>B</t>
  </si>
  <si>
    <t>Electronics (Circuits, Processors, Diodes, etc.)</t>
  </si>
  <si>
    <t>C</t>
  </si>
  <si>
    <t>Manufacturing Equipment and Processes (Machinery, Lathes, etc.)</t>
  </si>
  <si>
    <t>D</t>
  </si>
  <si>
    <t>Lasers</t>
  </si>
  <si>
    <t>E</t>
  </si>
  <si>
    <t>Directed Energy</t>
  </si>
  <si>
    <t>F</t>
  </si>
  <si>
    <t>Optics (Optics, Coatings, Lenses, etc.)</t>
  </si>
  <si>
    <t>G</t>
  </si>
  <si>
    <t>Acoustic Sensors (Sonar, other acoustic sensors, etc.)</t>
  </si>
  <si>
    <t>H</t>
  </si>
  <si>
    <t>Positioning, Navigation, and Timing (Gyroscopes, Accelerometers, GPS, etc.)</t>
  </si>
  <si>
    <t>Radars</t>
  </si>
  <si>
    <t>J</t>
  </si>
  <si>
    <t>Signature Control (Materials, Chemicals, and Processes for Signature Control)</t>
  </si>
  <si>
    <t>K</t>
  </si>
  <si>
    <t>Aeronautic Systems (Aircraft, Airframes, Structural Components, etc.)</t>
  </si>
  <si>
    <t>L</t>
  </si>
  <si>
    <t>Space Systems (Launch Vehicles, Satellites, Rocket Motors, Survivability Systems, etc.)</t>
  </si>
  <si>
    <t>M</t>
  </si>
  <si>
    <t>Marine Systems (Ships, Landing Vessels, Submarines, etc.)</t>
  </si>
  <si>
    <t>N</t>
  </si>
  <si>
    <t>Ground Vehicle Systems (Vehicles, Tanks, Unmanned Ground Systems, etc.)</t>
  </si>
  <si>
    <t>O</t>
  </si>
  <si>
    <t>Armaments, Explosives, and Survivability (Munitions, Armor, Missiles, Launchers, etc.)</t>
  </si>
  <si>
    <t>P</t>
  </si>
  <si>
    <t>Energy Systems &amp; Energetics (Engines, Catapults, Batteries, Propellants, etc.)</t>
  </si>
  <si>
    <t>Q</t>
  </si>
  <si>
    <t>Nuclear (Reactors, Design, Protection, Detection, Storage, etc.)</t>
  </si>
  <si>
    <t>R</t>
  </si>
  <si>
    <t>Biological (Biological research, Biological Agent Detection/Destruction/Readiness, etc.)</t>
  </si>
  <si>
    <t>S</t>
  </si>
  <si>
    <t>Chemical (Chemical research, Chemical Agent Detection/Destruction/Readiness, etc.)</t>
  </si>
  <si>
    <t>T</t>
  </si>
  <si>
    <t>Emerging Technology (Nanotechnology, Synthetic Biology, Quantum Systems, Cognitive Neuroscience, etc.)</t>
  </si>
  <si>
    <t>U</t>
  </si>
  <si>
    <t>Agricultural (Agricultural Machinery and Technology)</t>
  </si>
  <si>
    <t>V</t>
  </si>
  <si>
    <t>Medical (MRI machinery, X-Radiation Machinery, Disease Research, Medicinal Distribution Technology, etc.)</t>
  </si>
  <si>
    <t>W</t>
  </si>
  <si>
    <t>Command, Control, Communication, and Computer (C4)</t>
  </si>
  <si>
    <t>X</t>
  </si>
  <si>
    <t>Software</t>
  </si>
  <si>
    <t>Y</t>
  </si>
  <si>
    <t>Services and Other Products (Services and products not included above)</t>
  </si>
  <si>
    <t>Section 3b: Product and Service List</t>
  </si>
  <si>
    <t>For each area in which your location provides a product or service (including R&amp;D), indicate the type of participation, whether your location performs R&amp;D, and provide a description of the products or services.  Then, identify the expected end usage of your product/service, and whether the product/service is subject to U.S. export control regulations.  Finally, state whether the product/service has supported a classified contract within the past three years.  While many specific product/service areas are listed, not every possible product and service has been included.  If the product or service your location provides is not listed, use the "other" listing within the relevant category.</t>
  </si>
  <si>
    <t>A: Raw Materials</t>
  </si>
  <si>
    <t>Participation Type</t>
  </si>
  <si>
    <t>Conduct R&amp;D?</t>
  </si>
  <si>
    <t>Product/Service Description</t>
  </si>
  <si>
    <t>Primary 
End Use</t>
  </si>
  <si>
    <t>Export Controlled?</t>
  </si>
  <si>
    <t>Associated with a Classified Program (DD-254 Contract)?</t>
  </si>
  <si>
    <t>A1 - Ores</t>
  </si>
  <si>
    <t>A2 - Rare earth minerals</t>
  </si>
  <si>
    <t>A3 - Alloys</t>
  </si>
  <si>
    <t>A4 - Chemicals</t>
  </si>
  <si>
    <t>A5 - Fiber-based materials</t>
  </si>
  <si>
    <t>A6 - Other raw materials</t>
  </si>
  <si>
    <t>B: Electronics</t>
  </si>
  <si>
    <t>B1 - Integrated circuits</t>
  </si>
  <si>
    <t>B2 - Application specific integrated circuits (ASICs)</t>
  </si>
  <si>
    <t>B3 - Radiation hardened integrated circuits</t>
  </si>
  <si>
    <t>B4 - Field programmable gate arrays (FPGAs)</t>
  </si>
  <si>
    <t>B5 - Programmable memory</t>
  </si>
  <si>
    <t>B6 - Optical filters</t>
  </si>
  <si>
    <t>B7 - Micro-sensors</t>
  </si>
  <si>
    <t>B8 - Vacuum tubes</t>
  </si>
  <si>
    <t>B9 - Capacitors</t>
  </si>
  <si>
    <t>B10 - Microprocessors</t>
  </si>
  <si>
    <t>B11 - Microcontrollers</t>
  </si>
  <si>
    <t>B12 - Digital signal processors</t>
  </si>
  <si>
    <t>B13 - Diodes</t>
  </si>
  <si>
    <t>B14 - Wafers (any molecular composition)</t>
  </si>
  <si>
    <t>B15 - Circuit boards</t>
  </si>
  <si>
    <t>B16 - Flexible circuit boards</t>
  </si>
  <si>
    <t>B17 - Other electronic products</t>
  </si>
  <si>
    <t>C: Manufacturing Equipment and Processes</t>
  </si>
  <si>
    <t>C1 - Additive manufacturing (3D printing)</t>
  </si>
  <si>
    <t>C2 - Computer Numerical Control (CNC) machines</t>
  </si>
  <si>
    <t>C3 - Lathes, grinding machines, planers, shapers</t>
  </si>
  <si>
    <t>C4 - Die press lines</t>
  </si>
  <si>
    <t>C5 - Robot work cells</t>
  </si>
  <si>
    <t>C6 - Bearings</t>
  </si>
  <si>
    <t>C7 - Transmission equipment (gears, pulleys, sprockets, belts, torque converters, etc.)</t>
  </si>
  <si>
    <t>C8 - Welding, soldering, and brazing equipment</t>
  </si>
  <si>
    <t>C9 - Other manufacturing equipment</t>
  </si>
  <si>
    <t>Section 3c: Product and Service List</t>
  </si>
  <si>
    <t>D: Lasers</t>
  </si>
  <si>
    <t>D1 - Gas lasers</t>
  </si>
  <si>
    <t>D2 - Solid state lasers</t>
  </si>
  <si>
    <t>D3 - Chemical lasers</t>
  </si>
  <si>
    <t>D4 - Excimer lasers</t>
  </si>
  <si>
    <t>D5 - Fiber lasers</t>
  </si>
  <si>
    <t>D6 - Photonic crystal lasers</t>
  </si>
  <si>
    <t>D7 - Semiconductor lasers</t>
  </si>
  <si>
    <t>D8 - Dye lasers</t>
  </si>
  <si>
    <t>D9 - Free electron lasers</t>
  </si>
  <si>
    <t>D10 - Bio lasers</t>
  </si>
  <si>
    <t>D11 - Other laser products</t>
  </si>
  <si>
    <t>E: Directed Energy</t>
  </si>
  <si>
    <t>E1 - Directed electromagnetic radiation (not lasers)</t>
  </si>
  <si>
    <t>E2 - Directed particles with mass</t>
  </si>
  <si>
    <t>E3 - Directed sound</t>
  </si>
  <si>
    <t>E4 - Other directed energy products</t>
  </si>
  <si>
    <t>F: Optics</t>
  </si>
  <si>
    <t>F1 - Optics</t>
  </si>
  <si>
    <t>F2 - Fiber optics</t>
  </si>
  <si>
    <t>F3 - Polarization</t>
  </si>
  <si>
    <t>F4 - Reflective coatings</t>
  </si>
  <si>
    <t>F5 - Refractive coatings</t>
  </si>
  <si>
    <t>F6 - Lenses</t>
  </si>
  <si>
    <t>F7 - Other optics products</t>
  </si>
  <si>
    <t>G: Acoustic Sensors</t>
  </si>
  <si>
    <t>G1 - Active sonar</t>
  </si>
  <si>
    <t>G2 - Passive sonar</t>
  </si>
  <si>
    <t>G3 - Sonobouys</t>
  </si>
  <si>
    <t>G4 - Commercial off-the-shelf sonar equipment</t>
  </si>
  <si>
    <t>G5 - Other acoustic sensor products</t>
  </si>
  <si>
    <t>H: Positioning, Navigation, and Timing</t>
  </si>
  <si>
    <t>H1 - Inertial measuring units</t>
  </si>
  <si>
    <t>H2 - Gyroscopes</t>
  </si>
  <si>
    <t>H3 - Global Positioning Systems</t>
  </si>
  <si>
    <t>H4 - Atomic clocks</t>
  </si>
  <si>
    <t>H5 - Accelerometers</t>
  </si>
  <si>
    <t>H6 - Other positioning, navigation, or timing products</t>
  </si>
  <si>
    <t>I: Radars</t>
  </si>
  <si>
    <t>I1 - Mechanically steered radars</t>
  </si>
  <si>
    <t>I2 - Electronically steered radars</t>
  </si>
  <si>
    <t>I3 - Phase adaptive radars</t>
  </si>
  <si>
    <t>I4 - Pulse radars</t>
  </si>
  <si>
    <t>I5 - Continuous wave radars</t>
  </si>
  <si>
    <t>I6 - Other radar products</t>
  </si>
  <si>
    <t>J: Signature Control</t>
  </si>
  <si>
    <t>J1 - Compounds or materials engineered to reduce or eliminate a signature</t>
  </si>
  <si>
    <t>J2 - Chemical compositions of signature control compounds</t>
  </si>
  <si>
    <t>J3 - Processes used to apply signature control compounds</t>
  </si>
  <si>
    <t>J4 - Other signature control products</t>
  </si>
  <si>
    <t>Section 3d: Product and Service List</t>
  </si>
  <si>
    <t>K: Aeronautic Systems</t>
  </si>
  <si>
    <t>K1 - Fixed wing combat aircraft</t>
  </si>
  <si>
    <t>K2 - Other fixed wing aircraft, including cargo and transport</t>
  </si>
  <si>
    <t>K3 - Rotary wing aircraft (including helicopters)</t>
  </si>
  <si>
    <t>K4 - Unmanned aerial vehicles and drones</t>
  </si>
  <si>
    <t>K5 - Airframes and structural components (including rotor blades, landing gear, hydraulics, etc.)</t>
  </si>
  <si>
    <t>K6 - Other aeronautic system products</t>
  </si>
  <si>
    <t>L: Space Systems</t>
  </si>
  <si>
    <t>L1 - Space launch vehicles</t>
  </si>
  <si>
    <t>L2 - Satellites and satellite buses</t>
  </si>
  <si>
    <t>L3 - Space survivability systems and equipment</t>
  </si>
  <si>
    <t>L4 - Solid rocket motors and related equipment</t>
  </si>
  <si>
    <t>L5 - Liquid rocket motors and related equipment</t>
  </si>
  <si>
    <t>L6 - Other space system products</t>
  </si>
  <si>
    <t>M: Marine Systems</t>
  </si>
  <si>
    <t>M1 - Combat ships and landing vessels</t>
  </si>
  <si>
    <t>M2 - Transport vessels</t>
  </si>
  <si>
    <t>M3 - Cargo and tanker vessels</t>
  </si>
  <si>
    <t>M4 - Submarines</t>
  </si>
  <si>
    <t>M5 - Other marine system products</t>
  </si>
  <si>
    <t>N: Ground Vehicle Systems</t>
  </si>
  <si>
    <t>N1 - Light armored vehicles &amp; designs</t>
  </si>
  <si>
    <t>N2 - Medium tactical vehicles &amp; designs</t>
  </si>
  <si>
    <t>N3 - M1 Abrams variations of heavy tanks &amp; designs</t>
  </si>
  <si>
    <t>N4 - Transport vehicles &amp; designs</t>
  </si>
  <si>
    <t>N5 - Wheeled or tracked vehicles not specified above</t>
  </si>
  <si>
    <t>N6 - Unmanned ground systems</t>
  </si>
  <si>
    <t>N7 - Other ground system products</t>
  </si>
  <si>
    <t>O: Armaments, Explosives, and Survivability</t>
  </si>
  <si>
    <t>O1 - Conventional small arms (5.56mm to .50 cal)</t>
  </si>
  <si>
    <t>O2 - Automatic and semi-automatic weapons</t>
  </si>
  <si>
    <t>O3 - Mortar rounds</t>
  </si>
  <si>
    <t>O4 - Artillery rounds</t>
  </si>
  <si>
    <t>O5 - Rockets (endo and exoatmospheric)</t>
  </si>
  <si>
    <t>O6 - Missiles</t>
  </si>
  <si>
    <t>O7 - Hypervelocity weapons</t>
  </si>
  <si>
    <t>O8 - Launchers (missile, torpedo, rocket, etc.)</t>
  </si>
  <si>
    <t>O9 - Underwater explosives (mines, torpedos, etc.)</t>
  </si>
  <si>
    <t>O10 - Fire control systems and components</t>
  </si>
  <si>
    <t>O11 - Body armor</t>
  </si>
  <si>
    <t>O12 - Other armor</t>
  </si>
  <si>
    <t>O13 - Other armaments, explosives, or survivability products</t>
  </si>
  <si>
    <t>Section 3e: Product and Service List</t>
  </si>
  <si>
    <t>P: Energy Systems &amp; Energetics</t>
  </si>
  <si>
    <t>P1 - Gas turbine engines</t>
  </si>
  <si>
    <t>P2 - Rocket engines</t>
  </si>
  <si>
    <t>P3 - Generators</t>
  </si>
  <si>
    <t>P4 - Combustion engines</t>
  </si>
  <si>
    <t>P5 - Turbo fan engines</t>
  </si>
  <si>
    <t>P6 - Catapults</t>
  </si>
  <si>
    <t>P7 - Batteries</t>
  </si>
  <si>
    <t>P8 - Propellants</t>
  </si>
  <si>
    <t>P9 - Other energy systems products</t>
  </si>
  <si>
    <t>Q: Nuclear</t>
  </si>
  <si>
    <t>Q1 - Nuclear reactors</t>
  </si>
  <si>
    <t>Q2 - Nuclear weapon design and capabilities</t>
  </si>
  <si>
    <t>Q3 - Nuclear weapon destruction and demilitarization technology</t>
  </si>
  <si>
    <t>Q4 - Protective clothing</t>
  </si>
  <si>
    <t>Q5 - Radiation detective devices (e.g. Geiger counters)</t>
  </si>
  <si>
    <t>Q6 - Radioactive material storage</t>
  </si>
  <si>
    <t>Q7 - Nuclear disaster response equipment</t>
  </si>
  <si>
    <t>Q8 - Other nuclear products</t>
  </si>
  <si>
    <t>R: Biological</t>
  </si>
  <si>
    <t>R1 - DNA research</t>
  </si>
  <si>
    <t>R2 - RNA research</t>
  </si>
  <si>
    <t>R3 - Biological or physiological research</t>
  </si>
  <si>
    <t>R4 - Biological weapons destruction and demilitarization technology</t>
  </si>
  <si>
    <t>R5 - Biological agent detection equipment</t>
  </si>
  <si>
    <t>R6 - Biological disaster response equipment</t>
  </si>
  <si>
    <t>R7 - Other biological products</t>
  </si>
  <si>
    <t>S: Chemical</t>
  </si>
  <si>
    <t>S1 - Chemical research</t>
  </si>
  <si>
    <t>S2 - Chemical weapons destruction and demilitarization technology</t>
  </si>
  <si>
    <t>S3 - Chemical agent detection equipment</t>
  </si>
  <si>
    <t>S4 - Chemical disaster response equipment</t>
  </si>
  <si>
    <t>S5 - Other chemical products</t>
  </si>
  <si>
    <t>T: Emerging Technology</t>
  </si>
  <si>
    <t>T1 - Nanotechnology</t>
  </si>
  <si>
    <t>T2 - Synthetic biology</t>
  </si>
  <si>
    <t>T3 - Energetic materials</t>
  </si>
  <si>
    <t>T4 - Quantum systems</t>
  </si>
  <si>
    <t>T5 - Computational modeling of human behavior</t>
  </si>
  <si>
    <t>T6 - Cognitive neuroscience</t>
  </si>
  <si>
    <t>T7 - Other emerging technology products</t>
  </si>
  <si>
    <t>U: Agricultural</t>
  </si>
  <si>
    <t>U1 - Soil cultivation machinery</t>
  </si>
  <si>
    <t>U2 - Planting machinery</t>
  </si>
  <si>
    <t>U3 - Irrigation machinery</t>
  </si>
  <si>
    <t>U4 - Produce sorters</t>
  </si>
  <si>
    <t>U5 - Harvesting technology</t>
  </si>
  <si>
    <t>U6 - Other agricultural products</t>
  </si>
  <si>
    <t>V: Medical</t>
  </si>
  <si>
    <t>V1 - Electron microscopes</t>
  </si>
  <si>
    <t>V2 - Sonograms</t>
  </si>
  <si>
    <t>V3 - Magnetic Resonance Image (MRI) machines</t>
  </si>
  <si>
    <t>V4 - X-radiation machines</t>
  </si>
  <si>
    <t>V5 - Medicine distribution technology</t>
  </si>
  <si>
    <t>V6 - Disease and vector research</t>
  </si>
  <si>
    <t>V7 - Other medical products</t>
  </si>
  <si>
    <t>Section 3f: Product and Service List</t>
  </si>
  <si>
    <t>W: Command, Control, Communication, and Computer (C4)</t>
  </si>
  <si>
    <t>W1 - Common data links</t>
  </si>
  <si>
    <t>W2 - Monitors</t>
  </si>
  <si>
    <t>W3 - Printers</t>
  </si>
  <si>
    <t>W4 - Telecommunication devices (phones, cell phones, radios, radio mounts)</t>
  </si>
  <si>
    <t>W5 - Commercial off-the-shelf equipment used for C4</t>
  </si>
  <si>
    <t>W6 - Computers and CPUs</t>
  </si>
  <si>
    <t>W7 - Antennas</t>
  </si>
  <si>
    <t>W8 - Beyond the line of sight C2</t>
  </si>
  <si>
    <t>W9 - Line of sight C2</t>
  </si>
  <si>
    <t>W10 - Other C4 products and IT equipment</t>
  </si>
  <si>
    <t>X: Software</t>
  </si>
  <si>
    <t>X1 - Computer aided design (CAD) software</t>
  </si>
  <si>
    <t>X2 - Modeling and simulation software</t>
  </si>
  <si>
    <t>X3 - Artificial intelligence software</t>
  </si>
  <si>
    <t>X4 - Swarm software</t>
  </si>
  <si>
    <t>X5 - Microelectronic design software</t>
  </si>
  <si>
    <t>X6 - System development kits (SDK)</t>
  </si>
  <si>
    <t>X7 - Software algorithms</t>
  </si>
  <si>
    <t>X8 - Correlation software</t>
  </si>
  <si>
    <t>X9 - Database</t>
  </si>
  <si>
    <t>X10 - Computer language software</t>
  </si>
  <si>
    <t>X11 - Operating systems</t>
  </si>
  <si>
    <t>X12 - Finance and accounting software</t>
  </si>
  <si>
    <t>X13 - Other software products</t>
  </si>
  <si>
    <t>Y: Services and Other Products</t>
  </si>
  <si>
    <t>Y1 - Analytic services</t>
  </si>
  <si>
    <t>Y2 - Canine training</t>
  </si>
  <si>
    <t>Y3 - Construction</t>
  </si>
  <si>
    <t>Y4 - Consulting services</t>
  </si>
  <si>
    <t>Y5 - Delivery and freight services</t>
  </si>
  <si>
    <t>Y6 - Education and training services</t>
  </si>
  <si>
    <t>Y7 - Engineering</t>
  </si>
  <si>
    <t>Y8 - Financial and banking services</t>
  </si>
  <si>
    <t>Y9 - General contracting</t>
  </si>
  <si>
    <t>Y10 - Graphic arts, video, digital production</t>
  </si>
  <si>
    <t>Y11 - Information technology services</t>
  </si>
  <si>
    <t>Y12 - Internet service provision</t>
  </si>
  <si>
    <t>Y13 - Janitorial services</t>
  </si>
  <si>
    <t>Y14 - Legal services</t>
  </si>
  <si>
    <t>Y15 - Logistical services</t>
  </si>
  <si>
    <t>Y16 - Marketing services</t>
  </si>
  <si>
    <t>Y17 - Medical services</t>
  </si>
  <si>
    <t>Y18 - Professional services</t>
  </si>
  <si>
    <t>Y19 - Property management</t>
  </si>
  <si>
    <t>Y20 - Security and protection services</t>
  </si>
  <si>
    <t>Y21 - Staffing services</t>
  </si>
  <si>
    <t>Y22 - Telecommunication services</t>
  </si>
  <si>
    <t>Y23 - Translation services</t>
  </si>
  <si>
    <t>Y24 - Transportation services</t>
  </si>
  <si>
    <t>Y25 - Other services</t>
  </si>
  <si>
    <t>Y26 - Products not listed</t>
  </si>
  <si>
    <t>Section 3g: Primary Product/Service</t>
  </si>
  <si>
    <t>Select your location's primary product or service, based on total sales.</t>
  </si>
  <si>
    <t>Is your location's viability dependent on this product or service?</t>
  </si>
  <si>
    <t>Explain:</t>
  </si>
  <si>
    <t>Section 4a: Support of U.S. Government (USG) Agencies</t>
  </si>
  <si>
    <t>Indicate all USG departments and agencies your location has supported, directly or indirectly, in the past three years.  Estimate the percentage of your location's total sales that supported each agency over the past three years.  Percentages will only sum to 100% if all of your location's sales are to USG agencies.</t>
  </si>
  <si>
    <t>Agency Name</t>
  </si>
  <si>
    <t>Type of Support</t>
  </si>
  <si>
    <t>U.S. Navy</t>
  </si>
  <si>
    <t>U.S. Army</t>
  </si>
  <si>
    <t>U.S. Air Force</t>
  </si>
  <si>
    <t>U.S. Marine Corps</t>
  </si>
  <si>
    <t>DOD Defense Advanced Research Projects Agency (DARPA)</t>
  </si>
  <si>
    <t>DOD Missile Defense Agency (MDA)</t>
  </si>
  <si>
    <t>Department of Homeland Security (DHS)</t>
  </si>
  <si>
    <t>National Aeronautics and Space Administration (NASA)</t>
  </si>
  <si>
    <t>U.S. Intelligence Community (such as CIA, NGA, NRO, NSA, DNI, etc.)</t>
  </si>
  <si>
    <t>Department of Energy (DOE)</t>
  </si>
  <si>
    <t>Department of State</t>
  </si>
  <si>
    <t>Other Agency</t>
  </si>
  <si>
    <t>(Select from list)</t>
  </si>
  <si>
    <t>Unlisted Agency</t>
  </si>
  <si>
    <t>(Write-in)</t>
  </si>
  <si>
    <t>Does your facility engage in Diminishing Manufacturing Sources &amp; Materials Shortages (DMSMS) or obsolescence activities?</t>
  </si>
  <si>
    <t>DMSMS: the loss or impending loss of manufacturers or suppliers of items that may cause material shortages which endanger a weapon system's or equipment's development, production, or post-production support capability.</t>
  </si>
  <si>
    <t>If yes, who is the point of contact for DMSMS/obsolescence at your location?</t>
  </si>
  <si>
    <t>Phone</t>
  </si>
  <si>
    <t>Email</t>
  </si>
  <si>
    <t>If yes, estimate how much (in thousands of dollars) your location spent in each of the last three years on finding, managing, and/or resolving DMSMS/obsolescence problems on DOD systems or projects, including parts, components, materials, and software:</t>
  </si>
  <si>
    <t>Record $ in Thousands, e.g. $12,000.00 = survey input of $12</t>
  </si>
  <si>
    <t>DMSMS 
comments/ explanations:</t>
  </si>
  <si>
    <t>Section 4b: Participation in USG Programs</t>
  </si>
  <si>
    <t>Estimate the total number of USG programs your location has directly or indirectly supported in the past three years (including those not listed below):</t>
  </si>
  <si>
    <t>If your location does not support any of the listed U.S. Government programs, indicate this in the box to the right:</t>
  </si>
  <si>
    <t xml:space="preserve">Note: For your convenience, you may utilize the built-in filters to isolate particular U.S. Government agencies or programs from the list (press the down facing arrow in the top right corner of the relevant column below). </t>
  </si>
  <si>
    <t>U.S. Government Agency</t>
  </si>
  <si>
    <t>Program Name</t>
  </si>
  <si>
    <t>Product/Service List Area (from Survey Section 3b-3f) Supporting USG Programs</t>
  </si>
  <si>
    <t>Air Force</t>
  </si>
  <si>
    <t>Advanced Extremely High Frequency Satellite (AEHF)</t>
  </si>
  <si>
    <t>Advanced Pilot Trainer (APT)</t>
  </si>
  <si>
    <t>AIM-120 Advanced Medium Range Air-to-Air Missile (AMRAAM)</t>
  </si>
  <si>
    <t>Air and Space Operations Center-Weapon System Increment 10.2 (AOC-WS Inc 10.2)</t>
  </si>
  <si>
    <t>Air Force Integrated Personnel and Pay System (AF IPPS)</t>
  </si>
  <si>
    <t>Air Force Intercontinental Ballistic Missile Fuze Modernization (ICBM Fuze Mod)</t>
  </si>
  <si>
    <t>Airborne Warning and Control System Block 40/45 Upgrade (AWACS Blk 40/45 Upgrade)</t>
  </si>
  <si>
    <t>B-2 Defensive Management System Modernization (B-2 DMS Mod)</t>
  </si>
  <si>
    <t>B-2 Extremely High Frequency SATCOM and Computer Increment 1 (B-2 EHF Inc 1)</t>
  </si>
  <si>
    <t>B61 Mod 12 Life Extension Program Tailkit Assembly (B61 Mod 12 LEP TKA)</t>
  </si>
  <si>
    <t>Base Information Transport Infrastructure Wired (BITI Wired)</t>
  </si>
  <si>
    <t>Business Systems Modernization - Energy (BSM-E)</t>
  </si>
  <si>
    <t>C-130J Hercules Transport Aircraft (C-130J)</t>
  </si>
  <si>
    <t>C-27J (C-27J)</t>
  </si>
  <si>
    <t>C-5 Reliability Enhancement and Re-engining Program (C-5 RERP)</t>
  </si>
  <si>
    <t>Combat Identification/Identification Friend or Foe (CID/IFF)</t>
  </si>
  <si>
    <t>Combat Rescue Helicopter (CRH)</t>
  </si>
  <si>
    <t>Defense Enterprise Accounting and Management System-Increment 1 (DEAMS Inc 1)</t>
  </si>
  <si>
    <t>Deliberate and Crisis Action Planning and Execution Segments Increment 2A (DCAPES Inc 2A)</t>
  </si>
  <si>
    <t>Deliberate and Crisis Action Planning and Execution Segments Increment 2B (DCAPES Inc 2B)</t>
  </si>
  <si>
    <t>Enhanced Polar System (EPS)</t>
  </si>
  <si>
    <t>Evolved Expendable Launch Vehicle (EELV)</t>
  </si>
  <si>
    <t>F-15 Eagle Passive Active Warning Survivability System (F-15 EPAWSS)</t>
  </si>
  <si>
    <t>F-22 Increment 3.2B Modernization (F-22 Inc 3.2B Mod)</t>
  </si>
  <si>
    <t>Family of Advanced Beyond Line-of-Sight - Terminals (FAB-T)</t>
  </si>
  <si>
    <t>Global Broadcast Service (GBS)</t>
  </si>
  <si>
    <t>Global Positioning System III (GPS III)</t>
  </si>
  <si>
    <t>Ground Based Strategic Deterrent (GBSD)</t>
  </si>
  <si>
    <t>Hard Target Munition (HTM)</t>
  </si>
  <si>
    <t>HC/MC-130 Recapitalization Aircraft (HC/MC-130 Recap)</t>
  </si>
  <si>
    <t>Integrated Strategic Planning and Analysis Network Increment 4 (ISPAN Inc 4)</t>
  </si>
  <si>
    <t>Joint Air-to-Surface Standoff Missile (JASSM)</t>
  </si>
  <si>
    <t>Joint Direct Attack Munition (JDAM)</t>
  </si>
  <si>
    <t>Joint Space Operations Center (JSpOC) Mission System Increment 2 (JMS Inc 2)</t>
  </si>
  <si>
    <t>KC-46A Tanker Modernization (KC-46A)</t>
  </si>
  <si>
    <t>Long Range Stand Off Weapon (LRSO)</t>
  </si>
  <si>
    <t>Military Global Positioning System (GPS) User Equipment (MGUE Inc 1)</t>
  </si>
  <si>
    <t>Military Global Positioning System (GPS) User Equipment Increment 2 (MGUE Inc 2)</t>
  </si>
  <si>
    <t>Mission Planning System Increment 4 (MPS Inc 4)</t>
  </si>
  <si>
    <t>MQ-9 Reaper Unmanned Aircraft System (MQ-9 Reaper)</t>
  </si>
  <si>
    <t>Next Generation Long Range Strike (NGLRS) (NGLRS)</t>
  </si>
  <si>
    <t>Next Generation Operational Control System (OCX)</t>
  </si>
  <si>
    <t>North Atlantic Treaty Organization Alliance Ground Surveillance (NATO AGS)</t>
  </si>
  <si>
    <t>Nuclear Detonation Detection System (NDS)</t>
  </si>
  <si>
    <t>Presidential Aircraft Recapitalization (PAR)</t>
  </si>
  <si>
    <t>Protected Satellite Communication Services (PSCS)</t>
  </si>
  <si>
    <t>RQ-4A/B Global Hawk Unmanned Aircraft System (RQ-4A/B Global Hawk)</t>
  </si>
  <si>
    <t>Small Diameter Bomb Increment II (SDB II)</t>
  </si>
  <si>
    <t>Space Based Infrared System Follow-On (SBIRS Follow-On)</t>
  </si>
  <si>
    <t>Space Based Infrared System High (SBIRS High)</t>
  </si>
  <si>
    <t>Space Fence Ground-Based Radar System Increment 1 (Space Fence Inc 1)</t>
  </si>
  <si>
    <t>Three-Dimensional Expeditionary Long-Range Radar (3DELRR)</t>
  </si>
  <si>
    <t>Weather Satellite Follow-on (WSF)</t>
  </si>
  <si>
    <t>Wideband Global SATCOM (WGS)</t>
  </si>
  <si>
    <t>Army</t>
  </si>
  <si>
    <t>AH-64E Apache New Build (AH-64E New Build)</t>
  </si>
  <si>
    <t>AH-64E Apache Remanufacture (AH-64E Remanufacture)</t>
  </si>
  <si>
    <t>Airborne &amp; Maritime/Fixed Station Joint Tactical Radio System (AMF JTRS)</t>
  </si>
  <si>
    <t>Armored Multi-Purpose Vehicle (AMPV)</t>
  </si>
  <si>
    <t>Biometrics Enabling Capability Increment 1 (BEC Inc 1)</t>
  </si>
  <si>
    <t>CH-47F Improved Cargo Helicopter (CH-47F)</t>
  </si>
  <si>
    <t>Common Infrared Countermeasure (CIRCM)</t>
  </si>
  <si>
    <t>Distributed Common Ground System - Army Increment 2 (DCGS-A Inc 2)</t>
  </si>
  <si>
    <t>Distributed Common Ground System-Army Increment 1 (DCGS-A Inc 1)</t>
  </si>
  <si>
    <t>Excalibur Precision 155mm Projectiles (Excalibur)</t>
  </si>
  <si>
    <t>Global Combat Support System - Army Increment 2 (GCSS-A Inc 2)</t>
  </si>
  <si>
    <t>Global Combat Support System - Army Increment 1 (GCSS-A Inc 1)</t>
  </si>
  <si>
    <t>Guided Multiple Launch Rocket System/Guided Multiple Launch Rocket System Alternative Warhead (GMLRS/GMLRS AW)</t>
  </si>
  <si>
    <t>Improved Turbine Engine Program (ITEP)</t>
  </si>
  <si>
    <t>Indirect Fire Protection Capability Increment 2 - Intercept (IFPC Inc 2 - I)</t>
  </si>
  <si>
    <t>Integrated Air and Missile Defense (IAMD)</t>
  </si>
  <si>
    <t>Integrated Personnel and Pay System-Army Increment 1 (IPPS-A Inc 1)</t>
  </si>
  <si>
    <t>Integrated Personnel and Pay System-Army Increment 2 (IPPS-A Inc 2)</t>
  </si>
  <si>
    <t>Joint Air-to-Ground Missile (JAGM)</t>
  </si>
  <si>
    <t>Joint Personnel Identification Version 2 (JPI V2)</t>
  </si>
  <si>
    <t>Joint Tactical Networks (JTN)</t>
  </si>
  <si>
    <t>Joint Tactical Radio System Handheld, Manpack, and Small Form Fit Radios (JTRS HMS)</t>
  </si>
  <si>
    <t>Logistics Modernization Program Increment 2 (LMP Inc 2)</t>
  </si>
  <si>
    <t>Long Range Precision Fires (LRPF)</t>
  </si>
  <si>
    <t>Mid-Tier Networking Vehicular Radio (MNVR)</t>
  </si>
  <si>
    <t>MQ-1C Gray Eagle Unmanned Aircraft System (MQ-1C Gray Eagle)</t>
  </si>
  <si>
    <t>NETT WARRIOR (NETT WARRIOR)</t>
  </si>
  <si>
    <t>Non-Standard Rotary Wing Aircraft (NSRWA)</t>
  </si>
  <si>
    <t>Paladin Integrated Management (PIM)</t>
  </si>
  <si>
    <t>Patriot Advanced Capability-3 Missile Segment Enhancement (PAC-3 MSE)</t>
  </si>
  <si>
    <t>Patriot/Medium Extended Air Defense System Combined Aggregate Program (Patriot/MEADS CAP)</t>
  </si>
  <si>
    <t>RQ-7B Shadow Tactical Unmanned Aircraft System (RQ-7B Shadow)</t>
  </si>
  <si>
    <t>Tactical Mission Command (TMC)</t>
  </si>
  <si>
    <t>UH-60M Black Hawk Helicopter (UH-60M Black Hawk)</t>
  </si>
  <si>
    <t>Warfighter Information Network-Tactical Increment 2 (WIN-T Inc 2)</t>
  </si>
  <si>
    <t>Warfighter Information Network-Tactical Increment 3 (WIN-T Inc 3)</t>
  </si>
  <si>
    <t>DOD</t>
  </si>
  <si>
    <t>Advanced Anticonvulsant Systems (CBDP-MEDSYS - AAS)</t>
  </si>
  <si>
    <t>Analytical Laboratory System (CBDP-GUARD - ALS)</t>
  </si>
  <si>
    <t>Anthrax Vaccine Adsorbed (CBDP-MEDSYS - AVA)</t>
  </si>
  <si>
    <t>Ballistic Missile Defense System (BMDS)</t>
  </si>
  <si>
    <t>Ballistic Missile Technical Collection (BMTC)</t>
  </si>
  <si>
    <t>Bioscavenger I (CBDP-MEDSYS - pBSCAV)</t>
  </si>
  <si>
    <t>Bioscavenger Increment II (CBDP-MEDSYS - BSCAV II)</t>
  </si>
  <si>
    <t>CBDP-GUARD-CALS (CBDP-GUARD - CALS)</t>
  </si>
  <si>
    <t>Chemical and Biological Protective Shelter (CBPS) (CBDP-CP - CBPS)</t>
  </si>
  <si>
    <t>Chemical Biological Defense Small Project Acquisition (CBDP-GUARD - CSPA)</t>
  </si>
  <si>
    <t>Chemical Demilitarization-Assembled Chemical Weapons Alternatives (Chem Demil-ACWA)</t>
  </si>
  <si>
    <t>Collectively Protected Field Hospital (CBDP-CP - CPFH)</t>
  </si>
  <si>
    <t>Defense Agencies Initiative Increment 2 (DAI Inc 2)</t>
  </si>
  <si>
    <t>Department of Defense Healthcare Management System Modernization (DHMSM)</t>
  </si>
  <si>
    <t>F-35 Joint Strike Fighter Aircraft (F-35)</t>
  </si>
  <si>
    <t>Global Combat Support System - Joint Increment 8 (GCSS-J Inc 8)</t>
  </si>
  <si>
    <t>Global Combat Support System - Joint Increment 7 (GCSS-J Inc 7)</t>
  </si>
  <si>
    <t>Human Remains Decontamination System (CBDP-DECON - HRDS)</t>
  </si>
  <si>
    <t>Improved Nerve Agent Identification and Diagnositc System (CBDP-MEDSYS - INATS)</t>
  </si>
  <si>
    <t>Installation Protection Program (CBDP-GUARD - IPP)</t>
  </si>
  <si>
    <t>integrated Electronic Health Record Increment 1 (iEHR Inc 1)</t>
  </si>
  <si>
    <t>Joint Aerial Layer Network (JALN)</t>
  </si>
  <si>
    <t>Joint Biological Agent Identification and Diagnostic System (CBDP-MEDSYS - JBAIDS)</t>
  </si>
  <si>
    <t>Joint Biological Point Detection System (JBPDS) (CBDP-BD - JBPDS)</t>
  </si>
  <si>
    <t>Joint Biological Standoff Detection System Increment 1 (CBDP-BD - JBSDS Inc 1)</t>
  </si>
  <si>
    <t>Joint Biological Standoff Detection System Increment 2 (CBDP-BD - JBSDS Inc 2)</t>
  </si>
  <si>
    <t>Joint Biological Tactical Detection System Increment 1 (CBDP-BD - JBTDS Inc 1)</t>
  </si>
  <si>
    <t>Joint Chemical Agent Detector Increment 2 (CBDP-CA - JCAD Inc 2)</t>
  </si>
  <si>
    <t>Joint Chemical Agent Detector M4/M4E1 (CBDP-CA - JCAD M4/M4E1)</t>
  </si>
  <si>
    <t>Joint Chemical, Biological and Radiological Agent Water Monitor (CBDP-CA - JCBRAWM)</t>
  </si>
  <si>
    <t>Joint Command and Control Capability Area (Joint C2)</t>
  </si>
  <si>
    <t>Joint Effects Model (CBDP-IS - JEM)</t>
  </si>
  <si>
    <t>Joint Expenditionary Collective Protection (CBDP-CP - JECP)</t>
  </si>
  <si>
    <t>Joint Light Tactical Vehicle (JLTV)</t>
  </si>
  <si>
    <t>Joint Material Decontamination System (CBDP-DECON - JMDS)</t>
  </si>
  <si>
    <t>Joint Operations Effects Federation (CBDP-IS - JOEF)</t>
  </si>
  <si>
    <t>Joint Protective Aircrew Ensemble (CBDP-IP - JPACE )</t>
  </si>
  <si>
    <t>Joint Service Aircrew Mask Apache (CBDP-IP - JSAM Apache)</t>
  </si>
  <si>
    <t>Joint Service Aircrew Mask Fixed Wing (CBDP-IP - JSAM FW)</t>
  </si>
  <si>
    <t>Joint Service Aircrew Mask Rotary Wing (CBDP-IP - JSAM RW)</t>
  </si>
  <si>
    <t>Joint Service General Purpose Mask (JSGPM) (CBDP-IP - JSGPM)</t>
  </si>
  <si>
    <t>Joint Service Lightweight Integrated Suit Technology - AFS/IFS (CBDP-IP - JSLIST AFS/IFS)</t>
  </si>
  <si>
    <t>Joint Service Lightweight Integrated Suit Technology - JB2GU FR (CBDP-IP - JSLIST JB2GU FR)</t>
  </si>
  <si>
    <t>Joint Service Lightweight Integrated Suit Technology - JB2GU nFR (CBDP-IP - JSLIST JB2GUnFR)</t>
  </si>
  <si>
    <t>Joint Service Lightweight Integrated Suit Technology - JC3 (CBDP-IP - JSLIST JC3)</t>
  </si>
  <si>
    <t>Joint Service Lightweight Integrated Suit Technology - SUITS (CBDP-IP - JSLIST SUITS)</t>
  </si>
  <si>
    <t>Joint Service Lightweight Standoff Chemical Agent Detector (CBDP-CA - JSLSCAD)</t>
  </si>
  <si>
    <t>Joint Service NBC Reconnaissance System (CBDP-CA - JNBCRS)</t>
  </si>
  <si>
    <t>Joint Service Personnel Decon System (CBDP-DECON - JSPDS)</t>
  </si>
  <si>
    <t>Joint Service Transportable Decon System (CBDP-DECON - JSTDS - SS)</t>
  </si>
  <si>
    <t>Joint Warning and Reporting Network (CBDP-IS - JWARN)</t>
  </si>
  <si>
    <t>Key Management Infrastructure Increment 2 (KMI Inc 2)</t>
  </si>
  <si>
    <t>M93/M93A1/M93A1P1 Fox NBC Reconnaissance Vehicle (CBDP-CA - FOX)</t>
  </si>
  <si>
    <t>Medical Radiation Countermeasures (CBDP-MEDSYS - MRADC)</t>
  </si>
  <si>
    <t>Nuclear, Biological, Chemical Reconnaissance Vehicle (CBDP-CA - NBCRV)</t>
  </si>
  <si>
    <t>Plague Vaccine (CBDP-MEDSYS - Plague )</t>
  </si>
  <si>
    <t>Product Director, Test Equipment, Stragety and Support (CBDP-CA - PD-TESS)</t>
  </si>
  <si>
    <t>Public Key Infrastructure Increment 2 (PKI Inc 2)</t>
  </si>
  <si>
    <t>Recombinant Botulinum Vaccine (CBDP-MEDSYS - rBV A/B)</t>
  </si>
  <si>
    <t>Shipboard Collective Protection System Backfit (CBDP-CP - CPS BKFT)</t>
  </si>
  <si>
    <t>Smallpox Vaccine System (CBDP-MEDSYS - Smallpox)</t>
  </si>
  <si>
    <t>Teleport Generation 3 (Teleport Gen 3)</t>
  </si>
  <si>
    <t>Theater Medical Information Program-Joint Increment 2 (TMIP-J Inc 2)</t>
  </si>
  <si>
    <t>Unified Command Suite (CBDP-GUARD - UCS)</t>
  </si>
  <si>
    <t>DOE</t>
  </si>
  <si>
    <t>B61 Mod 12 Life Extension Program (B61-12 LEP)</t>
  </si>
  <si>
    <t>W76 Mod 1 Life Extension Program (W76-1 LEP)</t>
  </si>
  <si>
    <t>W78/88 Mod 1 Life Extension Program (W78/88-1 LEP)</t>
  </si>
  <si>
    <t>W88 Alteration 370 (W88 ALT 370)</t>
  </si>
  <si>
    <t>Navy</t>
  </si>
  <si>
    <t>AGM-88E Advanced Anti-Radiation Guided Missile (AGM-88E AARGM)</t>
  </si>
  <si>
    <t>AIM-9X Block II Sidewinder (AIM-9X Blk II)</t>
  </si>
  <si>
    <t>Air and Missile Defense Radar (AMDR)</t>
  </si>
  <si>
    <t>Amphibious Combat Vehicle (ACV)</t>
  </si>
  <si>
    <t>Amphibious Ship Replacement (LX(R))</t>
  </si>
  <si>
    <t>CH-53K Heavy Lift Replacement Helicopter (CH-53K)</t>
  </si>
  <si>
    <t>Common Aviation Command and Control System Increment 1 (CAC2S Inc 1)</t>
  </si>
  <si>
    <t>Consolidated Afloat Network Enterprise Services (CANES)</t>
  </si>
  <si>
    <t>Cooperative Engagement Capability (CEC)</t>
  </si>
  <si>
    <t>CVN 78 Gerald R. Ford Class Nuclear Aircraft Carrier (CVN 78)</t>
  </si>
  <si>
    <t>DDG 1000 Zumwalt Class Destroyer (DDG 1000)</t>
  </si>
  <si>
    <t>DDG 51 Arleigh Burke Class Guided Missile Destroyer (DDG 51)</t>
  </si>
  <si>
    <t>Dept of the Navy-Large Aircraft-Infrared Counter Measures (DoN-LAIRCM)</t>
  </si>
  <si>
    <t>Distributed Common Ground System-Navy Increment 1 (DCGS-N Inc 1)</t>
  </si>
  <si>
    <t>Distributed Common Ground System-Navy Increment 2 (DCGS-N Inc 2)</t>
  </si>
  <si>
    <t>E-2D Advanced Hawkeye Aircraft (E-2D AHE)</t>
  </si>
  <si>
    <t>EA-18G Growler Aircraft (EA-18G)</t>
  </si>
  <si>
    <t>Global Combat Support System-Marine Corps Logistics Chain Management Increment 1 (GCSS-MC LCM Inc 1)</t>
  </si>
  <si>
    <t>Global Command and Control System-Maritime Increment 2 (GCCS-M Inc 2)</t>
  </si>
  <si>
    <t>Ground/Air Task Oriented Radar (G/ATOR)</t>
  </si>
  <si>
    <t>H-1 Upgrades (4BW/4BN) (H-1 Upgrades)</t>
  </si>
  <si>
    <t>Integrated Defensive Electronic Countermeasures (IDECM)</t>
  </si>
  <si>
    <t>Joint and Allied Threat Awareness System (JATAS)</t>
  </si>
  <si>
    <t>Joint Precision Approach and Landing System Increment 1A (JPALS Inc 1A)</t>
  </si>
  <si>
    <t>Joint Standoff Weapon - Baseline Variant and Unitary Warhead Variant (JSOW)</t>
  </si>
  <si>
    <t>KC-130J Transport Aircraft (KC-130J)</t>
  </si>
  <si>
    <t>LHA 6 America Class Amphibious Assault Ship (LHA 6)</t>
  </si>
  <si>
    <t>Littoral Combat Ship (LCS)</t>
  </si>
  <si>
    <t>Littoral Combat Ship Mission Modules (LCS MM)</t>
  </si>
  <si>
    <t>LPD 17 San Antonio Class Amphibious Transport Dock (LPD 17)</t>
  </si>
  <si>
    <t>MH-60R Multi-Mission Helicopter (MH-60R)</t>
  </si>
  <si>
    <t>Mobile Landing Platform (MLP)</t>
  </si>
  <si>
    <t>Mobile User Objective System (MUOS)</t>
  </si>
  <si>
    <t>MQ-4C Triton Unmanned Aircraft System (MQ-4C Triton)</t>
  </si>
  <si>
    <t>MQ-8 Fire Scout Unmanned Aircraft System (MQ-8 Fire Scout)</t>
  </si>
  <si>
    <t>Multifunctional Information Distribution System (MIDS)</t>
  </si>
  <si>
    <t>Navy Multiband Terminal (NMT)</t>
  </si>
  <si>
    <t>Next Generation Enterprise Network Increment 1 (NGEN Inc 1)</t>
  </si>
  <si>
    <t>Next Generation Jammer (NGJ)</t>
  </si>
  <si>
    <t>Offensive Anti-Surface Warfare (OASuW)</t>
  </si>
  <si>
    <t>Ohio Class Submarine Replacement (Ohio Replacement)</t>
  </si>
  <si>
    <t>P-8A Poseidon Multi-Mission Maritime Aircraft (P-8A)</t>
  </si>
  <si>
    <t>Remote Minehunting System (RMS)</t>
  </si>
  <si>
    <t>Ship to Shore Connector Amphibious Craft (SSC)</t>
  </si>
  <si>
    <t>SSN 774 Virginia Class Submarine (SSN 774)</t>
  </si>
  <si>
    <t>Standard Missile-6 (SM-6)</t>
  </si>
  <si>
    <t>Tactical Tomahawk RGM-109E/UGM-109E Missile (TACTOM)</t>
  </si>
  <si>
    <t>T-AO(X) Fleet Replenishment Oiler (T-AO(X))</t>
  </si>
  <si>
    <t>Trident II (D-5) Sea-Launched Ballistic Missile UGM 133A (Trident II Missile)</t>
  </si>
  <si>
    <t>Unmanned Carrier Launched Airborne Surveillance &amp; Strike (UCLASS)</t>
  </si>
  <si>
    <t>V-22 Osprey Joint Services Advanced Vertical Lift Aircraft (V-22)</t>
  </si>
  <si>
    <t>VH-92A Presidential Helicopter (VH-92A)</t>
  </si>
  <si>
    <t>(Identify Agency)</t>
  </si>
  <si>
    <t>(Write-In Program Here)</t>
  </si>
  <si>
    <t xml:space="preserve"> </t>
  </si>
  <si>
    <t>Section 5: Suppliers</t>
  </si>
  <si>
    <t>Input Utilization</t>
  </si>
  <si>
    <t>Criticality</t>
  </si>
  <si>
    <t>1: General Category Provided 
By Supplier</t>
  </si>
  <si>
    <t>2: Input Area Provided 
By Supplier</t>
  </si>
  <si>
    <t>3: Input Description</t>
  </si>
  <si>
    <t>4: Supplier Name</t>
  </si>
  <si>
    <t>5: Supplier State
 (if applicable)</t>
  </si>
  <si>
    <t>6: Supplier 
Country</t>
  </si>
  <si>
    <t>7: Primary Product/Service at Your Location in Which the Input is Utilized</t>
  </si>
  <si>
    <t>8: Supports Multiple USG Programs</t>
  </si>
  <si>
    <t>9: Single/Sole Supplier (see definitions)</t>
  </si>
  <si>
    <t>10: Contributes Significantly to End Value</t>
  </si>
  <si>
    <t>11: Long Lead Time</t>
  </si>
  <si>
    <t>12: Obsolete Part</t>
  </si>
  <si>
    <t>13: Other Critical Measure
(if applicable)</t>
  </si>
  <si>
    <t>ProductCats</t>
  </si>
  <si>
    <t>Groups</t>
  </si>
  <si>
    <t>group</t>
  </si>
  <si>
    <t>Agroup</t>
  </si>
  <si>
    <t>Bgroup</t>
  </si>
  <si>
    <t>Cgroup</t>
  </si>
  <si>
    <t>Dgroup</t>
  </si>
  <si>
    <t>Egroup</t>
  </si>
  <si>
    <t>Fgroup</t>
  </si>
  <si>
    <t>Ggroup</t>
  </si>
  <si>
    <t>Hgroup</t>
  </si>
  <si>
    <t>Igroup</t>
  </si>
  <si>
    <t>Jgroup</t>
  </si>
  <si>
    <t>Kgroup</t>
  </si>
  <si>
    <t>Lgroup</t>
  </si>
  <si>
    <t>Mgroup</t>
  </si>
  <si>
    <t>Ngroup</t>
  </si>
  <si>
    <t>Ogroup</t>
  </si>
  <si>
    <t>Pgroup</t>
  </si>
  <si>
    <t>Qgroup</t>
  </si>
  <si>
    <t>Rgroup</t>
  </si>
  <si>
    <t>Sgroup</t>
  </si>
  <si>
    <t>Tgroup</t>
  </si>
  <si>
    <t>Ugroup</t>
  </si>
  <si>
    <t>Vgroup</t>
  </si>
  <si>
    <t>Wgroup</t>
  </si>
  <si>
    <t>Xgroup</t>
  </si>
  <si>
    <t>Ygroup</t>
  </si>
  <si>
    <t>Example</t>
  </si>
  <si>
    <t xml:space="preserve">P: Energy Systems &amp; Energetics </t>
  </si>
  <si>
    <t>Truck engines</t>
  </si>
  <si>
    <t>Sara's Engine Works</t>
  </si>
  <si>
    <t>Alabama</t>
  </si>
  <si>
    <t>Yes</t>
  </si>
  <si>
    <t>Neither</t>
  </si>
  <si>
    <t>No</t>
  </si>
  <si>
    <t>(specify)</t>
  </si>
  <si>
    <t xml:space="preserve">A: Raw Materials </t>
  </si>
  <si>
    <t/>
  </si>
  <si>
    <t xml:space="preserve">B: Electronics </t>
  </si>
  <si>
    <t>Y2 - Canine training services</t>
  </si>
  <si>
    <t xml:space="preserve">C: Manufacturing Equipment and Processes </t>
  </si>
  <si>
    <t>G4 - Commercial off-the-shelf equipment used for sonar</t>
  </si>
  <si>
    <t>G5 - Other sensor products</t>
  </si>
  <si>
    <t>M5 - Other marine systems</t>
  </si>
  <si>
    <t xml:space="preserve">F: Optics </t>
  </si>
  <si>
    <t>K6 - Other aeronautic products</t>
  </si>
  <si>
    <t xml:space="preserve">G: Acoustic Sensors </t>
  </si>
  <si>
    <t>T7 - Other emerging technology</t>
  </si>
  <si>
    <t>Y7 - Engineering services</t>
  </si>
  <si>
    <t xml:space="preserve">H: Positioning, Navigation, and Timing </t>
  </si>
  <si>
    <t xml:space="preserve">J: Signature Control </t>
  </si>
  <si>
    <t>W10 - Other C4 products</t>
  </si>
  <si>
    <t>Y10 - Graphic arts, video, digital production services</t>
  </si>
  <si>
    <t xml:space="preserve">K: Aeronautic Systems </t>
  </si>
  <si>
    <t xml:space="preserve">L: Space Systems </t>
  </si>
  <si>
    <t xml:space="preserve">M: Marine Systems </t>
  </si>
  <si>
    <t xml:space="preserve">N: Ground Systems </t>
  </si>
  <si>
    <t xml:space="preserve">O: Armaments and Survivability </t>
  </si>
  <si>
    <t>16.</t>
  </si>
  <si>
    <t>17.</t>
  </si>
  <si>
    <t xml:space="preserve">Q: Nuclear </t>
  </si>
  <si>
    <t>18.</t>
  </si>
  <si>
    <t xml:space="preserve">R: Biological </t>
  </si>
  <si>
    <t>Y18 - Professional Services</t>
  </si>
  <si>
    <t>19.</t>
  </si>
  <si>
    <t xml:space="preserve">S: Chemical </t>
  </si>
  <si>
    <t>Y19 - Property management services</t>
  </si>
  <si>
    <t>20.</t>
  </si>
  <si>
    <t xml:space="preserve">T: Emerging Technology </t>
  </si>
  <si>
    <t>21.</t>
  </si>
  <si>
    <t xml:space="preserve">U: Agricultural </t>
  </si>
  <si>
    <t>22.</t>
  </si>
  <si>
    <t xml:space="preserve">V: Medical </t>
  </si>
  <si>
    <t>23.</t>
  </si>
  <si>
    <t xml:space="preserve">W: Command, Control, Communication, and Computer </t>
  </si>
  <si>
    <t>24.</t>
  </si>
  <si>
    <t>25.</t>
  </si>
  <si>
    <t xml:space="preserve">Y: Services and Other Products </t>
  </si>
  <si>
    <t>Section 6: Employment</t>
  </si>
  <si>
    <t>Record the total number of full time equivalent (FTE) employees and contractors employed by this location for the past three years.
This may include employees who work off-site but report to this location.</t>
  </si>
  <si>
    <t>FTE Employees</t>
  </si>
  <si>
    <t>FTE Contractors</t>
  </si>
  <si>
    <t>How many non-U.S. citizens work at your location?</t>
  </si>
  <si>
    <t>If yes, identify the number of each type of non-U.S. citizen worker currently employed at your location.</t>
  </si>
  <si>
    <t>H-1B</t>
  </si>
  <si>
    <t>H-2B</t>
  </si>
  <si>
    <t>F-1</t>
  </si>
  <si>
    <t>Green Card</t>
  </si>
  <si>
    <t>List each country (other than the U.S.) from which your location has non-U.S. citizen workers (employees or contractors), and identify the number of each type of visa or green card holder associated with each country.</t>
  </si>
  <si>
    <t>Provide the number of FTE employees and contractors employed by this location that hold active security clearances at the following levels:</t>
  </si>
  <si>
    <t>Top Secret</t>
  </si>
  <si>
    <t>Secret</t>
  </si>
  <si>
    <t>Confidential</t>
  </si>
  <si>
    <t>Does your location have difficulty hiring and/or retaining any parts of its workforce?
If yes, identify which occupations and explain your selection.</t>
  </si>
  <si>
    <t>Occupation</t>
  </si>
  <si>
    <t>Difficulty</t>
  </si>
  <si>
    <t>Explanation</t>
  </si>
  <si>
    <t>Engineers, Scientists, and R&amp;D Staff</t>
  </si>
  <si>
    <t>Information Technology Professionals</t>
  </si>
  <si>
    <t>Production Line Workers</t>
  </si>
  <si>
    <t>Testing Operators and Quality Control Technicians</t>
  </si>
  <si>
    <t>Section 7: Sales</t>
  </si>
  <si>
    <t>Source of Sales Data:</t>
  </si>
  <si>
    <t>Reporting Schedule:</t>
  </si>
  <si>
    <t>Record in $ Thousands, e.g. $12,000.00 = survey input $12</t>
  </si>
  <si>
    <t>2015*</t>
  </si>
  <si>
    <t>Data Confirmation</t>
  </si>
  <si>
    <t>U.S.</t>
  </si>
  <si>
    <t>Non-U.S.</t>
  </si>
  <si>
    <t>Total Listed 2015 Sales</t>
  </si>
  <si>
    <t>Total Sales, all Customers (in $)</t>
  </si>
  <si>
    <t>None</t>
  </si>
  <si>
    <t>Total Defense-Related Sales (as a % of A)</t>
  </si>
  <si>
    <t>Total Sales from Classified Contracts (as a % of A)</t>
  </si>
  <si>
    <t>Total Sales from all Government Contracts (as a % of A)</t>
  </si>
  <si>
    <t>* Furnish full year estimates for 2015.</t>
  </si>
  <si>
    <t>Section 8: Top Customers</t>
  </si>
  <si>
    <t>Identify your location's top U.S. and non-U.S. direct customers by sales for the past three years.  A direct customer is the immediate entity to which you sell your products/services.  Customers can include other business units/divisions within your parent organization.  Indicate the type of customer and their location.</t>
  </si>
  <si>
    <t>Location's Top U.S.-Based Customers</t>
  </si>
  <si>
    <t>Customer Name</t>
  </si>
  <si>
    <t>Type of Customer</t>
  </si>
  <si>
    <t>Customer City</t>
  </si>
  <si>
    <t>Customer State</t>
  </si>
  <si>
    <t>Location's Top Non-U.S.-Based Customers</t>
  </si>
  <si>
    <t>Customer Country</t>
  </si>
  <si>
    <t>Section 9a: Physical and Cyber Security Procedures</t>
  </si>
  <si>
    <t>In the event of a suspected/confirmed security incident at your location, do you know what authorities to contact?</t>
  </si>
  <si>
    <t>Indicate which organizations your location would notify in response to a suspected/confirmed security incident by briefly describing the type of incident(s) for which you would contact the organization.</t>
  </si>
  <si>
    <t>Defense Security Service (DSS)</t>
  </si>
  <si>
    <t>Government-Industry Data Exchange Program (GIDEP)</t>
  </si>
  <si>
    <t>Defense Logistics Agency (DLA)</t>
  </si>
  <si>
    <t>National Aeronautics &amp; Space Administration (NASA)</t>
  </si>
  <si>
    <t>Defense-Related Investigative Services (e.g. DCIS, NCIS, etc.)</t>
  </si>
  <si>
    <t>National Security Agency (NSA)</t>
  </si>
  <si>
    <t>Department of Commerce, Bureau of Industry and Security (BIS)</t>
  </si>
  <si>
    <t>Nuclear Regulatory Commission (NRC)</t>
  </si>
  <si>
    <t>Secret Service Electronic Crimes Task Force</t>
  </si>
  <si>
    <t>State &amp; Local Authorities</t>
  </si>
  <si>
    <t>Department of Justice (DOJ)</t>
  </si>
  <si>
    <t>US-CERT</t>
  </si>
  <si>
    <t>Federal Bureau of Investigation (FBI)</t>
  </si>
  <si>
    <t>Federal Communications Commission (FCC)</t>
  </si>
  <si>
    <t>Federal Trade Commission (FTC)</t>
  </si>
  <si>
    <t>State the number of security incidents your location has recorded in each year:</t>
  </si>
  <si>
    <t>Physical Incidents</t>
  </si>
  <si>
    <t>Cyber
Incidents</t>
  </si>
  <si>
    <t>Indicate which of the following security measures are in place at this location:</t>
  </si>
  <si>
    <t>Physical Security</t>
  </si>
  <si>
    <t>After hours inspections of cleared areas</t>
  </si>
  <si>
    <t>Account Monitoring and Control</t>
  </si>
  <si>
    <t>Inventory of Authorized/Unauthorized Software</t>
  </si>
  <si>
    <t>CCTV monitoring</t>
  </si>
  <si>
    <t>Application Software Security</t>
  </si>
  <si>
    <t>Limitation/Control of Network Ports and Services</t>
  </si>
  <si>
    <t>Control of facility points of entry</t>
  </si>
  <si>
    <t>Boundary Defense</t>
  </si>
  <si>
    <t>Maintenance, Monitoring, &amp; Analysis of Audit Logs</t>
  </si>
  <si>
    <t>Intrusion alarms</t>
  </si>
  <si>
    <t>Continuous Vulnerability Assessment</t>
  </si>
  <si>
    <t>Malware Defenses</t>
  </si>
  <si>
    <t>Perimeter barriers around facility</t>
  </si>
  <si>
    <t>Controlled Access Based on Need to Know</t>
  </si>
  <si>
    <t>Penetration Tests and Red Team Exercises</t>
  </si>
  <si>
    <t>Personnel physical access cards</t>
  </si>
  <si>
    <t>Controlled Use of Administrative Privileges</t>
  </si>
  <si>
    <t>Secure Configurations on Hardware</t>
  </si>
  <si>
    <t>Physical separation of cleared areas</t>
  </si>
  <si>
    <t>Data Protection</t>
  </si>
  <si>
    <t>Secure Configurations of Network Devices</t>
  </si>
  <si>
    <t>Security guards</t>
  </si>
  <si>
    <t>Data Recovery Capability</t>
  </si>
  <si>
    <t>Secure Network Engineering</t>
  </si>
  <si>
    <t>Incident Response and Management</t>
  </si>
  <si>
    <t>Security Skills Assessments and Training</t>
  </si>
  <si>
    <t>Inventory of Authorized/Unauthorized Devices</t>
  </si>
  <si>
    <t>Wireless Access Control</t>
  </si>
  <si>
    <t>Does this location employ any of the NIST Cyber Security Framework's recommended controls?</t>
  </si>
  <si>
    <t>Provide any explanations of the controls your location has in place or feedback you may have on potential improvements, clarifications, or other changes:</t>
  </si>
  <si>
    <t>Section 9b: Physical and Cyber Security Procedures (Cont.)</t>
  </si>
  <si>
    <t>Estimate your location's spending on physical and cyber security, in thousands of dollars.
Note: Location level data is strongly preferred. If you do not keep this information at a location level, provide data at the next highest level available.</t>
  </si>
  <si>
    <t>Source of Security Expenditure Data:</t>
  </si>
  <si>
    <t>Total 2015 Security Expenditures</t>
  </si>
  <si>
    <t>Provide the following information on remote network access:</t>
  </si>
  <si>
    <t>Are employees and/or contractors able to access this facility's internal networks remotely?</t>
  </si>
  <si>
    <t>Are any other organizations/companies able to access this facility's internal networks remotely?</t>
  </si>
  <si>
    <t>Provide the following information on data storage and sharing:</t>
  </si>
  <si>
    <t>Does your location or parent organization operate its own data center in the U.S.?</t>
  </si>
  <si>
    <t>If yes, how many?</t>
  </si>
  <si>
    <t>Does your location or parent organization operate its own data center outside the U.S.?</t>
  </si>
  <si>
    <t>Does your location use a U.S.-based cloud service or external data storage provider?</t>
  </si>
  <si>
    <t>Does your location use a non-U.S.-based cloud service or external data storage provider?</t>
  </si>
  <si>
    <t>Estimate the percentage of your location's Commercially Sensitive Information that is stored with cloud services or external data storage providers:</t>
  </si>
  <si>
    <t>Does your location share Commercially Sensitive Information with non-U.S. organizations in order to support business operations?
This might include the sharing of customer information, proprietary designs, R&amp;D information, production data, etc.</t>
  </si>
  <si>
    <t>If yes, identify both the types of CSI shared and the countries of the organizations it is shared with:</t>
  </si>
  <si>
    <t>Provide the following information on cyber threats (to all systems, both classified and unclassified):</t>
  </si>
  <si>
    <t>Is your location able to detect the theft of, or unauthorized access to, Commercially Sensitive Information by cyber means?</t>
  </si>
  <si>
    <t xml:space="preserve">If yes, has your location investigated the source of any such theft or unauthorized access in the past three years? </t>
  </si>
  <si>
    <t>Is your location able to detect an Advanced Persistent Threat (APT)?</t>
  </si>
  <si>
    <t>If yes, estimate how many APTs your location has encountered in the past three years:</t>
  </si>
  <si>
    <t>Identify any impacts or actions resulting from malicious cyber activity at your location in the past three years:</t>
  </si>
  <si>
    <t>Impacts Experienced</t>
  </si>
  <si>
    <t>Actions Undertaken</t>
  </si>
  <si>
    <t>IT downtime</t>
  </si>
  <si>
    <t>Revised approach to international partnerships</t>
  </si>
  <si>
    <t>Costs from damage assessment/remediation</t>
  </si>
  <si>
    <t>Significant change in R&amp;D strategy</t>
  </si>
  <si>
    <t>Loss of sales/Business interruption</t>
  </si>
  <si>
    <t>Exit from foreign markets or market segments</t>
  </si>
  <si>
    <t>Exfiltration of Commercially Sensitive Information</t>
  </si>
  <si>
    <t>Exit from product or business line</t>
  </si>
  <si>
    <t>Damage to IT infrastructure</t>
  </si>
  <si>
    <t>Major new investment in cyber security</t>
  </si>
  <si>
    <t>Damage to company production capabilities or systems</t>
  </si>
  <si>
    <t>Theft of software and/or source code</t>
  </si>
  <si>
    <t>Section 10: Classified Contract Information</t>
  </si>
  <si>
    <t>Provide the following information on your classified contracts:</t>
  </si>
  <si>
    <t>Number of classified prime contracts awarded to this location in the past three years</t>
  </si>
  <si>
    <t>Number of classified subcontracts awarded to this location in the past three years</t>
  </si>
  <si>
    <t>Number of classified subcontracts this location awarded to contractors in the past three years</t>
  </si>
  <si>
    <t>Number of classified foreign contracts awarded to this location in the past three years</t>
  </si>
  <si>
    <t>Contract ID Number</t>
  </si>
  <si>
    <t>CAGE Associated 
with Contract</t>
  </si>
  <si>
    <t>USG Customer</t>
  </si>
  <si>
    <t>USG Program</t>
  </si>
  <si>
    <t>Product/Service 1</t>
  </si>
  <si>
    <t>Product/Service 2</t>
  </si>
  <si>
    <t>Product/Service 3</t>
  </si>
  <si>
    <t>Section 11: Research &amp; Development</t>
  </si>
  <si>
    <t xml:space="preserve">Does your location conduct research and development (R&amp;D)? </t>
  </si>
  <si>
    <t>If no, proceed to Section 12.</t>
  </si>
  <si>
    <t>In Question B, record your location's total R&amp;D dollar expenditures and type of R&amp;D expenditure for the previous three years.  
In Question C, identify your location's R&amp;D funding sources, by percent of total R&amp;D dollars sourced.
Note: Location level data is strongly preferred. If you do not keep this information at a location level, provide data at the next highest level available.</t>
  </si>
  <si>
    <t>Source of R&amp;D data:</t>
  </si>
  <si>
    <t>Total R&amp;D Expenditures</t>
  </si>
  <si>
    <t>Total 2015 R&amp;D Expenditures</t>
  </si>
  <si>
    <t>Total of 2 - 4 (must equal 100%)</t>
  </si>
  <si>
    <t>Total R&amp;D Funding Sources</t>
  </si>
  <si>
    <t>Total of 2 - 8 (must equal 100%)</t>
  </si>
  <si>
    <t>Section 12: Financials</t>
  </si>
  <si>
    <t>Provide the following financial line items for your location for the last three years below.  
Note: Location level data is strongly preferred.  If you do not keep this information at a location level, provide data at the next highest level available.</t>
  </si>
  <si>
    <t>Source of Income Statement Items:</t>
  </si>
  <si>
    <t>Income Statement (Select Line Items)</t>
  </si>
  <si>
    <t>Net Sales (and other revenue)</t>
  </si>
  <si>
    <t>Cost of Goods Sold</t>
  </si>
  <si>
    <t>2015 Net Sales</t>
  </si>
  <si>
    <t>Total Operating Income (Loss)</t>
  </si>
  <si>
    <t>Earnings Before Interest and Taxes</t>
  </si>
  <si>
    <t>Net Income</t>
  </si>
  <si>
    <t>Source of Balance Sheet Items:</t>
  </si>
  <si>
    <t>Balance Sheet (Select Line Items)</t>
  </si>
  <si>
    <t>Cash</t>
  </si>
  <si>
    <t>Inventories</t>
  </si>
  <si>
    <t>Total Current Assets</t>
  </si>
  <si>
    <t>Total Assets</t>
  </si>
  <si>
    <t>Total Current Liabilities</t>
  </si>
  <si>
    <t>Total Liabilities</t>
  </si>
  <si>
    <t>Retained Earnings</t>
  </si>
  <si>
    <t>Total Owner's Equity</t>
  </si>
  <si>
    <t>Note: Total Assets must equal Total Liabilities plus Total Owner's Equity</t>
  </si>
  <si>
    <t>Section 13: Challenges and Outreach</t>
  </si>
  <si>
    <t>Identify the issues that have impacted your location in the past three years.
In column A, select YES/NO from the dropdown menu.
In column B, rank your top five issues (one being the most important) by selecting numbers one through five, using each rank exactly once.
In column C, provide an explanation for the relevant issues.</t>
  </si>
  <si>
    <t>Type of Issue</t>
  </si>
  <si>
    <t>-Yes/No-</t>
  </si>
  <si>
    <t>Rank Top 5</t>
  </si>
  <si>
    <t>Explanation of Issue:</t>
  </si>
  <si>
    <t>Aging equipment, facilities, or infrastructure</t>
  </si>
  <si>
    <t>Aging workforce</t>
  </si>
  <si>
    <t>Counterfeit parts</t>
  </si>
  <si>
    <t>Cyber security</t>
  </si>
  <si>
    <t>Domestic competition</t>
  </si>
  <si>
    <t>Environmental regulations/remediation</t>
  </si>
  <si>
    <t>Export controls/ITAR &amp; EAR</t>
  </si>
  <si>
    <t>Foreign competition</t>
  </si>
  <si>
    <t>Government acquisition process</t>
  </si>
  <si>
    <t>Government purchasing volatility</t>
  </si>
  <si>
    <t>Government regulatory burden</t>
  </si>
  <si>
    <t>Healthcare</t>
  </si>
  <si>
    <t>Input availability</t>
  </si>
  <si>
    <t>Intellectual property/patent infringement</t>
  </si>
  <si>
    <t>Labor availability/costs</t>
  </si>
  <si>
    <t>Obsolescence</t>
  </si>
  <si>
    <t>Pension costs</t>
  </si>
  <si>
    <t>Proximity to customers</t>
  </si>
  <si>
    <t>Proximity to suppliers</t>
  </si>
  <si>
    <t>Qualifications/certifications</t>
  </si>
  <si>
    <t>Quality of inputs</t>
  </si>
  <si>
    <t>R&amp;D costs</t>
  </si>
  <si>
    <t>Reduction in USG demand</t>
  </si>
  <si>
    <t>Taxes</t>
  </si>
  <si>
    <t>Worker/skills retention</t>
  </si>
  <si>
    <t>There are many federal and state government programs and services available to assist your organization to better compete in the global marketplace.  If your organization would like more information regarding these government programs, select the specific areas of interest below.  The Commerce Department will follow-up with your organization regarding your selections.</t>
  </si>
  <si>
    <t>Continuous Improvement/ 
Lean Manufacturing</t>
  </si>
  <si>
    <t>Market Expansion/Business Growth</t>
  </si>
  <si>
    <t>Product Design</t>
  </si>
  <si>
    <t>Design for Assembly</t>
  </si>
  <si>
    <t>Prototyping</t>
  </si>
  <si>
    <t>Design for Manufacturability</t>
  </si>
  <si>
    <t>Quality Management and Control</t>
  </si>
  <si>
    <t>Energy and Environmentally Conscious Manufacturing</t>
  </si>
  <si>
    <t>Small Business Innovation Research (SBIR) and Small Business Technology Transfer (STTR) contracts</t>
  </si>
  <si>
    <t>Export Assistance</t>
  </si>
  <si>
    <t>Supply Chain Optimization</t>
  </si>
  <si>
    <t>Export Licensing (ITAR/EAR)</t>
  </si>
  <si>
    <t>Technology Acceleration</t>
  </si>
  <si>
    <t>Government Procurement Guidelines</t>
  </si>
  <si>
    <t>Vendor/Material Sourcing</t>
  </si>
  <si>
    <t>xx</t>
  </si>
  <si>
    <t>Section 14: Certification</t>
  </si>
  <si>
    <t>The undersigned certifies that the information herein supplied in response to this questionnaire is complete and correct to the best of his/her knowledge.  It is a criminal offense to willfully make a false statement or representation to any department or agency of the United States Government as to any matter within its jurisdiction (18 U.S.C.A. 1001 (1984 &amp; SUPP. 1197))
Once this survey is complete, first save it to your computer, and then submit the document via the Census Bureau portal linked here:</t>
  </si>
  <si>
    <t>Verification Metrics</t>
  </si>
  <si>
    <t>Sales/Net Sales</t>
  </si>
  <si>
    <t>Organization's Internet Address</t>
  </si>
  <si>
    <t>Revenue per Employee</t>
  </si>
  <si>
    <t>Name of Authorizing Official</t>
  </si>
  <si>
    <t>Income Progression</t>
  </si>
  <si>
    <t>Title of Authorizing Official</t>
  </si>
  <si>
    <t>Cash/Current Assets</t>
  </si>
  <si>
    <t>Current/Total Assets</t>
  </si>
  <si>
    <t>Phone Number and Extension</t>
  </si>
  <si>
    <t>Current/Total Liabilities</t>
  </si>
  <si>
    <t>Date Certified</t>
  </si>
  <si>
    <t>R&amp;D Sources</t>
  </si>
  <si>
    <t>In the box below, provide any additional comments or any other information you wish to include regarding this survey assessment.</t>
  </si>
  <si>
    <t>Cyber, Physical Expenditures</t>
  </si>
  <si>
    <t>How many hours did it take to complete this survey?</t>
  </si>
  <si>
    <t>Completion Estimate</t>
  </si>
  <si>
    <t>Area</t>
  </si>
  <si>
    <t>Code</t>
  </si>
  <si>
    <t>Category</t>
  </si>
  <si>
    <t>Description</t>
  </si>
  <si>
    <t>A1</t>
  </si>
  <si>
    <t>Ores</t>
  </si>
  <si>
    <t>A2</t>
  </si>
  <si>
    <t>Rare earth minerals</t>
  </si>
  <si>
    <t>A3</t>
  </si>
  <si>
    <t>Alloys</t>
  </si>
  <si>
    <t>A4</t>
  </si>
  <si>
    <t>Chemicals</t>
  </si>
  <si>
    <t>A5</t>
  </si>
  <si>
    <t>Fiber-based materials</t>
  </si>
  <si>
    <t>A6</t>
  </si>
  <si>
    <t>Other raw materials</t>
  </si>
  <si>
    <t>B1</t>
  </si>
  <si>
    <t>Integrated circuits</t>
  </si>
  <si>
    <t>B2</t>
  </si>
  <si>
    <t>Application specific integrated circuits (ASICs)</t>
  </si>
  <si>
    <t>B3</t>
  </si>
  <si>
    <t>Radiation hardened integrated circuits</t>
  </si>
  <si>
    <t>B4</t>
  </si>
  <si>
    <t>Field programmable gate arrays (FPGAs)</t>
  </si>
  <si>
    <t>B5</t>
  </si>
  <si>
    <t>Programmable memory</t>
  </si>
  <si>
    <t>B6</t>
  </si>
  <si>
    <t>Optical filters</t>
  </si>
  <si>
    <t>B7</t>
  </si>
  <si>
    <t>Micro-sensors</t>
  </si>
  <si>
    <t>B8</t>
  </si>
  <si>
    <t>Vacuum tubes</t>
  </si>
  <si>
    <t>B9</t>
  </si>
  <si>
    <t>Capacitors</t>
  </si>
  <si>
    <t>B10</t>
  </si>
  <si>
    <t>Microprocessors</t>
  </si>
  <si>
    <t>B11</t>
  </si>
  <si>
    <t>Microcontrollers</t>
  </si>
  <si>
    <t>B12</t>
  </si>
  <si>
    <t>Digital signal processors</t>
  </si>
  <si>
    <t>B13</t>
  </si>
  <si>
    <t>Diodes</t>
  </si>
  <si>
    <t>B14</t>
  </si>
  <si>
    <t>Wafers (any molecular composition)</t>
  </si>
  <si>
    <t>B15</t>
  </si>
  <si>
    <t>Circuit boards</t>
  </si>
  <si>
    <t>B16</t>
  </si>
  <si>
    <t>Flexible circuit boards</t>
  </si>
  <si>
    <t>B17</t>
  </si>
  <si>
    <t>Other electronic products</t>
  </si>
  <si>
    <t>C1</t>
  </si>
  <si>
    <t>Additive manufacturing (3D printing)</t>
  </si>
  <si>
    <t>C2</t>
  </si>
  <si>
    <t>Computer Numerical Control (CNC) machines</t>
  </si>
  <si>
    <t>C3</t>
  </si>
  <si>
    <t>Lathes, grinding machines, planers, shapers</t>
  </si>
  <si>
    <t>C4</t>
  </si>
  <si>
    <t>Die press lines</t>
  </si>
  <si>
    <t>C5</t>
  </si>
  <si>
    <t>Robot work cells</t>
  </si>
  <si>
    <t>C6</t>
  </si>
  <si>
    <t>Bearings</t>
  </si>
  <si>
    <t>C7</t>
  </si>
  <si>
    <t>Transmission equipment (gears, pulleys, sprockets, belts, torque converters, etc.)</t>
  </si>
  <si>
    <t>C8</t>
  </si>
  <si>
    <t>Welding, soldering, and brazing equipment</t>
  </si>
  <si>
    <t>C9</t>
  </si>
  <si>
    <t>Other manufacturing equipment</t>
  </si>
  <si>
    <t>D1</t>
  </si>
  <si>
    <t>Gas lasers</t>
  </si>
  <si>
    <t>D2</t>
  </si>
  <si>
    <t>Solid state lasers</t>
  </si>
  <si>
    <t>D3</t>
  </si>
  <si>
    <t>Chemical lasers</t>
  </si>
  <si>
    <t>D4</t>
  </si>
  <si>
    <t>Excimer lasers</t>
  </si>
  <si>
    <t>D5</t>
  </si>
  <si>
    <t>Fiber lasers</t>
  </si>
  <si>
    <t>D6</t>
  </si>
  <si>
    <t>Photonic crystal lasers</t>
  </si>
  <si>
    <t>D7</t>
  </si>
  <si>
    <t>Semiconductor lasers</t>
  </si>
  <si>
    <t>D8</t>
  </si>
  <si>
    <t>Dye lasers</t>
  </si>
  <si>
    <t>D9</t>
  </si>
  <si>
    <t>Free electron lasers</t>
  </si>
  <si>
    <t>D10</t>
  </si>
  <si>
    <t>Bio lasers</t>
  </si>
  <si>
    <t>D11</t>
  </si>
  <si>
    <t>Other laser products</t>
  </si>
  <si>
    <t>E1</t>
  </si>
  <si>
    <t>Directed electromagnetic radiation (not lasers)</t>
  </si>
  <si>
    <t>E2</t>
  </si>
  <si>
    <t>Directed particles with mass</t>
  </si>
  <si>
    <t>E3</t>
  </si>
  <si>
    <t>Directed sound</t>
  </si>
  <si>
    <t>E4</t>
  </si>
  <si>
    <t>Other directed energy products</t>
  </si>
  <si>
    <t>F1</t>
  </si>
  <si>
    <t>Optics</t>
  </si>
  <si>
    <t>F2</t>
  </si>
  <si>
    <t>Fiber optics</t>
  </si>
  <si>
    <t>F3</t>
  </si>
  <si>
    <t>Polarization</t>
  </si>
  <si>
    <t>F4</t>
  </si>
  <si>
    <t>Reflective coatings</t>
  </si>
  <si>
    <t>F5</t>
  </si>
  <si>
    <t>Refractive coatings</t>
  </si>
  <si>
    <t>F6</t>
  </si>
  <si>
    <t>Lenses</t>
  </si>
  <si>
    <t>F7</t>
  </si>
  <si>
    <t>Other optics products</t>
  </si>
  <si>
    <t>G1</t>
  </si>
  <si>
    <t>Active sonar</t>
  </si>
  <si>
    <t>G2</t>
  </si>
  <si>
    <t>Passive sonar</t>
  </si>
  <si>
    <t>G3</t>
  </si>
  <si>
    <t>Sonobouys</t>
  </si>
  <si>
    <t>G4</t>
  </si>
  <si>
    <t>Commercial off-the-shelf equipment used for sonar</t>
  </si>
  <si>
    <t>G5</t>
  </si>
  <si>
    <t>Other sensor products</t>
  </si>
  <si>
    <t>H1</t>
  </si>
  <si>
    <t>Inertial measuring units</t>
  </si>
  <si>
    <t>H2</t>
  </si>
  <si>
    <t>Gyroscopes</t>
  </si>
  <si>
    <t>H3</t>
  </si>
  <si>
    <t>Global Positioning Systems</t>
  </si>
  <si>
    <t>H4</t>
  </si>
  <si>
    <t>Atomic clocks</t>
  </si>
  <si>
    <t>H5</t>
  </si>
  <si>
    <t>Accelerometers</t>
  </si>
  <si>
    <t>H6</t>
  </si>
  <si>
    <t>Other positioning, navigation, or timing products</t>
  </si>
  <si>
    <t>I1</t>
  </si>
  <si>
    <t>Mechanically steered radars</t>
  </si>
  <si>
    <t>I2</t>
  </si>
  <si>
    <t>Electronically steered radars</t>
  </si>
  <si>
    <t>I3</t>
  </si>
  <si>
    <t>Phase adaptive radars</t>
  </si>
  <si>
    <t>I4</t>
  </si>
  <si>
    <t>Pulse radars</t>
  </si>
  <si>
    <t>I5</t>
  </si>
  <si>
    <t>Continuous wave radars</t>
  </si>
  <si>
    <t>I6</t>
  </si>
  <si>
    <t>Other radar products</t>
  </si>
  <si>
    <t>J1</t>
  </si>
  <si>
    <t>Compounds or materials engineered to reduce or eliminate a signature</t>
  </si>
  <si>
    <t>J2</t>
  </si>
  <si>
    <t>Chemical compositions of signature control compounds</t>
  </si>
  <si>
    <t>J3</t>
  </si>
  <si>
    <t>Processes used to apply signature control compounds</t>
  </si>
  <si>
    <t>J4</t>
  </si>
  <si>
    <t>Other signature control products</t>
  </si>
  <si>
    <t>K1</t>
  </si>
  <si>
    <t>Fixed wing combat aircraft</t>
  </si>
  <si>
    <t>K2</t>
  </si>
  <si>
    <t>Other fixed wing aircraft, including cargo and transport</t>
  </si>
  <si>
    <t>K3</t>
  </si>
  <si>
    <t>Rotary wing aircraft (including helicopters)</t>
  </si>
  <si>
    <t>K4</t>
  </si>
  <si>
    <t>Unmanned aerial vehicles and drones</t>
  </si>
  <si>
    <t>K5</t>
  </si>
  <si>
    <t>Airframes and structural components (including rotor blades, landing gear, hydraulics, etc.)</t>
  </si>
  <si>
    <t>K6</t>
  </si>
  <si>
    <t>Other aeronautic products</t>
  </si>
  <si>
    <t>L1</t>
  </si>
  <si>
    <t>Space launch vehicles</t>
  </si>
  <si>
    <t>L2</t>
  </si>
  <si>
    <t>Satellites and satellite buses</t>
  </si>
  <si>
    <t>L3</t>
  </si>
  <si>
    <t>Space survivability systems and equipment</t>
  </si>
  <si>
    <t>L4</t>
  </si>
  <si>
    <t>Solid rocket motors and related equipment</t>
  </si>
  <si>
    <t>L5</t>
  </si>
  <si>
    <t>Liquid rocket motors and related equipment</t>
  </si>
  <si>
    <t>L6</t>
  </si>
  <si>
    <t>Other space system products</t>
  </si>
  <si>
    <t>M1</t>
  </si>
  <si>
    <t>Combat ships and landing vessels</t>
  </si>
  <si>
    <t>M2</t>
  </si>
  <si>
    <t>Transport vessels</t>
  </si>
  <si>
    <t>M3</t>
  </si>
  <si>
    <t>Cargo and tanker vessels</t>
  </si>
  <si>
    <t>M4</t>
  </si>
  <si>
    <t>Submarines</t>
  </si>
  <si>
    <t>M5</t>
  </si>
  <si>
    <t>Other marine systems</t>
  </si>
  <si>
    <t>N1</t>
  </si>
  <si>
    <t>Light armored vehicles &amp; designs</t>
  </si>
  <si>
    <t>N2</t>
  </si>
  <si>
    <t>Medium tactical vehicles &amp; designs</t>
  </si>
  <si>
    <t>N3</t>
  </si>
  <si>
    <t>M1 Abrams variations of heavy tanks &amp; designs</t>
  </si>
  <si>
    <t>N4</t>
  </si>
  <si>
    <t>Transport vehicles &amp; designs</t>
  </si>
  <si>
    <t>N5</t>
  </si>
  <si>
    <t>Wheeled or tracked vehicles not specified above</t>
  </si>
  <si>
    <t>N6</t>
  </si>
  <si>
    <t>Unmanned ground systems</t>
  </si>
  <si>
    <t>N7</t>
  </si>
  <si>
    <t>Other ground system products</t>
  </si>
  <si>
    <t>O1</t>
  </si>
  <si>
    <t>Conventional small arms (5.56mm to .50 cal)</t>
  </si>
  <si>
    <t>O2</t>
  </si>
  <si>
    <t>Automatic and semi-automatic weapons</t>
  </si>
  <si>
    <t>O3</t>
  </si>
  <si>
    <t>Mortar rounds</t>
  </si>
  <si>
    <t>O4</t>
  </si>
  <si>
    <t>Artillery rounds</t>
  </si>
  <si>
    <t>O5</t>
  </si>
  <si>
    <t>Rockets (endo and exoatmospheric)</t>
  </si>
  <si>
    <t>O6</t>
  </si>
  <si>
    <t>Missiles</t>
  </si>
  <si>
    <t>O7</t>
  </si>
  <si>
    <t>Hypervelocity weapons</t>
  </si>
  <si>
    <t>O8</t>
  </si>
  <si>
    <t>Launchers (missile, torpedo, rocket, etc.)</t>
  </si>
  <si>
    <t>O9</t>
  </si>
  <si>
    <t>Underwater explosives (mines, torpedos, etc.)</t>
  </si>
  <si>
    <t>O10</t>
  </si>
  <si>
    <t>Fire control systems and components</t>
  </si>
  <si>
    <t>O11</t>
  </si>
  <si>
    <t>Body armor</t>
  </si>
  <si>
    <t>O12</t>
  </si>
  <si>
    <t>Other armor</t>
  </si>
  <si>
    <t>O13</t>
  </si>
  <si>
    <t>Other armaments, explosives, or survivability products</t>
  </si>
  <si>
    <t>P1</t>
  </si>
  <si>
    <t>Gas turbine engines</t>
  </si>
  <si>
    <t>P2</t>
  </si>
  <si>
    <t>Rocket engines</t>
  </si>
  <si>
    <t>P3</t>
  </si>
  <si>
    <t>Generators</t>
  </si>
  <si>
    <t>P4</t>
  </si>
  <si>
    <t>Combustion engines</t>
  </si>
  <si>
    <t>P5</t>
  </si>
  <si>
    <t>Turbo fan engines</t>
  </si>
  <si>
    <t>P6</t>
  </si>
  <si>
    <t>Catapults</t>
  </si>
  <si>
    <t>P7</t>
  </si>
  <si>
    <t>Batteries</t>
  </si>
  <si>
    <t>P8</t>
  </si>
  <si>
    <t>Propellants</t>
  </si>
  <si>
    <t>P9</t>
  </si>
  <si>
    <t>Other energy systems products</t>
  </si>
  <si>
    <t>Q1</t>
  </si>
  <si>
    <t>Nuclear reactors</t>
  </si>
  <si>
    <t>Q2</t>
  </si>
  <si>
    <t>Nuclear weapon design and capabilities</t>
  </si>
  <si>
    <t>Q3</t>
  </si>
  <si>
    <t>Nuclear weapon destruction and demilitarization technology</t>
  </si>
  <si>
    <t>Q4</t>
  </si>
  <si>
    <t>Protective clothing</t>
  </si>
  <si>
    <t>Q5</t>
  </si>
  <si>
    <t>Radiation detective devices (e.g. Geiger counters)</t>
  </si>
  <si>
    <t>Q6</t>
  </si>
  <si>
    <t>Radioactive material storage</t>
  </si>
  <si>
    <t>Q7</t>
  </si>
  <si>
    <t>Nuclear disaster response equipment</t>
  </si>
  <si>
    <t>Q8</t>
  </si>
  <si>
    <t>Other nuclear products</t>
  </si>
  <si>
    <t>R1</t>
  </si>
  <si>
    <t>DNA research</t>
  </si>
  <si>
    <t>R2</t>
  </si>
  <si>
    <t>RNA research</t>
  </si>
  <si>
    <t>R3</t>
  </si>
  <si>
    <t>Biological or physiological research</t>
  </si>
  <si>
    <t>R4</t>
  </si>
  <si>
    <t>Biological weapons destruction and demilitarization technology</t>
  </si>
  <si>
    <t>R5</t>
  </si>
  <si>
    <t>Biological agent detection equipment</t>
  </si>
  <si>
    <t>R6</t>
  </si>
  <si>
    <t>Biological disaster response equipment</t>
  </si>
  <si>
    <t>R7</t>
  </si>
  <si>
    <t>Other biological products</t>
  </si>
  <si>
    <t>S1</t>
  </si>
  <si>
    <t>Chemical research</t>
  </si>
  <si>
    <t>S2</t>
  </si>
  <si>
    <t>Chemical weapons destruction and demilitarization technology</t>
  </si>
  <si>
    <t>S3</t>
  </si>
  <si>
    <t>Chemical agent detection equipment</t>
  </si>
  <si>
    <t>S4</t>
  </si>
  <si>
    <t>Chemical disaster response equipment</t>
  </si>
  <si>
    <t>S5</t>
  </si>
  <si>
    <t>Other chemical products</t>
  </si>
  <si>
    <t>T1</t>
  </si>
  <si>
    <t>Nanotechnology</t>
  </si>
  <si>
    <t>T2</t>
  </si>
  <si>
    <t>Synthetic biology</t>
  </si>
  <si>
    <t>T3</t>
  </si>
  <si>
    <t>Energetic materials</t>
  </si>
  <si>
    <t>T4</t>
  </si>
  <si>
    <t>Quantum systems</t>
  </si>
  <si>
    <t>T5</t>
  </si>
  <si>
    <t>Computational modeling of human behavior</t>
  </si>
  <si>
    <t>T6</t>
  </si>
  <si>
    <t>Cognitive neuroscience</t>
  </si>
  <si>
    <t>T7</t>
  </si>
  <si>
    <t>Other emerging technology</t>
  </si>
  <si>
    <t>U1</t>
  </si>
  <si>
    <t>Soil cultivation machinery</t>
  </si>
  <si>
    <t>U2</t>
  </si>
  <si>
    <t>Planting machinery</t>
  </si>
  <si>
    <t>U3</t>
  </si>
  <si>
    <t>Irrigation machinery</t>
  </si>
  <si>
    <t>U4</t>
  </si>
  <si>
    <t>Produce sorters</t>
  </si>
  <si>
    <t>U5</t>
  </si>
  <si>
    <t>Harvesting technology</t>
  </si>
  <si>
    <t>U6</t>
  </si>
  <si>
    <t>Other agricultural products</t>
  </si>
  <si>
    <t>V1</t>
  </si>
  <si>
    <t>Electron microscopes</t>
  </si>
  <si>
    <t>V2</t>
  </si>
  <si>
    <t>Sonograms</t>
  </si>
  <si>
    <t>V3</t>
  </si>
  <si>
    <t>Magnetic Resonance Image (MRI) machines</t>
  </si>
  <si>
    <t>V4</t>
  </si>
  <si>
    <t>X-radiation machines</t>
  </si>
  <si>
    <t>V5</t>
  </si>
  <si>
    <t>Medicine distribution technology</t>
  </si>
  <si>
    <t>V6</t>
  </si>
  <si>
    <t>Disease and vector research</t>
  </si>
  <si>
    <t>V7</t>
  </si>
  <si>
    <t>Other medical products</t>
  </si>
  <si>
    <t>W1</t>
  </si>
  <si>
    <t>Common data links</t>
  </si>
  <si>
    <t>W2</t>
  </si>
  <si>
    <t>Monitors</t>
  </si>
  <si>
    <t>W3</t>
  </si>
  <si>
    <t>Printers</t>
  </si>
  <si>
    <t>W4</t>
  </si>
  <si>
    <t>Telecommunication devices (phones, cell phones, radios, radio mounts)</t>
  </si>
  <si>
    <t>W5</t>
  </si>
  <si>
    <t>Commercial off-the-shelf equipment used for C4</t>
  </si>
  <si>
    <t>W6</t>
  </si>
  <si>
    <t>Computers and CPUs</t>
  </si>
  <si>
    <t>W7</t>
  </si>
  <si>
    <t>Antennas</t>
  </si>
  <si>
    <t>W8</t>
  </si>
  <si>
    <t>Beyond the line of sight C2</t>
  </si>
  <si>
    <t>W9</t>
  </si>
  <si>
    <t>Line of sight C2</t>
  </si>
  <si>
    <t>W10</t>
  </si>
  <si>
    <t>Other C4 products and IT equipment</t>
  </si>
  <si>
    <t>X1</t>
  </si>
  <si>
    <t>Computer aided design (CAD) software</t>
  </si>
  <si>
    <t>X2</t>
  </si>
  <si>
    <t>Modeling and simulation software</t>
  </si>
  <si>
    <t>X3</t>
  </si>
  <si>
    <t>Artificial intelligence software</t>
  </si>
  <si>
    <t>X4</t>
  </si>
  <si>
    <t>Swarm software</t>
  </si>
  <si>
    <t>X5</t>
  </si>
  <si>
    <t>Microelectronic design software</t>
  </si>
  <si>
    <t>X6</t>
  </si>
  <si>
    <t>System development kits (SDK)</t>
  </si>
  <si>
    <t>X7</t>
  </si>
  <si>
    <t>Software algorithms</t>
  </si>
  <si>
    <t>X8</t>
  </si>
  <si>
    <t>Correlation software</t>
  </si>
  <si>
    <t>X9</t>
  </si>
  <si>
    <t>Database</t>
  </si>
  <si>
    <t>X10</t>
  </si>
  <si>
    <t>Computer language software</t>
  </si>
  <si>
    <t>X11</t>
  </si>
  <si>
    <t>Operating systems</t>
  </si>
  <si>
    <t>X12</t>
  </si>
  <si>
    <t>Finance and accounting software</t>
  </si>
  <si>
    <t>X13</t>
  </si>
  <si>
    <t>Other software products</t>
  </si>
  <si>
    <t>Y1</t>
  </si>
  <si>
    <t>Analytic services</t>
  </si>
  <si>
    <t>Y2</t>
  </si>
  <si>
    <t>Canine training services</t>
  </si>
  <si>
    <t>Y3</t>
  </si>
  <si>
    <t>Construction</t>
  </si>
  <si>
    <t>Y4</t>
  </si>
  <si>
    <t>Consulting services</t>
  </si>
  <si>
    <t>Y5</t>
  </si>
  <si>
    <t>Delivery and freight services</t>
  </si>
  <si>
    <t>Y6</t>
  </si>
  <si>
    <t>Education and training services</t>
  </si>
  <si>
    <t>Y7</t>
  </si>
  <si>
    <t>Engineering services</t>
  </si>
  <si>
    <t>Y8</t>
  </si>
  <si>
    <t>Financial and banking services</t>
  </si>
  <si>
    <t>Y9</t>
  </si>
  <si>
    <t>General contracting</t>
  </si>
  <si>
    <t>Y10</t>
  </si>
  <si>
    <t>Graphic arts, video, digital production services</t>
  </si>
  <si>
    <t>Y11</t>
  </si>
  <si>
    <t>Information technology services</t>
  </si>
  <si>
    <t>Y12</t>
  </si>
  <si>
    <t>Internet service provision</t>
  </si>
  <si>
    <t>Y13</t>
  </si>
  <si>
    <t>Janitorial services</t>
  </si>
  <si>
    <t>Y14</t>
  </si>
  <si>
    <t>Legal services</t>
  </si>
  <si>
    <t>Y15</t>
  </si>
  <si>
    <t>Logistical services</t>
  </si>
  <si>
    <t>Y16</t>
  </si>
  <si>
    <t>Marketing services</t>
  </si>
  <si>
    <t>Y17</t>
  </si>
  <si>
    <t>Medical services</t>
  </si>
  <si>
    <t>Y18</t>
  </si>
  <si>
    <t>Professional Services</t>
  </si>
  <si>
    <t>Y19</t>
  </si>
  <si>
    <t>Property management services</t>
  </si>
  <si>
    <t>Y20</t>
  </si>
  <si>
    <t>Security and protection services</t>
  </si>
  <si>
    <t>Y21</t>
  </si>
  <si>
    <t>Staffing services</t>
  </si>
  <si>
    <t>Y22</t>
  </si>
  <si>
    <t>Telecommunication services</t>
  </si>
  <si>
    <t>Y23</t>
  </si>
  <si>
    <t>Translation services</t>
  </si>
  <si>
    <t>Y24</t>
  </si>
  <si>
    <t>Transportation services</t>
  </si>
  <si>
    <t>Y25</t>
  </si>
  <si>
    <t>Other services</t>
  </si>
  <si>
    <t>Y26</t>
  </si>
  <si>
    <t>Products not listed</t>
  </si>
  <si>
    <t>List Name</t>
  </si>
  <si>
    <t>MAILING YEAR</t>
  </si>
  <si>
    <t>YesNo</t>
  </si>
  <si>
    <t>YesNoUnk</t>
  </si>
  <si>
    <t>YesNoNA</t>
  </si>
  <si>
    <t>PubPriv</t>
  </si>
  <si>
    <t>PrimAdd</t>
  </si>
  <si>
    <t>MAD</t>
  </si>
  <si>
    <t>Objectives</t>
  </si>
  <si>
    <t>JVReason</t>
  </si>
  <si>
    <t>EndUse</t>
  </si>
  <si>
    <t>ExportControl</t>
  </si>
  <si>
    <t>SupportType</t>
  </si>
  <si>
    <t>OtherAgency</t>
  </si>
  <si>
    <t>AllAgencies</t>
  </si>
  <si>
    <t>NA</t>
  </si>
  <si>
    <t>PrimeSub</t>
  </si>
  <si>
    <t>SoleSingle</t>
  </si>
  <si>
    <t>Level</t>
  </si>
  <si>
    <t>YearType</t>
  </si>
  <si>
    <t>CustomerType</t>
  </si>
  <si>
    <t>HowMany</t>
  </si>
  <si>
    <t>OpType</t>
  </si>
  <si>
    <t>LocPar</t>
  </si>
  <si>
    <t>NetOps</t>
  </si>
  <si>
    <t>DiffWorkforce</t>
  </si>
  <si>
    <t>number</t>
  </si>
  <si>
    <t>CyberInvestigate</t>
  </si>
  <si>
    <t>YNUnk</t>
  </si>
  <si>
    <t>Program List - Unsorted</t>
  </si>
  <si>
    <t>Program List - Sorted</t>
  </si>
  <si>
    <t>Product/Service List - Unsorted</t>
  </si>
  <si>
    <t>Product/Service List - Sorted</t>
  </si>
  <si>
    <t>PossNon</t>
  </si>
  <si>
    <t>Publicly Traded</t>
  </si>
  <si>
    <t>Acquisition</t>
  </si>
  <si>
    <t>Access to government contracts</t>
  </si>
  <si>
    <t>Access to financial resources</t>
  </si>
  <si>
    <t>Product Only</t>
  </si>
  <si>
    <t>Defense</t>
  </si>
  <si>
    <t>ITAR</t>
  </si>
  <si>
    <t>Direct</t>
  </si>
  <si>
    <t>DOD Defense Finance and Accounting Service</t>
  </si>
  <si>
    <t>Prime Contractor</t>
  </si>
  <si>
    <t>Calendar Year</t>
  </si>
  <si>
    <t>Commercial</t>
  </si>
  <si>
    <t>All</t>
  </si>
  <si>
    <t>Store</t>
  </si>
  <si>
    <t>Internal IT Department</t>
  </si>
  <si>
    <t>Hiring</t>
  </si>
  <si>
    <t>Not Applicable</t>
  </si>
  <si>
    <t>Privately Held</t>
  </si>
  <si>
    <t>Alaska</t>
  </si>
  <si>
    <t>Afghanistan</t>
  </si>
  <si>
    <t>Additional Business Line</t>
  </si>
  <si>
    <t>Merger</t>
  </si>
  <si>
    <t>Access to intellectual property</t>
  </si>
  <si>
    <t>Access to suppliers</t>
  </si>
  <si>
    <t>Service Only</t>
  </si>
  <si>
    <t>EAR</t>
  </si>
  <si>
    <t>Indirect</t>
  </si>
  <si>
    <t>DOD Defense Threat Reduction Agency</t>
  </si>
  <si>
    <t>This location does not support any of the USG programs listed below.</t>
  </si>
  <si>
    <t>Sub-Contractor</t>
  </si>
  <si>
    <t>Fiscal Year</t>
  </si>
  <si>
    <t>Government Defense</t>
  </si>
  <si>
    <t>Most</t>
  </si>
  <si>
    <t>Perform</t>
  </si>
  <si>
    <t>Parent</t>
  </si>
  <si>
    <t>Internal IT Department and U.S. external provider(s)</t>
  </si>
  <si>
    <t>Retaining</t>
  </si>
  <si>
    <t>Non-Possessing</t>
  </si>
  <si>
    <t>Both</t>
  </si>
  <si>
    <t>Arizona</t>
  </si>
  <si>
    <t>Albania</t>
  </si>
  <si>
    <t>Divestiture</t>
  </si>
  <si>
    <t>Bankruptcy restructuring/litigation</t>
  </si>
  <si>
    <t>Access to technological resources</t>
  </si>
  <si>
    <t>DOD Joint Chiefs of Staff</t>
  </si>
  <si>
    <t>Other Support</t>
  </si>
  <si>
    <t>Government Non-Defense</t>
  </si>
  <si>
    <t>Some</t>
  </si>
  <si>
    <t>Internal IT Department and non-U.S. external provider(s)</t>
  </si>
  <si>
    <t>Yes, and discovered source</t>
  </si>
  <si>
    <t>Unknown</t>
  </si>
  <si>
    <t>Arkansas</t>
  </si>
  <si>
    <t>Algeria</t>
  </si>
  <si>
    <t>Broaden customer base</t>
  </si>
  <si>
    <t>Creation of new technologies</t>
  </si>
  <si>
    <t>DOD Office of the Secretary of Defense</t>
  </si>
  <si>
    <t>University/Non-Profit</t>
  </si>
  <si>
    <t>Few</t>
  </si>
  <si>
    <t>Internal IT Department and U.S. and non-U.S. external provider(s)</t>
  </si>
  <si>
    <t>Yes, but could not determine source</t>
  </si>
  <si>
    <t>California</t>
  </si>
  <si>
    <t>American Samoa</t>
  </si>
  <si>
    <t>Develop new capabilities</t>
  </si>
  <si>
    <t>Diversification</t>
  </si>
  <si>
    <t>DOD Washington Headquarters Service</t>
  </si>
  <si>
    <t xml:space="preserve">Only U.S. external provider(s) </t>
  </si>
  <si>
    <t>Colorado</t>
  </si>
  <si>
    <t>Andorra</t>
  </si>
  <si>
    <t>Overcome market entry barrier/Geopolitical concerns</t>
  </si>
  <si>
    <t>Improved access to foreign markets</t>
  </si>
  <si>
    <t>DOD Other</t>
  </si>
  <si>
    <t>DOD Defense Advanced Research Projects Agency</t>
  </si>
  <si>
    <t xml:space="preserve">Only non-U.S. external provider(s) </t>
  </si>
  <si>
    <t>Connecticut</t>
  </si>
  <si>
    <t>Angola</t>
  </si>
  <si>
    <t>R&amp;D access/coordination</t>
  </si>
  <si>
    <t>Improved access to U.S. markets</t>
  </si>
  <si>
    <t>Department of Agriculture</t>
  </si>
  <si>
    <t>U.S. and non-U.S. external provider(s)</t>
  </si>
  <si>
    <t>Delaware</t>
  </si>
  <si>
    <t>Anguilla</t>
  </si>
  <si>
    <t>Reduce Costs</t>
  </si>
  <si>
    <t>Product improvements</t>
  </si>
  <si>
    <t>Department of Commerce</t>
  </si>
  <si>
    <t>District of Columbia</t>
  </si>
  <si>
    <t>Antigua and Barbuda</t>
  </si>
  <si>
    <t>Tax-related</t>
  </si>
  <si>
    <t>Reduced costs</t>
  </si>
  <si>
    <t>Department of Education</t>
  </si>
  <si>
    <t>DOD Department of Defense</t>
  </si>
  <si>
    <t>Florida</t>
  </si>
  <si>
    <t>Argentina</t>
  </si>
  <si>
    <t>Other objective/purpose (Explain)</t>
  </si>
  <si>
    <t>Reduced lead times</t>
  </si>
  <si>
    <t>Department of Health and Human Services</t>
  </si>
  <si>
    <t>Georgia</t>
  </si>
  <si>
    <t>Armenia</t>
  </si>
  <si>
    <t>Risk sharing</t>
  </si>
  <si>
    <t>Department of Justice</t>
  </si>
  <si>
    <t>DOD Missile Defense Agency</t>
  </si>
  <si>
    <t>Hawaii</t>
  </si>
  <si>
    <t>Aruba</t>
  </si>
  <si>
    <t>Shared/improved technology or skills</t>
  </si>
  <si>
    <t>Department of Labor</t>
  </si>
  <si>
    <t>Idaho</t>
  </si>
  <si>
    <t>Australia</t>
  </si>
  <si>
    <t>Department of the Interior</t>
  </si>
  <si>
    <t>Illinois</t>
  </si>
  <si>
    <t>Austria</t>
  </si>
  <si>
    <t>Department of the Treasury</t>
  </si>
  <si>
    <t>Indiana</t>
  </si>
  <si>
    <t>Azerbaijan</t>
  </si>
  <si>
    <t>Department of Transportation</t>
  </si>
  <si>
    <t>U.S. Intelligence Community (such as CIA, NGA, NRO, NSA, etc.)</t>
  </si>
  <si>
    <t>Iowa</t>
  </si>
  <si>
    <t>Bahamas</t>
  </si>
  <si>
    <t>Environmental Protection Agency</t>
  </si>
  <si>
    <t>Kansas</t>
  </si>
  <si>
    <t>Bahrain</t>
  </si>
  <si>
    <t>Federal Communications Commission</t>
  </si>
  <si>
    <t>Kentucky</t>
  </si>
  <si>
    <t>Bangladesh</t>
  </si>
  <si>
    <t>General Services Administration</t>
  </si>
  <si>
    <t>Louisiana</t>
  </si>
  <si>
    <t>Barbados</t>
  </si>
  <si>
    <t>National Archives and Records Administration</t>
  </si>
  <si>
    <t>Maine</t>
  </si>
  <si>
    <t>Belarus</t>
  </si>
  <si>
    <t>Nuclear Regulatory Commission</t>
  </si>
  <si>
    <t>Department of Homeland Security</t>
  </si>
  <si>
    <t>Maryland</t>
  </si>
  <si>
    <t>Belgium</t>
  </si>
  <si>
    <t>Office of Personnel Management (OPM)</t>
  </si>
  <si>
    <t>Massachusetts</t>
  </si>
  <si>
    <t>Belize</t>
  </si>
  <si>
    <t>United States International Trade Commission</t>
  </si>
  <si>
    <t>Michigan</t>
  </si>
  <si>
    <t>Benin</t>
  </si>
  <si>
    <t>United States Trade Representative</t>
  </si>
  <si>
    <t>Minnesota</t>
  </si>
  <si>
    <t>Bermuda</t>
  </si>
  <si>
    <t>Department of Veterans Affairs</t>
  </si>
  <si>
    <t>Mississippi</t>
  </si>
  <si>
    <t>Bhutan</t>
  </si>
  <si>
    <t>White House Communications Agency</t>
  </si>
  <si>
    <t>Missouri</t>
  </si>
  <si>
    <t>Bolivia</t>
  </si>
  <si>
    <t>Classified</t>
  </si>
  <si>
    <t>Montana</t>
  </si>
  <si>
    <t>Bosnia and Herzegovina</t>
  </si>
  <si>
    <t>Nebraska</t>
  </si>
  <si>
    <t>Botswana</t>
  </si>
  <si>
    <t>Nevada</t>
  </si>
  <si>
    <t>Brazil</t>
  </si>
  <si>
    <t>New Hampshire</t>
  </si>
  <si>
    <t>British Indian Ocean Territory</t>
  </si>
  <si>
    <t>National Aeronautics and Space Administration</t>
  </si>
  <si>
    <t>New Jersey</t>
  </si>
  <si>
    <t>British Virgin Islands</t>
  </si>
  <si>
    <t>New Mexico</t>
  </si>
  <si>
    <t>Brunei</t>
  </si>
  <si>
    <t>New York</t>
  </si>
  <si>
    <t>Bulgaria</t>
  </si>
  <si>
    <t>Office of Personnel Management</t>
  </si>
  <si>
    <t>North Carolina</t>
  </si>
  <si>
    <t>Burkina Faso</t>
  </si>
  <si>
    <t>North Dakota</t>
  </si>
  <si>
    <t>Burma (Myanmar)</t>
  </si>
  <si>
    <t>Ohio</t>
  </si>
  <si>
    <t>Burundi</t>
  </si>
  <si>
    <t>Department of Energy</t>
  </si>
  <si>
    <t>Oklahoma</t>
  </si>
  <si>
    <t>Cabo Verde</t>
  </si>
  <si>
    <t>Oregon</t>
  </si>
  <si>
    <t>Cambodia</t>
  </si>
  <si>
    <t>Director of National Intelligence</t>
  </si>
  <si>
    <t>Pennsylvania</t>
  </si>
  <si>
    <t>Cameroon</t>
  </si>
  <si>
    <t>Rhode Island</t>
  </si>
  <si>
    <t>Canada</t>
  </si>
  <si>
    <t>South Carolina</t>
  </si>
  <si>
    <t>Cayman Islands</t>
  </si>
  <si>
    <t>South Dakota</t>
  </si>
  <si>
    <t>Central African Republic</t>
  </si>
  <si>
    <t>Tennessee</t>
  </si>
  <si>
    <t>Chad</t>
  </si>
  <si>
    <t>Texas</t>
  </si>
  <si>
    <t>Chile</t>
  </si>
  <si>
    <t>Utah</t>
  </si>
  <si>
    <t>China</t>
  </si>
  <si>
    <t>Vermont</t>
  </si>
  <si>
    <t>Christmas Island (in the Indian Ocean)</t>
  </si>
  <si>
    <t>Virginia</t>
  </si>
  <si>
    <t>Cocos (Keeling) Islands</t>
  </si>
  <si>
    <t>Washington</t>
  </si>
  <si>
    <t>Colombia</t>
  </si>
  <si>
    <t>West Virginia</t>
  </si>
  <si>
    <t>Comoros</t>
  </si>
  <si>
    <t>Wisconsin</t>
  </si>
  <si>
    <t>Congo (Kinshasa)</t>
  </si>
  <si>
    <t>Wyoming</t>
  </si>
  <si>
    <t>Congo (Brazzaville)</t>
  </si>
  <si>
    <t>Cook Islands</t>
  </si>
  <si>
    <t>Costa Rica</t>
  </si>
  <si>
    <t>Cote d'Ivoire</t>
  </si>
  <si>
    <t>Croatia</t>
  </si>
  <si>
    <t>Cuba</t>
  </si>
  <si>
    <t>Curacao</t>
  </si>
  <si>
    <t>Cyprus</t>
  </si>
  <si>
    <t>Czech Republic</t>
  </si>
  <si>
    <t>Denmark, except Greenland</t>
  </si>
  <si>
    <t>Djibouti</t>
  </si>
  <si>
    <t>Dominica</t>
  </si>
  <si>
    <t>Dominican Republic</t>
  </si>
  <si>
    <t>Ecuador</t>
  </si>
  <si>
    <t>Egypt</t>
  </si>
  <si>
    <t>El Salvador</t>
  </si>
  <si>
    <t>Equatorial Guinea</t>
  </si>
  <si>
    <t>Eritrea</t>
  </si>
  <si>
    <t>Estonia</t>
  </si>
  <si>
    <t>Ethiopia</t>
  </si>
  <si>
    <t>Falkland Islands (Islas Malvinas)</t>
  </si>
  <si>
    <t>Faroe Islands</t>
  </si>
  <si>
    <t>Fiji</t>
  </si>
  <si>
    <t>Finland</t>
  </si>
  <si>
    <t>France</t>
  </si>
  <si>
    <t>French Guiana</t>
  </si>
  <si>
    <t>French Polynesia</t>
  </si>
  <si>
    <t>French Southern and Antarctic Lands</t>
  </si>
  <si>
    <t>Gabon</t>
  </si>
  <si>
    <t>Gambia</t>
  </si>
  <si>
    <t>Gaza Strip administered by Israel</t>
  </si>
  <si>
    <t>Germany</t>
  </si>
  <si>
    <t>Ghana</t>
  </si>
  <si>
    <t>Gibraltar</t>
  </si>
  <si>
    <t>Greece</t>
  </si>
  <si>
    <t>Greenland</t>
  </si>
  <si>
    <t>Grenada</t>
  </si>
  <si>
    <t>Guadeloupe</t>
  </si>
  <si>
    <t>Guam</t>
  </si>
  <si>
    <t>Guatemala</t>
  </si>
  <si>
    <t>Guinea</t>
  </si>
  <si>
    <t>Guinea-Bissau</t>
  </si>
  <si>
    <t>Guyana</t>
  </si>
  <si>
    <t>Haiti</t>
  </si>
  <si>
    <t>Heard Island and McDonald Islands</t>
  </si>
  <si>
    <t>Holy See (Vatican City)</t>
  </si>
  <si>
    <t>Honduras</t>
  </si>
  <si>
    <t>Hong Kong</t>
  </si>
  <si>
    <t>Hungary</t>
  </si>
  <si>
    <t>Iceland</t>
  </si>
  <si>
    <t>India</t>
  </si>
  <si>
    <t>Indonesia</t>
  </si>
  <si>
    <t>Iran</t>
  </si>
  <si>
    <t>Iraq</t>
  </si>
  <si>
    <t>Ireland</t>
  </si>
  <si>
    <t>Israel</t>
  </si>
  <si>
    <t>Italy</t>
  </si>
  <si>
    <t>Jamaica</t>
  </si>
  <si>
    <t>Japan</t>
  </si>
  <si>
    <t>Jordan</t>
  </si>
  <si>
    <t>Kazakhstan</t>
  </si>
  <si>
    <t>Kenya</t>
  </si>
  <si>
    <t>Kiribati</t>
  </si>
  <si>
    <t>Kosovo</t>
  </si>
  <si>
    <t>Kuwait</t>
  </si>
  <si>
    <t>Kyrgyzstan</t>
  </si>
  <si>
    <t>Laos (Lao People's Democratic Republic)</t>
  </si>
  <si>
    <t>Latvia</t>
  </si>
  <si>
    <t>Lebanon</t>
  </si>
  <si>
    <t>Lesotho</t>
  </si>
  <si>
    <t>Liberia</t>
  </si>
  <si>
    <t>Libya</t>
  </si>
  <si>
    <t>Liechtenstein</t>
  </si>
  <si>
    <t>Lithuania</t>
  </si>
  <si>
    <t>Luxembourg</t>
  </si>
  <si>
    <t>Macao</t>
  </si>
  <si>
    <t>Macedonia</t>
  </si>
  <si>
    <t>Madagascar</t>
  </si>
  <si>
    <t>Malawi</t>
  </si>
  <si>
    <t>Malaysia</t>
  </si>
  <si>
    <t>Maldives</t>
  </si>
  <si>
    <t>Mali</t>
  </si>
  <si>
    <t>Malta</t>
  </si>
  <si>
    <t>Marshall Islands</t>
  </si>
  <si>
    <t>Martinique</t>
  </si>
  <si>
    <t>Mauritania</t>
  </si>
  <si>
    <t>Mauritius</t>
  </si>
  <si>
    <t>Mayotte</t>
  </si>
  <si>
    <t>Mexico</t>
  </si>
  <si>
    <t>Micronesia, Federated States of</t>
  </si>
  <si>
    <t>Moldova (Republic of Moldova)</t>
  </si>
  <si>
    <t>Monaco</t>
  </si>
  <si>
    <t>Mongolia</t>
  </si>
  <si>
    <t>Montenegro</t>
  </si>
  <si>
    <t>Montserrat</t>
  </si>
  <si>
    <t>Morocco</t>
  </si>
  <si>
    <t>Mozambique</t>
  </si>
  <si>
    <t>Namibia</t>
  </si>
  <si>
    <t>Nauru</t>
  </si>
  <si>
    <t>Nepal</t>
  </si>
  <si>
    <t>Netherlands</t>
  </si>
  <si>
    <t>New Caledonia</t>
  </si>
  <si>
    <t>New Zealand</t>
  </si>
  <si>
    <t>Nicaragua</t>
  </si>
  <si>
    <t>Niger</t>
  </si>
  <si>
    <t>Nigeria</t>
  </si>
  <si>
    <t>Niue</t>
  </si>
  <si>
    <t>Norfolk Island</t>
  </si>
  <si>
    <t>North Korea (DPRK)</t>
  </si>
  <si>
    <t>Northern Mariana Islands</t>
  </si>
  <si>
    <t>Norway</t>
  </si>
  <si>
    <t>Oman</t>
  </si>
  <si>
    <t>Pakistan</t>
  </si>
  <si>
    <t>Palau</t>
  </si>
  <si>
    <t>Panama</t>
  </si>
  <si>
    <t>Papua New Guinea</t>
  </si>
  <si>
    <t>Paraguay</t>
  </si>
  <si>
    <t>Peru</t>
  </si>
  <si>
    <t>Philippines</t>
  </si>
  <si>
    <t>Pitcairn Islands</t>
  </si>
  <si>
    <t>Poland</t>
  </si>
  <si>
    <t>Portugal</t>
  </si>
  <si>
    <t>Puerto Rico</t>
  </si>
  <si>
    <t>Qatar</t>
  </si>
  <si>
    <t>Reunion</t>
  </si>
  <si>
    <t>Romania</t>
  </si>
  <si>
    <t>Russia</t>
  </si>
  <si>
    <t>Rwanda</t>
  </si>
  <si>
    <t>Saint Helena</t>
  </si>
  <si>
    <t>Saint Kitts and Nevis</t>
  </si>
  <si>
    <t>Saint Lucia</t>
  </si>
  <si>
    <t>Saint Pierre and Miquelon</t>
  </si>
  <si>
    <t>Saint Vincent and the Grenadines</t>
  </si>
  <si>
    <t>Samoa (Western Samoa)</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</si>
  <si>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</si>
  <si>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</si>
  <si>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</si>
  <si>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</si>
  <si>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</si>
  <si>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</si>
  <si>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</si>
  <si>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</si>
  <si>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</si>
  <si>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</si>
  <si>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</si>
  <si>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</si>
  <si>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</si>
  <si>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</si>
  <si>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 (ROK)</t>
  </si>
  <si>
    <t>South Sudan</t>
  </si>
  <si>
    <t>Spain</t>
  </si>
  <si>
    <t>Sri Lanka</t>
  </si>
  <si>
    <t>Sudan</t>
  </si>
  <si>
    <t>Suriname</t>
  </si>
  <si>
    <t>Svalbard and Jan Mayen</t>
  </si>
  <si>
    <t>Swaziland</t>
  </si>
  <si>
    <t>Sweden</t>
  </si>
  <si>
    <t>Switzerland</t>
  </si>
  <si>
    <t>Syria (Syrian Arab Republic)</t>
  </si>
  <si>
    <t>Taiwan</t>
  </si>
  <si>
    <t>Tajikistan</t>
  </si>
  <si>
    <t>Tanzania (United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</si>
  <si>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</si>
  <si>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</si>
  <si>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</si>
  <si>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</si>
  <si>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</si>
  <si>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</si>
  <si>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</si>
  <si>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</si>
  <si>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</si>
  <si>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</si>
  <si>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</si>
  <si>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</si>
  <si>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</si>
  <si>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</si>
  <si>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</si>
  <si>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</si>
  <si>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</si>
  <si>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</si>
  <si>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</si>
  <si>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</si>
  <si>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Vietnam</t>
  </si>
  <si>
    <t>Virgin Islands of the United States</t>
  </si>
  <si>
    <t>Wallis and Futuna</t>
  </si>
  <si>
    <t>West Bank administered by Israel</t>
  </si>
  <si>
    <t>Western Sahara</t>
  </si>
  <si>
    <t>Yemen (Republic of Yemen)</t>
  </si>
  <si>
    <t>Zambia</t>
  </si>
  <si>
    <t>Zimbabwe</t>
  </si>
  <si>
    <t>CAGE</t>
  </si>
  <si>
    <t>Q1a_A_LocationName</t>
  </si>
  <si>
    <t>Parent1 Name</t>
  </si>
  <si>
    <t>Q_RP_A_MultiResponse</t>
  </si>
  <si>
    <t>Total Number DSS CAGES</t>
  </si>
  <si>
    <t>Total Number Other CAGEs</t>
  </si>
  <si>
    <t>Single Corporate Location</t>
  </si>
  <si>
    <t>Primary BL</t>
  </si>
  <si>
    <t># of Product/Service Categories</t>
  </si>
  <si>
    <t># of USG Agencies supported</t>
  </si>
  <si>
    <t>Q4b_A_NumUSGPrograms</t>
  </si>
  <si>
    <t>Q6_A_Employees_2015</t>
  </si>
  <si>
    <t>Total NonCitizen Employees</t>
  </si>
  <si>
    <t>Survey Final Data Year</t>
  </si>
  <si>
    <t>Total Sales Latest Year</t>
  </si>
  <si>
    <t>Defense Sales Latest Year</t>
  </si>
  <si>
    <t>Q9aB_Physical_Year3</t>
  </si>
  <si>
    <t>Q9aB_Cyber_Year3</t>
  </si>
  <si>
    <t># of cyber measures in place</t>
  </si>
  <si>
    <t>physical % of expenditures</t>
  </si>
  <si>
    <t>cyber % of expenditures</t>
  </si>
  <si>
    <t>Q9b_C_Pct_CSI_External</t>
  </si>
  <si>
    <t>Financial Risk Score, Latest Year</t>
  </si>
  <si>
    <t>Financial Risk Score, 3 Year Total</t>
  </si>
  <si>
    <t>Financial Risk Rating</t>
  </si>
  <si>
    <t>Q_RP_B_DSSCAGE_01</t>
  </si>
  <si>
    <t>Q_RP_B_DSSCAGE_02</t>
  </si>
  <si>
    <t>Q_RP_B_DSSCAGE_03</t>
  </si>
  <si>
    <t>Q_RP_B_DSSCAGE_04</t>
  </si>
  <si>
    <t>Q_RP_B_DSSCAGE_05</t>
  </si>
  <si>
    <t>Q_RP_B_DSSCAGE_06</t>
  </si>
  <si>
    <t>Q_RP_B_DSSCAGE_07</t>
  </si>
  <si>
    <t>Q_RP_B_DSSCAGE_08</t>
  </si>
  <si>
    <t>Q_RP_B_DSSCAGE_09</t>
  </si>
  <si>
    <t>Q_RP_B_DSSCAGE_10</t>
  </si>
  <si>
    <t>Q_RP_B_DSSCAGE_11</t>
  </si>
  <si>
    <t>Q_RP_B_DSSCAGE_12</t>
  </si>
  <si>
    <t>Q_RP_B_DSSCAGE_13</t>
  </si>
  <si>
    <t>Q_RP_B_DSSCAGE_14</t>
  </si>
  <si>
    <t>Q_RP_B_DSSCAGE_15</t>
  </si>
  <si>
    <t>Q_RP_B_OtherCAGE_01</t>
  </si>
  <si>
    <t>Q_RP_B_OtherCAGE_02</t>
  </si>
  <si>
    <t>Q_RP_B_OtherCAGE_03</t>
  </si>
  <si>
    <t>Q_RP_B_OtherCAGE_04</t>
  </si>
  <si>
    <t>Q_RP_B_OtherCAGE_05</t>
  </si>
  <si>
    <t>Q_RP_B_OtherCAGE_06</t>
  </si>
  <si>
    <t>Q_RP_B_OtherCAGE_07</t>
  </si>
  <si>
    <t>Q_RP_B_OtherCAGE_08</t>
  </si>
  <si>
    <t>Q_RP_B_OtherCAGE_09</t>
  </si>
  <si>
    <t>Q_RP_B_OtherCAGE_10</t>
  </si>
  <si>
    <t>Q_RP_B_OtherCAGE_11</t>
  </si>
  <si>
    <t>Q_RP_B_OtherCAGE_12</t>
  </si>
  <si>
    <t>Q_RP_B_OtherCAGE_13</t>
  </si>
  <si>
    <t>Q_RP_B_OtherCAGE_14</t>
  </si>
  <si>
    <t>Q_RP_B_OtherCAGE_15</t>
  </si>
  <si>
    <t>Q_RP_B_OtherCAGE_16</t>
  </si>
  <si>
    <t>Q_RP_B_OtherCAGE_17</t>
  </si>
  <si>
    <t>Q_RP_B_OtherCAGE_18</t>
  </si>
  <si>
    <t>Q_RP_B_OtherCAGE_19</t>
  </si>
  <si>
    <t>Q_RP_B_OtherCAGE_20</t>
  </si>
  <si>
    <t>Q_RP_B_OtherCAGE_21</t>
  </si>
  <si>
    <t>Q_RP_B_OtherCAGE_22</t>
  </si>
  <si>
    <t>Q_RP_B_OtherCAGE_23</t>
  </si>
  <si>
    <t>Q_RP_B_OtherCAGE_24</t>
  </si>
  <si>
    <t>Q_RP_B_OtherCAGE_25</t>
  </si>
  <si>
    <t>Q_RP_B_OtherCAGE_26</t>
  </si>
  <si>
    <t>Q_RP_B_OtherCAGE_27</t>
  </si>
  <si>
    <t>Q_RP_B_OtherCAGE_28</t>
  </si>
  <si>
    <t>Q_RP_B_OtherCAGE_29</t>
  </si>
  <si>
    <t>Q_RP_B_OtherCAGE_30</t>
  </si>
  <si>
    <t>Q_RP_Comments</t>
  </si>
  <si>
    <t>Q1a_A_LocOrgName</t>
  </si>
  <si>
    <t>Q1a_A_LocAddress</t>
  </si>
  <si>
    <t>Q1a_A_LocCity</t>
  </si>
  <si>
    <t>Q1a_A_LocState</t>
  </si>
  <si>
    <t>Q1a_A_LocZip</t>
  </si>
  <si>
    <t>Q1a_A_LocWeb</t>
  </si>
  <si>
    <t>Q1a_A_LocPhone</t>
  </si>
  <si>
    <t>Q1a_B_Parent1_Name</t>
  </si>
  <si>
    <t>Q1a_B_Parent1_Address</t>
  </si>
  <si>
    <t>Q1a_B_Parent1_City</t>
  </si>
  <si>
    <t>Q1a_B_Parent1_State</t>
  </si>
  <si>
    <t>Q1a_B_Parent1_Country</t>
  </si>
  <si>
    <t>Q1a_B_Parent1_Zip</t>
  </si>
  <si>
    <t>Q1a_B_Parent1_CAGE</t>
  </si>
  <si>
    <t>Q1a_B_Parent2_Name</t>
  </si>
  <si>
    <t>Q1a_B_Parent2_Address</t>
  </si>
  <si>
    <t>Q1a_B_Parent2_City</t>
  </si>
  <si>
    <t>Q1a_B_Parent2_State</t>
  </si>
  <si>
    <t>Q1a_B_Parent2_Country</t>
  </si>
  <si>
    <t>Q1a_B_Parent2_Zip</t>
  </si>
  <si>
    <t>Q1a_B_Parent2_CAGE</t>
  </si>
  <si>
    <t>Q1a_C_PubPriv</t>
  </si>
  <si>
    <t>Q1a_C_Ticker</t>
  </si>
  <si>
    <t>Q1a_D_SharedSpace</t>
  </si>
  <si>
    <t>Q1a_D_SharedOrg01_Name</t>
  </si>
  <si>
    <t>Q1a_D_SharedOrg01_Purpose</t>
  </si>
  <si>
    <t>Q1a_D_SharedOrg02_Name</t>
  </si>
  <si>
    <t>Q1a_D_SharedOrg02_Purpose</t>
  </si>
  <si>
    <t>Q1a_D_SharedOrg03_Name</t>
  </si>
  <si>
    <t>Q1a_D_SharedOrg03_Purpose</t>
  </si>
  <si>
    <t>Q1a_D_SharedOrg04_Name</t>
  </si>
  <si>
    <t>Q1a_D_SharedOrg04_Purpose</t>
  </si>
  <si>
    <t>Q1a_D_SharedOrg05_Name</t>
  </si>
  <si>
    <t>Q1a_D_SharedOrg05_Purpose</t>
  </si>
  <si>
    <t>Q1a_D_SharedOrg06_Name</t>
  </si>
  <si>
    <t>Q1a_D_SharedOrg06_Purpose</t>
  </si>
  <si>
    <t>Q1a_D_SharedOrg07_Name</t>
  </si>
  <si>
    <t>Q1a_D_SharedOrg07_Purpose</t>
  </si>
  <si>
    <t>Q1a_D_SharedOrg08_Name</t>
  </si>
  <si>
    <t>Q1a_D_SharedOrg08_Purpose</t>
  </si>
  <si>
    <t>Q1a_D_SharedOrg09_Name</t>
  </si>
  <si>
    <t>Q1a_D_SharedOrg09_Purpose</t>
  </si>
  <si>
    <t>Q1a_D_SharedOrg10_Name</t>
  </si>
  <si>
    <t>Q1a_D_SharedOrg10_Purpose</t>
  </si>
  <si>
    <t>Q1a_E_POC_Name</t>
  </si>
  <si>
    <t>Q1a_E_POC_Title</t>
  </si>
  <si>
    <t>Q1a_E_POC_Phone</t>
  </si>
  <si>
    <t>Q1a_E_POC_Email</t>
  </si>
  <si>
    <t>Q1a_E_POC_State</t>
  </si>
  <si>
    <t>Q1a_Comments</t>
  </si>
  <si>
    <t>Q1b_A_Academic</t>
  </si>
  <si>
    <t>Q1b_A_Distribution</t>
  </si>
  <si>
    <t>Q1b_A_HoldingCo</t>
  </si>
  <si>
    <t>Q1b_A_Inspec</t>
  </si>
  <si>
    <t>Q1b_A_Integration</t>
  </si>
  <si>
    <t>Q1b_A_IT</t>
  </si>
  <si>
    <t>Q1b_A_Maintenance</t>
  </si>
  <si>
    <t>Q1b_A_MatFinish</t>
  </si>
  <si>
    <t>Q1b_A_MatPrep</t>
  </si>
  <si>
    <t>Q1b_A_Mfg</t>
  </si>
  <si>
    <t>Q1b_A_MfgDev</t>
  </si>
  <si>
    <t>Q1b_A_ProductDes</t>
  </si>
  <si>
    <t>Q1b_A_ProfServices</t>
  </si>
  <si>
    <t>Q1b_A_RawMaterial</t>
  </si>
  <si>
    <t>Q1b_A_RD</t>
  </si>
  <si>
    <t>Q1b_A_Testing</t>
  </si>
  <si>
    <t>Q1b_A_Other</t>
  </si>
  <si>
    <t>Q1b_A_Other_Specify</t>
  </si>
  <si>
    <t>Q1b_B_DUNS01</t>
  </si>
  <si>
    <t>Q1b_B_DUNS02</t>
  </si>
  <si>
    <t>Q1b_B_DUNS03</t>
  </si>
  <si>
    <t>Q1b_B_DUNS04</t>
  </si>
  <si>
    <t>Q1b_B_DUNS05</t>
  </si>
  <si>
    <t>Q1b_B_DUNS06</t>
  </si>
  <si>
    <t>Q1b_B_DUNS07</t>
  </si>
  <si>
    <t>Q1b_B_DUNS08</t>
  </si>
  <si>
    <t>Q1b_B_DUNS09</t>
  </si>
  <si>
    <t>Q1b_B_DUNS10</t>
  </si>
  <si>
    <t>Q1b_B_NAICS01</t>
  </si>
  <si>
    <t>Q1b_B_NAICS02</t>
  </si>
  <si>
    <t>Q1b_B_NAICS03</t>
  </si>
  <si>
    <t>Q1b_B_NAICS04</t>
  </si>
  <si>
    <t>Q1b_B_NAICS05</t>
  </si>
  <si>
    <t>Q1b_B_NAICS06</t>
  </si>
  <si>
    <t>Q1b_B_NAICS07</t>
  </si>
  <si>
    <t>Q1b_B_NAICS08</t>
  </si>
  <si>
    <t>Q1b_B_NAICS09</t>
  </si>
  <si>
    <t>Q1b_B_NAICS10</t>
  </si>
  <si>
    <t>Q1b_C_SB</t>
  </si>
  <si>
    <t>Q1b_C_8a</t>
  </si>
  <si>
    <t>Q1b_C_HUBZone</t>
  </si>
  <si>
    <t>Q1b_C_Minority</t>
  </si>
  <si>
    <t>Q1b_C_Woman</t>
  </si>
  <si>
    <t>Q1b_C_Vet</t>
  </si>
  <si>
    <t>Q1b_Comments</t>
  </si>
  <si>
    <t>Q2_A_TotalAcq</t>
  </si>
  <si>
    <t>Q2_B_TotalJV</t>
  </si>
  <si>
    <t>Section</t>
  </si>
  <si>
    <t>Primary Objective/Purpose</t>
  </si>
  <si>
    <t>Total Number</t>
  </si>
  <si>
    <t>Joint Venture</t>
  </si>
  <si>
    <t>Q3a_A_RawMat</t>
  </si>
  <si>
    <t>Q3a_B_Electronics</t>
  </si>
  <si>
    <t>Q3a_C_MfgEquip</t>
  </si>
  <si>
    <t>Q3a_D_Lasers</t>
  </si>
  <si>
    <t>Q3a_E_DirectedEnergy</t>
  </si>
  <si>
    <t>Q3a_F_Optics</t>
  </si>
  <si>
    <t>Q3a_G_AcousticSensors</t>
  </si>
  <si>
    <t>Q3a_H_Positioning</t>
  </si>
  <si>
    <t>Q3a_I_Radars</t>
  </si>
  <si>
    <t>Q3a_J_SigControl</t>
  </si>
  <si>
    <t>Q3a_K_Aero</t>
  </si>
  <si>
    <t>Q3a_L_Space</t>
  </si>
  <si>
    <t>Q3a_M_Marine</t>
  </si>
  <si>
    <t>Q3a_N_Ground</t>
  </si>
  <si>
    <t>Q3a_O_Armaments</t>
  </si>
  <si>
    <t>Q3a_P_EnergySystems</t>
  </si>
  <si>
    <t>Q3a_Q_Nuclear</t>
  </si>
  <si>
    <t>Q3a_R_Bio</t>
  </si>
  <si>
    <t>Q3a_S_Chem</t>
  </si>
  <si>
    <t>Q3a_T_Emerging</t>
  </si>
  <si>
    <t>Q3a_U_Agri</t>
  </si>
  <si>
    <t>Q3a_V_Medical</t>
  </si>
  <si>
    <t>Q3a_W_C4</t>
  </si>
  <si>
    <t>Q3a_X_Software</t>
  </si>
  <si>
    <t>Q3a_Y_Services</t>
  </si>
  <si>
    <t>Q3g_PrimaryProduct</t>
  </si>
  <si>
    <t>Q3g_Dependent_YN</t>
  </si>
  <si>
    <t>Q3g_Dependent_Explain</t>
  </si>
  <si>
    <t>Product/Service Category</t>
  </si>
  <si>
    <t>Product/Service Code</t>
  </si>
  <si>
    <t>Product/Service Title</t>
  </si>
  <si>
    <t>R&amp;D</t>
  </si>
  <si>
    <t>End Use</t>
  </si>
  <si>
    <t>Export Control</t>
  </si>
  <si>
    <t>DD-254</t>
  </si>
  <si>
    <t>Commercial off-the-shelf equipment for sonar</t>
  </si>
  <si>
    <t xml:space="preserve">W1 </t>
  </si>
  <si>
    <t xml:space="preserve">W2 </t>
  </si>
  <si>
    <t xml:space="preserve">W3 </t>
  </si>
  <si>
    <t xml:space="preserve">W4 </t>
  </si>
  <si>
    <t xml:space="preserve">W5 </t>
  </si>
  <si>
    <t xml:space="preserve">W6 </t>
  </si>
  <si>
    <t xml:space="preserve">W7 </t>
  </si>
  <si>
    <t xml:space="preserve">W8 </t>
  </si>
  <si>
    <t xml:space="preserve">W9 </t>
  </si>
  <si>
    <t xml:space="preserve">W10 </t>
  </si>
  <si>
    <t xml:space="preserve">X1 </t>
  </si>
  <si>
    <t xml:space="preserve">X2 </t>
  </si>
  <si>
    <t xml:space="preserve">X3 </t>
  </si>
  <si>
    <t xml:space="preserve">X4 </t>
  </si>
  <si>
    <t xml:space="preserve">X5 </t>
  </si>
  <si>
    <t xml:space="preserve">X6 </t>
  </si>
  <si>
    <t xml:space="preserve">X7 </t>
  </si>
  <si>
    <t xml:space="preserve">X8 </t>
  </si>
  <si>
    <t xml:space="preserve">X9 </t>
  </si>
  <si>
    <t xml:space="preserve">X10 </t>
  </si>
  <si>
    <t xml:space="preserve">X11 </t>
  </si>
  <si>
    <t xml:space="preserve">X12 </t>
  </si>
  <si>
    <t xml:space="preserve">X13 </t>
  </si>
  <si>
    <t xml:space="preserve">Y1 </t>
  </si>
  <si>
    <t xml:space="preserve">Y2 </t>
  </si>
  <si>
    <t xml:space="preserve">Y3 </t>
  </si>
  <si>
    <t xml:space="preserve">Y4 </t>
  </si>
  <si>
    <t xml:space="preserve">Y5 </t>
  </si>
  <si>
    <t xml:space="preserve">Y6 </t>
  </si>
  <si>
    <t xml:space="preserve">Y7 </t>
  </si>
  <si>
    <t xml:space="preserve">Y8 </t>
  </si>
  <si>
    <t xml:space="preserve">Y9 </t>
  </si>
  <si>
    <t xml:space="preserve">Y10 </t>
  </si>
  <si>
    <t xml:space="preserve">Y11 </t>
  </si>
  <si>
    <t xml:space="preserve">Y12 </t>
  </si>
  <si>
    <t xml:space="preserve">Y13 </t>
  </si>
  <si>
    <t xml:space="preserve">Y14 </t>
  </si>
  <si>
    <t xml:space="preserve">Y15 </t>
  </si>
  <si>
    <t xml:space="preserve">Y16 </t>
  </si>
  <si>
    <t xml:space="preserve">Y17 </t>
  </si>
  <si>
    <t xml:space="preserve">Y18 </t>
  </si>
  <si>
    <t xml:space="preserve">Y19 </t>
  </si>
  <si>
    <t xml:space="preserve">Y20 </t>
  </si>
  <si>
    <t xml:space="preserve">Y21 </t>
  </si>
  <si>
    <t xml:space="preserve">Y22 </t>
  </si>
  <si>
    <t xml:space="preserve">Y23 </t>
  </si>
  <si>
    <t xml:space="preserve">Y24 </t>
  </si>
  <si>
    <t xml:space="preserve">Y25 </t>
  </si>
  <si>
    <t xml:space="preserve">Y26 </t>
  </si>
  <si>
    <t>Count</t>
  </si>
  <si>
    <t>.</t>
  </si>
  <si>
    <t>Q4a_Navy_Support</t>
  </si>
  <si>
    <t>Q4a_Army_Support</t>
  </si>
  <si>
    <t>Q4a_USAF_Support</t>
  </si>
  <si>
    <t>Q4a_USMC_Support</t>
  </si>
  <si>
    <t>Q4a_DARPA_Support</t>
  </si>
  <si>
    <t>Q4a_MDA_Support</t>
  </si>
  <si>
    <t>Q4a_DHS_Support</t>
  </si>
  <si>
    <t>Q4a_NASA_Support</t>
  </si>
  <si>
    <t>Q4a_Intel_Support</t>
  </si>
  <si>
    <t>Q4a_DOE_Support</t>
  </si>
  <si>
    <t>Q4a_State_Support</t>
  </si>
  <si>
    <t>Q4a_Other1_Support</t>
  </si>
  <si>
    <t>Q4a_Other2_Support</t>
  </si>
  <si>
    <t>Q4a_Other3_Support</t>
  </si>
  <si>
    <t>Q4a_Other4_Support</t>
  </si>
  <si>
    <t>Q4a_Other5_Support</t>
  </si>
  <si>
    <t>Q4a_Other6_Support</t>
  </si>
  <si>
    <t>Q4a_Other7_Support</t>
  </si>
  <si>
    <t>Q4a_Other8_Support</t>
  </si>
  <si>
    <t>Q4a_Other9_Support</t>
  </si>
  <si>
    <t>Q4a_Other10_Support</t>
  </si>
  <si>
    <t>Q4a_OtherWrite1_Support</t>
  </si>
  <si>
    <t>Q4a_OtherWrite2_Support</t>
  </si>
  <si>
    <t>Q4a_OtherWrite3_Support</t>
  </si>
  <si>
    <t>Q4a_Other1_Select</t>
  </si>
  <si>
    <t>Q4a_Other2_Select</t>
  </si>
  <si>
    <t>Q4a_Other3_Select</t>
  </si>
  <si>
    <t>Q4a_Other4_Select</t>
  </si>
  <si>
    <t>Q4a_Other5_Select</t>
  </si>
  <si>
    <t>Q4a_Other6_Select</t>
  </si>
  <si>
    <t>Q4a_Other7_Select</t>
  </si>
  <si>
    <t>Q4a_Other8_Select</t>
  </si>
  <si>
    <t>Q4a_Other9_Select</t>
  </si>
  <si>
    <t>Q4a_Other10_Select</t>
  </si>
  <si>
    <t>Q4a_OtherWrite1_Select</t>
  </si>
  <si>
    <t>Q4a_OtherWrite2_Select</t>
  </si>
  <si>
    <t>Q4a_OtherWrite3_Select</t>
  </si>
  <si>
    <t>Q4a_Navy_Pct</t>
  </si>
  <si>
    <t>Q4a_Army_Pct</t>
  </si>
  <si>
    <t>Q4a_USAF_Pct</t>
  </si>
  <si>
    <t>Q4a_USMC_Pct</t>
  </si>
  <si>
    <t>Q4a_DARPA_Pct</t>
  </si>
  <si>
    <t>Q4a_MDA_Pct</t>
  </si>
  <si>
    <t>Q4a_DHS_Pct</t>
  </si>
  <si>
    <t>Q4a_NASA_Pct</t>
  </si>
  <si>
    <t>Q4a_Intel_Pct</t>
  </si>
  <si>
    <t>Q4a_DOE_Pct</t>
  </si>
  <si>
    <t>Q4a_State_Pct</t>
  </si>
  <si>
    <t>Q4a_Other1_Pct</t>
  </si>
  <si>
    <t>Q4a_Other2_Pct</t>
  </si>
  <si>
    <t>Q4a_Other3_Pct</t>
  </si>
  <si>
    <t>Q4a_Other4_Pct</t>
  </si>
  <si>
    <t>Q4a_Other5_Pct</t>
  </si>
  <si>
    <t>Q4a_Other6_Pct</t>
  </si>
  <si>
    <t>Q4a_Other7_Pct</t>
  </si>
  <si>
    <t>Q4a_Other8_Pct</t>
  </si>
  <si>
    <t>Q4a_Other9_Pct</t>
  </si>
  <si>
    <t>Q4a_Other10_Pct</t>
  </si>
  <si>
    <t>Q4a_OtherWrite1_Pct</t>
  </si>
  <si>
    <t>Q4a_OtherWrite2_Pct</t>
  </si>
  <si>
    <t>Q4a_OtherWrite3_Pct</t>
  </si>
  <si>
    <t>Q4a_Comments</t>
  </si>
  <si>
    <t>Q4b_Applicability</t>
  </si>
  <si>
    <t>USG Program Entry Number</t>
  </si>
  <si>
    <t>USG Agency</t>
  </si>
  <si>
    <t>USG Program Name</t>
  </si>
  <si>
    <t>Product1</t>
  </si>
  <si>
    <t>Product2</t>
  </si>
  <si>
    <t>Product3</t>
  </si>
  <si>
    <t>Product4</t>
  </si>
  <si>
    <t>Product5</t>
  </si>
  <si>
    <t>Family of Beyond Line-of-Sight - Terminals (FAB-T)</t>
  </si>
  <si>
    <t>Global Combat Support System-Army Increment 1 (GCSS-A Inc 1)</t>
  </si>
  <si>
    <t>RQ-7 Unmanned Aircraft System Shadow (RQ-7 UAS SHADOW)</t>
  </si>
  <si>
    <t>DoD</t>
  </si>
  <si>
    <t>Global Combat Support System-Joint Increment 7 (GCSS-J Inc 7)</t>
  </si>
  <si>
    <t>Program Name
(Top 75 Only if More than 75 Listed)</t>
  </si>
  <si>
    <t>Inputs to Product1 Listed</t>
  </si>
  <si>
    <t>Inputs to Product2 Listed</t>
  </si>
  <si>
    <t>Inputs to Product3 Listed</t>
  </si>
  <si>
    <t>Inputs to Product4 Listed</t>
  </si>
  <si>
    <t>Inputs to Product5 Listed</t>
  </si>
  <si>
    <t>Input Listing</t>
  </si>
  <si>
    <t>Input Category</t>
  </si>
  <si>
    <t>Input Product/Service</t>
  </si>
  <si>
    <t>Input Description</t>
  </si>
  <si>
    <t>Supplier Name</t>
  </si>
  <si>
    <t>Supplier State</t>
  </si>
  <si>
    <t>Supplier Country</t>
  </si>
  <si>
    <t>Respondent Product Input Used in</t>
  </si>
  <si>
    <t>Supports Multiple USG Programs</t>
  </si>
  <si>
    <t>Single/Sole Supplier?</t>
  </si>
  <si>
    <t>Contributes Significantly to End Value</t>
  </si>
  <si>
    <t>Long Lead Time</t>
  </si>
  <si>
    <t>Obsolete/ Out of Production Part</t>
  </si>
  <si>
    <t>Other Critical Measure</t>
  </si>
  <si>
    <t>Programs Supported by Respondent Product Area</t>
  </si>
  <si>
    <t>Q6_A_Employees_2013</t>
  </si>
  <si>
    <t>Q6_A_Employees_2014</t>
  </si>
  <si>
    <t>Q6_A_Contractors_2013</t>
  </si>
  <si>
    <t>Q6_A_Contractors_2014</t>
  </si>
  <si>
    <t>Q6_A_Contractors_2015</t>
  </si>
  <si>
    <t>Q6_B_TotalNonUS</t>
  </si>
  <si>
    <t>Q6_B_Employee_H1B_Total</t>
  </si>
  <si>
    <t>Q6_B_Employee_H2B_Total</t>
  </si>
  <si>
    <t>Q6_B_Employee_F1_Total</t>
  </si>
  <si>
    <t>Q6_B_Employee_GreenCard_Total</t>
  </si>
  <si>
    <t>Q6_B_Employee_Other_Total</t>
  </si>
  <si>
    <t>Q6_B_Contractor_H1B_Total</t>
  </si>
  <si>
    <t>Q6_B_Contractor_H2B_Total</t>
  </si>
  <si>
    <t>Q6_B_Contractor_F1_Total</t>
  </si>
  <si>
    <t>Q6_B_Contractor_GreenCard_Total</t>
  </si>
  <si>
    <t>Q6_B_Contractor_Other_Total</t>
  </si>
  <si>
    <t>Q6_C_Confidential</t>
  </si>
  <si>
    <t>Q6_C_Secret</t>
  </si>
  <si>
    <t>Q6_C_TopSecret</t>
  </si>
  <si>
    <t>Q6_Comments</t>
  </si>
  <si>
    <t>Q6D_Difficulty_YN</t>
  </si>
  <si>
    <t>Q6D_Engineer_Difficulty_Type</t>
  </si>
  <si>
    <t>Q6D_Engineer_Difficulty_Explain</t>
  </si>
  <si>
    <t>Q6D_IT_Difficulty_Type</t>
  </si>
  <si>
    <t>Q6D_IT_Difficulty_Explain</t>
  </si>
  <si>
    <t>Q6D_Production_Difficulty_Type</t>
  </si>
  <si>
    <t>Q6D_Production_Difficulty_Explain</t>
  </si>
  <si>
    <t>Q6D_Testing_Difficulty_Type</t>
  </si>
  <si>
    <t>Q6D_Testing_Difficulty_Explain</t>
  </si>
  <si>
    <t>Q6D_Other_Difficulty_Type</t>
  </si>
  <si>
    <t>Q6D_Other_Difficulty_Explain</t>
  </si>
  <si>
    <t>Q6D_Other_Difficulty_Specify</t>
  </si>
  <si>
    <t>Country Name</t>
  </si>
  <si>
    <t>H1B</t>
  </si>
  <si>
    <t>H2b</t>
  </si>
  <si>
    <t>Other Visa</t>
  </si>
  <si>
    <t>Reporting Schedule</t>
  </si>
  <si>
    <t>Source of Data</t>
  </si>
  <si>
    <t>U.S/Non-U.S.</t>
  </si>
  <si>
    <t>Type of Sales</t>
  </si>
  <si>
    <t>Value</t>
  </si>
  <si>
    <t>Percentage</t>
  </si>
  <si>
    <t>Total Sales</t>
  </si>
  <si>
    <t>Defense Sales</t>
  </si>
  <si>
    <t>Classified Sales</t>
  </si>
  <si>
    <t>Government Sales</t>
  </si>
  <si>
    <t>Combined</t>
  </si>
  <si>
    <t>U.S./Non-U.S.</t>
  </si>
  <si>
    <t>Estimated Total Number</t>
  </si>
  <si>
    <t>Customer Type</t>
  </si>
  <si>
    <t>Customer State/Country</t>
  </si>
  <si>
    <t>Q9a_A_Authorities_YN</t>
  </si>
  <si>
    <t>Q9a_A_Authorities_DSS</t>
  </si>
  <si>
    <t>Q9a_A_Authorities_DLA</t>
  </si>
  <si>
    <t>Q9a_A_Authorities_DefInvestigative</t>
  </si>
  <si>
    <t>Q9a_A_Authorities_BIS</t>
  </si>
  <si>
    <t>Q9a_A_Authorities_DOE</t>
  </si>
  <si>
    <t>Q9a_A_Authorities_DHS</t>
  </si>
  <si>
    <t>Q9a_A_Authorities_DOJ</t>
  </si>
  <si>
    <t>Q9a_A_Authorities_FBI</t>
  </si>
  <si>
    <t>Q9a_A_Authorities_FCC</t>
  </si>
  <si>
    <t>Q9a_A_Authorities_FTC</t>
  </si>
  <si>
    <t>Q9a_A_Authorities_GIDEP</t>
  </si>
  <si>
    <t>Q9a_A_Authorities_NASA</t>
  </si>
  <si>
    <t>Q9a_A_Authorities_NSA</t>
  </si>
  <si>
    <t>Q9a_A_Authorities_NRC</t>
  </si>
  <si>
    <t>Q9a_A_Authorities_SS</t>
  </si>
  <si>
    <t>Q9a_A_Authorities_Local</t>
  </si>
  <si>
    <t>Q9a_A_Authorities_USCERT</t>
  </si>
  <si>
    <t>Q9a_A_Authorities_None</t>
  </si>
  <si>
    <t>Q9a_A_Authorities_Other1</t>
  </si>
  <si>
    <t>Q9a_A_Authorities_Other2</t>
  </si>
  <si>
    <t>Q9a_A_Authorities_Other1_Specify</t>
  </si>
  <si>
    <t>Q9a_A_Authorities_Other2_Specify</t>
  </si>
  <si>
    <t>Q9a_B_Physical_Year1</t>
  </si>
  <si>
    <t>Q9a_B_Physical_Year2</t>
  </si>
  <si>
    <t>Q9a_B_Physical_Year3</t>
  </si>
  <si>
    <t>Q9a_B_Cyber_Year1</t>
  </si>
  <si>
    <t>Q9a_B_Cyber_Year2</t>
  </si>
  <si>
    <t>Q9a_B_Cyber_Year3</t>
  </si>
  <si>
    <t>Q9a_C_Physical_AfterHours</t>
  </si>
  <si>
    <t>Q9a_C_Physical_CCTV</t>
  </si>
  <si>
    <t>Q9a_C_Physical_ControlEntry</t>
  </si>
  <si>
    <t>Q9a_C_Physical_Alarms</t>
  </si>
  <si>
    <t>Q9a_C_Physical_Barriers</t>
  </si>
  <si>
    <t>Q9a_C_Physical_AccessCards</t>
  </si>
  <si>
    <t>Q9a_C_Physical_Separation</t>
  </si>
  <si>
    <t>Q9a_C_Physical_Guards</t>
  </si>
  <si>
    <t>Q9a_C_Physical_Other1</t>
  </si>
  <si>
    <t>Q9a_C_Physical_Other2</t>
  </si>
  <si>
    <t>Q9a_C_Physical_Other3</t>
  </si>
  <si>
    <t>Q9a_C_Physical_Other1_Specify</t>
  </si>
  <si>
    <t>Q9a_C_Physical_Other2_Specify</t>
  </si>
  <si>
    <t>Q9a_C_Physical_Other3_Specify</t>
  </si>
  <si>
    <t>Q9a_C_Cyber_AccountMonitoring</t>
  </si>
  <si>
    <t>Q9a_C_Cyber_ApplicationSec</t>
  </si>
  <si>
    <t>Q9a_C_Cyber_BoundaryDef</t>
  </si>
  <si>
    <t>Q9a_C_Cyber_ContinuousVuln</t>
  </si>
  <si>
    <t>Q9a_C_Cyber_ControlledAccess</t>
  </si>
  <si>
    <t>Q9a_C_Cyber_ControlledAdmin</t>
  </si>
  <si>
    <t>Q9a_C_Cyber_DataProtection</t>
  </si>
  <si>
    <t>Q9a_C_Cyber_DataRecovery</t>
  </si>
  <si>
    <t>Q9a_C_Cyber_IncidentResponse</t>
  </si>
  <si>
    <t>Q9a_C_Cyber_DeviceInventory</t>
  </si>
  <si>
    <t>Q9a_C_Cyber_SoftwareInventory</t>
  </si>
  <si>
    <t>Q9a_C_Cyber_PortControl</t>
  </si>
  <si>
    <t>Q9a_C_Cyber_AuditLogs</t>
  </si>
  <si>
    <t>Q9a_C_Cyber_MalwareDefense</t>
  </si>
  <si>
    <t>Q9a_C_Cyber_RedTeamTests</t>
  </si>
  <si>
    <t>Q9a_C_Cyber_HardwareConfig</t>
  </si>
  <si>
    <t>Q9a_C_Cyber_NetworkConfig</t>
  </si>
  <si>
    <t>Q9a_C_Cyber_NetworkEngineer</t>
  </si>
  <si>
    <t>Q9a_C_Cyber_SkillsAssessment</t>
  </si>
  <si>
    <t>Q9a_C_Cyber_WirelessControl</t>
  </si>
  <si>
    <t>Q9a_C_Cyber_Other1</t>
  </si>
  <si>
    <t>Q9a_C_Cyber_Other2</t>
  </si>
  <si>
    <t>Q9a_C_Cyber_Other1_Specify</t>
  </si>
  <si>
    <t>Q9a_C_Cyber_Other2_Specify</t>
  </si>
  <si>
    <t>Q9a_D_NIST_Familiar_YN</t>
  </si>
  <si>
    <t>Q9a_D_NIST_Use</t>
  </si>
  <si>
    <t>Q9a_D_NIST_Explain</t>
  </si>
  <si>
    <t>Type</t>
  </si>
  <si>
    <t>Percentage of Total Expenditures</t>
  </si>
  <si>
    <t>Number of Incidents (9aB)</t>
  </si>
  <si>
    <t>Cyber</t>
  </si>
  <si>
    <t>Physical</t>
  </si>
  <si>
    <t>Q8_Total_US</t>
  </si>
  <si>
    <t>Q8_Total_NonUS</t>
  </si>
  <si>
    <t>Q9b_B_AccessEmployees_YN</t>
  </si>
  <si>
    <t>Q9b_B_AccessEmployees_Explain</t>
  </si>
  <si>
    <t>Q9b_B_AccessOutsiders_YN</t>
  </si>
  <si>
    <t>Q9b_B_AccessOutsiders_Explain</t>
  </si>
  <si>
    <t>Q9b_C_DataCenter_US_YN</t>
  </si>
  <si>
    <t>Q9b_C_DataCenter_US_Count</t>
  </si>
  <si>
    <t>Q9b_C_DataCenter_NonUS_YN</t>
  </si>
  <si>
    <t>Q9b_C_DataCenter_NonUS_Count</t>
  </si>
  <si>
    <t>Q9b_C_External_US</t>
  </si>
  <si>
    <t>Q9b_C_External_NonUS</t>
  </si>
  <si>
    <t>Q9b_C_Share_CSI</t>
  </si>
  <si>
    <t>Q9b_C_Share_CSI_Explain</t>
  </si>
  <si>
    <t>Q9b_D2_APT_Detect</t>
  </si>
  <si>
    <t>Q9b_D2_APT_Number</t>
  </si>
  <si>
    <t>Q9b_D3_ITDowntime</t>
  </si>
  <si>
    <t>Q9b_D3_Costs</t>
  </si>
  <si>
    <t>Q9b_D3_SalesLoss</t>
  </si>
  <si>
    <t>Q9b_D3_ITDamage</t>
  </si>
  <si>
    <t>Q9b_D3_SystemsDamage</t>
  </si>
  <si>
    <t>Q9b_D3_SoftwareTheft</t>
  </si>
  <si>
    <t>Q9b_D3_RevisedPartnerships</t>
  </si>
  <si>
    <t>Q9b_D3_RDChange</t>
  </si>
  <si>
    <t>Q9b_D3_ExitMarket</t>
  </si>
  <si>
    <t>Q9b_D3_ExitProduct</t>
  </si>
  <si>
    <t>Q9b_D3_NewCyber</t>
  </si>
  <si>
    <t>Q9b_D3_Other1</t>
  </si>
  <si>
    <t>Q9b_D3_Other1_Specify</t>
  </si>
  <si>
    <t>Q9b_D3_Other2</t>
  </si>
  <si>
    <t>Q9b_D3_Other2_Specify</t>
  </si>
  <si>
    <t>Q9a_Comments</t>
  </si>
  <si>
    <t>Q9b_Comments</t>
  </si>
  <si>
    <t>Q10_A_Classified_Prime</t>
  </si>
  <si>
    <t>Q10_A_Classified_Sub_Here</t>
  </si>
  <si>
    <t>Q10_A_Classified_Sub_Given</t>
  </si>
  <si>
    <t>Q10_A_Classified_Foreign</t>
  </si>
  <si>
    <t>Q10_B_NumberDD254</t>
  </si>
  <si>
    <t>Q10_Comments</t>
  </si>
  <si>
    <t>Q11_RD_YN</t>
  </si>
  <si>
    <t>Q9b_PossNon</t>
  </si>
  <si>
    <t>Q9b_D1_CSI_Detect</t>
  </si>
  <si>
    <t>Q9b_D1_CSI_Investigate</t>
  </si>
  <si>
    <t>Q9b_D1_CSI_Explain</t>
  </si>
  <si>
    <t>Q9b_D3_Exfiltration</t>
  </si>
  <si>
    <t>Total Number of Active Contracts</t>
  </si>
  <si>
    <t>Product/Service List Number</t>
  </si>
  <si>
    <t>Product/Service</t>
  </si>
  <si>
    <t>Expenditure/Funding</t>
  </si>
  <si>
    <t>Line Item</t>
  </si>
  <si>
    <t>Other Specify</t>
  </si>
  <si>
    <t>Expenditure</t>
  </si>
  <si>
    <t>Total Expenditures</t>
  </si>
  <si>
    <t>Funding</t>
  </si>
  <si>
    <t>Total Funding</t>
  </si>
  <si>
    <t>Internal/IRAD</t>
  </si>
  <si>
    <t>Federal Government</t>
  </si>
  <si>
    <t>State and Local Government</t>
  </si>
  <si>
    <t>University</t>
  </si>
  <si>
    <t>U.S. Industry</t>
  </si>
  <si>
    <t>Non-U.S. Investors</t>
  </si>
  <si>
    <t>Item</t>
  </si>
  <si>
    <t>Current Ratio</t>
  </si>
  <si>
    <t>Quick Ratio</t>
  </si>
  <si>
    <t>Total Asset Turnover</t>
  </si>
  <si>
    <t>COGS-Based Inventory Turnover</t>
  </si>
  <si>
    <t>Debt Ratio</t>
  </si>
  <si>
    <t>Debt-to-Equity Ratio</t>
  </si>
  <si>
    <t>Equity Multiplier</t>
  </si>
  <si>
    <t>Net Profit Margin</t>
  </si>
  <si>
    <t>Net Return on Assets</t>
  </si>
  <si>
    <t>EBIT Return on Assets</t>
  </si>
  <si>
    <t>Return on Earnings</t>
  </si>
  <si>
    <t>Gross Profit Margin</t>
  </si>
  <si>
    <t>Z-Score Model A</t>
  </si>
  <si>
    <t>Z-Score Model B</t>
  </si>
  <si>
    <t>Sales-Based Inventory Turnover</t>
  </si>
  <si>
    <t>Operating Profit Margin</t>
  </si>
  <si>
    <t>EBIT Profit Margin</t>
  </si>
  <si>
    <t>Sales Per Employee</t>
  </si>
  <si>
    <t>R&amp;D Intensity</t>
  </si>
  <si>
    <t>Errorless Risk Score, Latest Year</t>
  </si>
  <si>
    <t>Errorless Risk Score, 3 Year Total</t>
  </si>
  <si>
    <t>Errorless Risk Rating</t>
  </si>
  <si>
    <t>Metric</t>
  </si>
  <si>
    <t>Score Calculation:</t>
  </si>
  <si>
    <t>Condition</t>
  </si>
  <si>
    <t>average</t>
  </si>
  <si>
    <t>Errorless Calculation:</t>
  </si>
  <si>
    <t>Profits</t>
  </si>
  <si>
    <t>Operating Margin</t>
  </si>
  <si>
    <t>1 if negative</t>
  </si>
  <si>
    <t>EBIT Margin</t>
  </si>
  <si>
    <t>Net Margin</t>
  </si>
  <si>
    <t>Debt/Liquidity</t>
  </si>
  <si>
    <t>debt ratio (total liab/total assets)</t>
  </si>
  <si>
    <t>2 if &gt;2, 1 if [1,2]</t>
  </si>
  <si>
    <t>debt/equity</t>
  </si>
  <si>
    <t>1 if &gt;2</t>
  </si>
  <si>
    <t>current ratio (current assets/current liab)</t>
  </si>
  <si>
    <t>2 if &lt;.85, 1 if [.85, 1]</t>
  </si>
  <si>
    <t>quick ratio ((current assets-inventories)/current liab)</t>
  </si>
  <si>
    <t>1 if &lt;.65</t>
  </si>
  <si>
    <t>Z-Score</t>
  </si>
  <si>
    <t>Model A ((CurrentAssets-CurrentLiabilities)/TotalAssets)*0.717 + (RetainedEarnings/TotalAssets)*0.847 + (EBIT/TotalAssets)*3.107 + (TotalOwnersEquity/TotalLiabilities)*0.42 + (Netsales/TotalAssets)*0.998</t>
  </si>
  <si>
    <t>3 if &lt; 1.23, 2 if [1.23, 2.9]</t>
  </si>
  <si>
    <t>Model B ((CurrentAsset-CurrentLiabilities)/TotalAssets)*6.56 + (RetainedEarnings/TotalAssets)*3.26 + (EBIT/TotalAssets)*6.72 + (OwnersEquity/TotalLiabilities)*1.05</t>
  </si>
  <si>
    <t>3 if &lt; 1.1, 2 if [1.1, 2.6]</t>
  </si>
  <si>
    <t>Product Dependence</t>
  </si>
  <si>
    <t>Dependent on Single Product</t>
  </si>
  <si>
    <t>1 if dependent on single product</t>
  </si>
  <si>
    <t>Static - Annual (16 Max)</t>
  </si>
  <si>
    <t>Time Progression</t>
  </si>
  <si>
    <t>COGS-based inventory turn</t>
  </si>
  <si>
    <t>1 if periodic decline &gt; 1</t>
  </si>
  <si>
    <t>R&amp;D intensity</t>
  </si>
  <si>
    <t>1 if periodic decline &gt; .01</t>
  </si>
  <si>
    <t>Sales performance</t>
  </si>
  <si>
    <t>1 if periodic decline &gt; .1</t>
  </si>
  <si>
    <t>Operating income performance</t>
  </si>
  <si>
    <t>1 if periodic decline</t>
  </si>
  <si>
    <t>Misc</t>
  </si>
  <si>
    <t>Dependent on USG programs (% sales to USG)</t>
  </si>
  <si>
    <t>1 if &gt;.25</t>
  </si>
  <si>
    <t>Static + Time (21 Max)</t>
  </si>
  <si>
    <t>Risk Change</t>
  </si>
  <si>
    <t>Periodic Change in Risk</t>
  </si>
  <si>
    <t>-1 if risk drops by more than 3 points, 1 if risk increases, 2 if risk increases by more than 3 points</t>
  </si>
  <si>
    <t>Final Score (23 max)</t>
  </si>
  <si>
    <t>Final Period Score (69 max)</t>
  </si>
  <si>
    <t>Risk Designation based on Period Score</t>
  </si>
  <si>
    <t>Low/Neutral Risk: &lt;= 20</t>
  </si>
  <si>
    <t>Income Source</t>
  </si>
  <si>
    <t>Moderate/Elevated Risk: &lt;= 40</t>
  </si>
  <si>
    <t>Balance Source</t>
  </si>
  <si>
    <t>High/Severe Risk: &gt;40</t>
  </si>
  <si>
    <t>Year 3 Risk Score</t>
  </si>
  <si>
    <t>Period Risk Score</t>
  </si>
  <si>
    <t>Period Risk Rating</t>
  </si>
  <si>
    <t>Income/Balance Sheet</t>
  </si>
  <si>
    <t>Income Statement</t>
  </si>
  <si>
    <t>Balance Sheet</t>
  </si>
  <si>
    <t>Current Assets</t>
  </si>
  <si>
    <t>Current Liabilities</t>
  </si>
  <si>
    <t>Issue Number</t>
  </si>
  <si>
    <t>Issue Type</t>
  </si>
  <si>
    <t>Yes/No</t>
  </si>
  <si>
    <t>Rank</t>
  </si>
  <si>
    <t>Q13_B_LeanMfg</t>
  </si>
  <si>
    <t>Q13_B_Cyber</t>
  </si>
  <si>
    <t>Q13_B_DesignforAssembly</t>
  </si>
  <si>
    <t>Q13_B_DesignMfg</t>
  </si>
  <si>
    <t>Q13_B_Energy</t>
  </si>
  <si>
    <t>Q13_B_ExportAssist</t>
  </si>
  <si>
    <t>Q13_B_ExportLicense</t>
  </si>
  <si>
    <t>Q13_B_GovtProcurement</t>
  </si>
  <si>
    <t>Q13_B_MarketExpansion</t>
  </si>
  <si>
    <t>Q13_B_ProdDesign</t>
  </si>
  <si>
    <t>Q13_B_Prototyping</t>
  </si>
  <si>
    <t>Q13_B_QualityControl</t>
  </si>
  <si>
    <t>Q13_B_SBIR</t>
  </si>
  <si>
    <t>Q13_B_SupplyChain</t>
  </si>
  <si>
    <t>Q13_B_TechAccel</t>
  </si>
  <si>
    <t>Q13_B_MatSourcing</t>
  </si>
  <si>
    <t>Q14_LocName</t>
  </si>
  <si>
    <t>Q14_OrgName</t>
  </si>
  <si>
    <t>Q14_OrgWeb</t>
  </si>
  <si>
    <t>Q14_Official_Name</t>
  </si>
  <si>
    <t>Q14_Official_Title</t>
  </si>
  <si>
    <t>Q14_Official_Email</t>
  </si>
  <si>
    <t>Q14_Official_Phone</t>
  </si>
  <si>
    <t>Q14_DateCert</t>
  </si>
  <si>
    <t>Q14_Hours</t>
  </si>
  <si>
    <t>Q2_Comments</t>
  </si>
  <si>
    <t>Q3b_Comments</t>
  </si>
  <si>
    <t>Q3c_Comments</t>
  </si>
  <si>
    <t>Q3d_Comments</t>
  </si>
  <si>
    <t>Q3e_Comments</t>
  </si>
  <si>
    <t>Q3f_Comments</t>
  </si>
  <si>
    <t>Q3g_Comments</t>
  </si>
  <si>
    <t>Q4b_Comments</t>
  </si>
  <si>
    <t>Q5_Comments</t>
  </si>
  <si>
    <t>Q7_Comments</t>
  </si>
  <si>
    <t>Q8_Comments</t>
  </si>
  <si>
    <t>Q11_Comments</t>
  </si>
  <si>
    <t>Q12_Comments</t>
  </si>
  <si>
    <t>Q13_Comments</t>
  </si>
  <si>
    <t>Q14_Comments</t>
  </si>
  <si>
    <t>CompletionEstimate</t>
  </si>
  <si>
    <r>
      <rPr>
        <b/>
        <u/>
        <sz val="10"/>
        <color indexed="10"/>
        <rFont val="Arial"/>
        <family val="2"/>
      </rPr>
      <t>Important Note:</t>
    </r>
    <r>
      <rPr>
        <sz val="10"/>
        <color indexed="8"/>
        <rFont val="Arial"/>
        <family val="2"/>
      </rPr>
      <t xml:space="preserve">
The drop-down menus in several later sections are based on your responses in Section 3.  
In order for all menus to work properly, you must complete these sections in order.</t>
    </r>
  </si>
  <si>
    <r>
      <t xml:space="preserve">Your organization is required to complete this survey using an Excel template, which can be downloaded from the U.S. Department of Commerce, Census Bureau website: </t>
    </r>
    <r>
      <rPr>
        <u/>
        <sz val="10"/>
        <color indexed="12"/>
        <rFont val="Arial"/>
        <family val="2"/>
      </rPr>
      <t>https://respond.census.gov/criticalfacility/download</t>
    </r>
    <r>
      <rPr>
        <sz val="10"/>
        <color indexed="8"/>
        <rFont val="Arial"/>
        <family val="2"/>
      </rPr>
      <t>.  For your convenience, a PDF version of the survey is available to aid your internal data collection.  DO NOT submit the PDF version of your organization’s response to BIS.</t>
    </r>
  </si>
  <si>
    <r>
      <t xml:space="preserve">Respond to every question.  Surveys that are not fully completed will be returned for completion.  Use the comment boxes to provide any information to supplement responses provided in the survey form.  Make sure to record a complete answer in the cell provided, even if the cell does not appear to expand to fit all the information. 
</t>
    </r>
    <r>
      <rPr>
        <b/>
        <sz val="10"/>
        <color indexed="8"/>
        <rFont val="Arial"/>
        <family val="2"/>
      </rPr>
      <t>DO NOT COPY AND PASTE RESPONSES WITHIN THIS SURVEY</t>
    </r>
    <r>
      <rPr>
        <sz val="10"/>
        <color indexed="8"/>
        <rFont val="Arial"/>
        <family val="2"/>
      </rPr>
      <t xml:space="preserve">.  Survey inputs should be completed manually, by typing in responses or by use of a drop-down menu.  The use of copy and paste can corrupt the survey template.  If your survey response is corrupted as a result of copy and paste responses, a new survey will be sent to you for immediate completion. </t>
    </r>
  </si>
  <si>
    <r>
      <t xml:space="preserve">Questions related to this Excel survey should be directed to:
</t>
    </r>
    <r>
      <rPr>
        <u/>
        <sz val="10"/>
        <color indexed="12"/>
        <rFont val="Arial"/>
        <family val="2"/>
      </rPr>
      <t>CriticalFacility@bis.doc.gov</t>
    </r>
    <r>
      <rPr>
        <sz val="10"/>
        <color indexed="8"/>
        <rFont val="Arial"/>
        <family val="2"/>
      </rPr>
      <t>.  (E-mail is the preferred method of contact).
You may also speak with a member of BIS survey support staff by calling (202) 482-7808.</t>
    </r>
  </si>
  <si>
    <r>
      <t xml:space="preserve">A nine-digit numbering system that uniquely identifies an individual business. Find DUNS numbers at </t>
    </r>
    <r>
      <rPr>
        <u/>
        <sz val="10"/>
        <color indexed="12"/>
        <rFont val="Arial"/>
        <family val="2"/>
      </rPr>
      <t>http://fedgov.dnb.com/webform</t>
    </r>
    <r>
      <rPr>
        <sz val="10"/>
        <color indexed="8"/>
        <rFont val="Arial"/>
        <family val="2"/>
      </rPr>
      <t>.</t>
    </r>
  </si>
  <si>
    <r>
      <t xml:space="preserve">Commercial and Government Entity (CAGE) Code identifies companies doing or wishing to do business with the U.S. Federal Government.  The code is used to support mechanized government systems and provides a standardized method of identifying a given facility at a specific location. Find CAGE codes at </t>
    </r>
    <r>
      <rPr>
        <u/>
        <sz val="10"/>
        <color indexed="12"/>
        <rFont val="Arial"/>
        <family val="2"/>
      </rPr>
      <t>https://cage.dla.mil/search/</t>
    </r>
    <r>
      <rPr>
        <sz val="10"/>
        <rFont val="Arial"/>
        <family val="2"/>
      </rPr>
      <t>.</t>
    </r>
  </si>
  <si>
    <r>
      <t xml:space="preserve">North American Industry Classification System (NAICS) codes identify the category of product(s) or service(s) provided by an organization.  Find NAICS codes at </t>
    </r>
    <r>
      <rPr>
        <u/>
        <sz val="10"/>
        <color indexed="12"/>
        <rFont val="Arial"/>
        <family val="2"/>
      </rPr>
      <t>http://www.census.gov/epcd/www/naics.html</t>
    </r>
  </si>
  <si>
    <r>
      <t xml:space="preserve">This survey is intended to cover all operations at a single location, including but not limited to the DSS cleared area.  Your answers to this survey should address all operations at this location.  </t>
    </r>
    <r>
      <rPr>
        <sz val="10"/>
        <color indexed="8"/>
        <rFont val="Arial"/>
        <family val="2"/>
      </rPr>
      <t>Contact survey support staff with any questions.</t>
    </r>
  </si>
  <si>
    <r>
      <t xml:space="preserve">Please provide the following identification codes, as applicable, for your location.  
*Find your location's North American Industry Classification System (NAICS) codes at </t>
    </r>
    <r>
      <rPr>
        <u/>
        <sz val="10"/>
        <color indexed="12"/>
        <rFont val="Arial"/>
        <family val="2"/>
      </rPr>
      <t>http://www.census.gov/epcd/www/naics.html</t>
    </r>
    <r>
      <rPr>
        <sz val="10"/>
        <color indexed="8"/>
        <rFont val="Arial"/>
        <family val="2"/>
      </rPr>
      <t>.</t>
    </r>
  </si>
  <si>
    <r>
      <rPr>
        <b/>
        <sz val="10"/>
        <color indexed="8"/>
        <rFont val="Arial"/>
        <family val="2"/>
      </rPr>
      <t>USG Program Identification</t>
    </r>
    <r>
      <rPr>
        <sz val="10"/>
        <color indexed="8"/>
        <rFont val="Arial"/>
        <family val="2"/>
      </rPr>
      <t xml:space="preserve">
</t>
    </r>
    <r>
      <rPr>
        <b/>
        <sz val="10"/>
        <color indexed="10"/>
        <rFont val="Arial"/>
        <family val="2"/>
      </rPr>
      <t>Do not disclose any classified information in this survey form.</t>
    </r>
  </si>
  <si>
    <r>
      <t xml:space="preserve">For each type of input provided to your location by a key supplier: 
   - First, in column 1, select the general category of the input supplied (Raw Materials, Electronics, Manufacturing Equipment, etc.).  Then, select in column 2 the specific type of input and provide a description of the input in column 3.  
   - Next, in columns 4-6, provide supplier information, and select in column 7 the primary product/service area (earlier specified in Section 3) in which your location uses the input.  
   - Finally, indicate in columns 8-13 whether the supplier/input is critical for any reason. 
Note: </t>
    </r>
    <r>
      <rPr>
        <b/>
        <i/>
        <sz val="10"/>
        <color indexed="10"/>
        <rFont val="Arial"/>
        <family val="2"/>
      </rPr>
      <t>Provision of supplier information is mandatory</t>
    </r>
    <r>
      <rPr>
        <sz val="10"/>
        <color indexed="8"/>
        <rFont val="Arial"/>
        <family val="2"/>
      </rPr>
      <t>.  Per Section 705(d) of the Defense Production Act, all data contained in this survey response remains business confidential and is exampt from Freedom of Information Act (FOIA) requests.</t>
    </r>
  </si>
  <si>
    <t>Input Details - Inputs to Your Products/Services</t>
  </si>
  <si>
    <t>Supplier Information - Your Supplier</t>
  </si>
  <si>
    <r>
      <t xml:space="preserve">Provide your location's total sales information for the past three years to U.S. and non-U.S. customers.  If location level data is not available, contact survey support staff at </t>
    </r>
    <r>
      <rPr>
        <u/>
        <sz val="10"/>
        <color indexed="12"/>
        <rFont val="Arial"/>
        <family val="2"/>
      </rPr>
      <t>CriticalFacility@bis.doc.gov</t>
    </r>
    <r>
      <rPr>
        <sz val="10"/>
        <color indexed="8"/>
        <rFont val="Arial"/>
        <family val="2"/>
      </rPr>
      <t xml:space="preserve"> before entering higher level data.
In Part B, indicate your location's total sales for defense-related purposes (including commercial and government sales).
In Part C, indicate your location's total sales from classified contracts. 
In Part D, indicate your location's total sales to all governments. 
Note: "U.S." means U.S. domestic sales; "Non-U.S." means export sales from U.S. locations.</t>
    </r>
  </si>
  <si>
    <t>* Furnish full year estimates for 2015 if data is unavailable.</t>
  </si>
  <si>
    <r>
      <rPr>
        <i/>
        <sz val="10"/>
        <color indexed="8"/>
        <rFont val="Arial"/>
        <family val="2"/>
      </rPr>
      <t>Estimated</t>
    </r>
    <r>
      <rPr>
        <sz val="10"/>
        <color indexed="8"/>
        <rFont val="Arial"/>
        <family val="2"/>
      </rPr>
      <t xml:space="preserve"> total number of U.S.-based customers in past three years:</t>
    </r>
  </si>
  <si>
    <r>
      <rPr>
        <i/>
        <sz val="10"/>
        <color indexed="8"/>
        <rFont val="Arial"/>
        <family val="2"/>
      </rPr>
      <t>Estimated</t>
    </r>
    <r>
      <rPr>
        <sz val="10"/>
        <color indexed="8"/>
        <rFont val="Arial"/>
        <family val="2"/>
      </rPr>
      <t xml:space="preserve"> total number of non-U.S.-based customers in past three years:</t>
    </r>
  </si>
  <si>
    <r>
      <t>Is this location familiar with the National Institute of Standards and Technology's (NIST) Cyber Security Framework? (</t>
    </r>
    <r>
      <rPr>
        <u/>
        <sz val="10"/>
        <color indexed="12"/>
        <rFont val="Arial"/>
        <family val="2"/>
      </rPr>
      <t>http://www.nist.gov/cyberframework/</t>
    </r>
    <r>
      <rPr>
        <sz val="10"/>
        <color indexed="8"/>
        <rFont val="Arial"/>
        <family val="2"/>
      </rPr>
      <t>):</t>
    </r>
  </si>
  <si>
    <r>
      <t xml:space="preserve">Identify the top ten contracts with active DD-254s your location manages, in descending order of total contract award dollars.
</t>
    </r>
    <r>
      <rPr>
        <b/>
        <sz val="10"/>
        <color indexed="10"/>
        <rFont val="Arial"/>
        <family val="2"/>
      </rPr>
      <t>Do not disclose any classified information in this survey form.  If any of the requested information is classified, enter "Classified" in the corresponding field.</t>
    </r>
  </si>
  <si>
    <r>
      <t xml:space="preserve">Basic Research </t>
    </r>
    <r>
      <rPr>
        <sz val="8"/>
        <color indexed="8"/>
        <rFont val="Arial"/>
        <family val="2"/>
      </rPr>
      <t>(as a percent of B1)</t>
    </r>
  </si>
  <si>
    <r>
      <t xml:space="preserve">Applied Research </t>
    </r>
    <r>
      <rPr>
        <sz val="8"/>
        <color indexed="8"/>
        <rFont val="Arial"/>
        <family val="2"/>
      </rPr>
      <t>(as a percent of B1)</t>
    </r>
  </si>
  <si>
    <r>
      <t xml:space="preserve">Product/Process Development </t>
    </r>
    <r>
      <rPr>
        <sz val="8"/>
        <color indexed="8"/>
        <rFont val="Arial"/>
        <family val="2"/>
      </rPr>
      <t>(as a percent of B1)</t>
    </r>
  </si>
  <si>
    <r>
      <t xml:space="preserve">Internal/Self-Funded/IRAD </t>
    </r>
    <r>
      <rPr>
        <sz val="8"/>
        <color indexed="8"/>
        <rFont val="Arial"/>
        <family val="2"/>
      </rPr>
      <t>(as a percent of C1)</t>
    </r>
  </si>
  <si>
    <r>
      <t xml:space="preserve">Total Federal Government </t>
    </r>
    <r>
      <rPr>
        <sz val="8"/>
        <color indexed="8"/>
        <rFont val="Arial"/>
        <family val="2"/>
      </rPr>
      <t>(as a percent of C1)</t>
    </r>
  </si>
  <si>
    <r>
      <t>Total State and Local Government</t>
    </r>
    <r>
      <rPr>
        <sz val="8"/>
        <color indexed="8"/>
        <rFont val="Arial"/>
        <family val="2"/>
      </rPr>
      <t xml:space="preserve"> (as a percent of C1)</t>
    </r>
  </si>
  <si>
    <r>
      <t xml:space="preserve">Universities - Public and Private </t>
    </r>
    <r>
      <rPr>
        <sz val="8"/>
        <color indexed="8"/>
        <rFont val="Arial"/>
        <family val="2"/>
      </rPr>
      <t>(as a percent of C1)</t>
    </r>
  </si>
  <si>
    <r>
      <t xml:space="preserve">U.S. Industry, Venture Capital, Non-Profit </t>
    </r>
    <r>
      <rPr>
        <sz val="8"/>
        <color indexed="8"/>
        <rFont val="Arial"/>
        <family val="2"/>
      </rPr>
      <t>(as a percent of C1)</t>
    </r>
  </si>
  <si>
    <r>
      <t xml:space="preserve">Non-U.S. Investors </t>
    </r>
    <r>
      <rPr>
        <sz val="8"/>
        <color indexed="8"/>
        <rFont val="Arial"/>
        <family val="2"/>
      </rPr>
      <t>(as a percent of C1)</t>
    </r>
  </si>
  <si>
    <t>Estimated Percent of Your Location's Total Sales Attributable to USG Agency</t>
  </si>
  <si>
    <t>Possessing</t>
  </si>
  <si>
    <r>
      <rPr>
        <sz val="2"/>
        <color indexed="8"/>
        <rFont val="Arial"/>
        <family val="2"/>
      </rPr>
      <t xml:space="preserve"> </t>
    </r>
    <r>
      <rPr>
        <sz val="10"/>
        <color indexed="8"/>
        <rFont val="Arial"/>
        <family val="2"/>
      </rPr>
      <t>None at All</t>
    </r>
  </si>
  <si>
    <t>v.20160520</t>
  </si>
  <si>
    <r>
      <t xml:space="preserve">Lines B-D need not sum to 100%.  Estimates are acceptable.  Ensure you complete lines B-D for all years with sales.
</t>
    </r>
    <r>
      <rPr>
        <b/>
        <sz val="10"/>
        <color indexed="10"/>
        <rFont val="Arial"/>
        <family val="2"/>
      </rPr>
      <t>Do not disclose any classified information in this survey form.</t>
    </r>
  </si>
  <si>
    <t>If Yes, indicate which types:</t>
  </si>
  <si>
    <t xml:space="preserve">Does your organization have a parent company? </t>
  </si>
  <si>
    <t>If Yes, provide the following information on your parent organization(s):</t>
  </si>
  <si>
    <r>
      <t xml:space="preserve">Is this location a possessing (has access to on-site classified information) or non-possessing (employees only access classified information off-site) facility?
</t>
    </r>
    <r>
      <rPr>
        <b/>
        <sz val="10"/>
        <color indexed="8"/>
        <rFont val="Arial"/>
        <family val="2"/>
      </rPr>
      <t>ALL LOCATIONS (possessing and non-possessing) should complete this section, based on their on-site systems.</t>
    </r>
  </si>
  <si>
    <t>Does your organization qualify as any of the following types of business?</t>
  </si>
  <si>
    <t>How many mergers, acquisitions, and divestitures has your organization been involved in over the past 10 years?</t>
  </si>
  <si>
    <t>Is this the only location your organization currently operates?</t>
  </si>
  <si>
    <r>
      <t xml:space="preserve">From the list of select U.S. Government programs provided below, identify each program your location has directly or indirectly supported in the past three years.  Then, select the top five product/services your location provides for each program supported.  
The product/service drop-down list is based on your responses to Section 3.  If your product or service does not appear in the drop-down, ensure that you have indicated in Section 3 that your location provides the product or service. 
If you participate in a USG program that is not listed below, you may enter it manually at the bottom of this page (entries 211-230).  In these cases, identify the relevant agency in the 'U.S. Government Agency' column and then identify the program name in the 'Program Name' column. If you would like to list more programs than space allows, contact survey support staff at </t>
    </r>
    <r>
      <rPr>
        <u/>
        <sz val="10"/>
        <color indexed="12"/>
        <rFont val="Arial"/>
        <family val="2"/>
      </rPr>
      <t>CriticalFacility@bis.doc.gov</t>
    </r>
    <r>
      <rPr>
        <sz val="10"/>
        <color indexed="8"/>
        <rFont val="Arial"/>
        <family val="2"/>
      </rPr>
      <t xml:space="preserve"> for instructions.</t>
    </r>
  </si>
  <si>
    <t>How many contracts with active DD-254s does this location manage/administer:</t>
  </si>
  <si>
    <t>Expiration Date: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</si>
</sst>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0"/>
  </numFmts>
  <fonts count="22" x14ac:knownFonts="1">
    <font>
      <sz val="11"/>
      <color theme="1"/>
      <name val="Calibri"/>
      <family val="2"/>
      <scheme val="minor"/>
    </font>
    <font>
      <sz val="10"/>
      <name val="Arial"/>
      <family val="2"/>
    </font>
    <font>
      <u/>
      <sz val="10"/>
      <color indexed="12"/>
      <name val="Arial"/>
      <family val="2"/>
    </font>
    <font>
      <sz val="10"/>
      <color indexed="8"/>
      <name val="Arial"/>
      <family val="2"/>
    </font>
    <font>
      <b/>
      <sz val="10"/>
      <color indexed="10"/>
      <name val="Arial"/>
      <family val="2"/>
    </font>
    <font>
      <b/>
      <sz val="10"/>
      <color indexed="8"/>
      <name val="Arial"/>
      <family val="2"/>
    </font>
    <font>
      <b/>
      <u/>
      <sz val="10"/>
      <color indexed="10"/>
      <name val="Arial"/>
      <family val="2"/>
    </font>
    <font>
      <sz val="8"/>
      <color indexed="8"/>
      <name val="Arial"/>
      <family val="2"/>
    </font>
    <font>
      <b/>
      <i/>
      <sz val="10"/>
      <color indexed="10"/>
      <name val="Arial"/>
      <family val="2"/>
    </font>
    <font>
      <i/>
      <sz val="10"/>
      <color indexed="8"/>
      <name val="Arial"/>
      <family val="2"/>
    </font>
    <font>
      <sz val="2"/>
      <color indexed="8"/>
      <name val="Arial"/>
      <family val="2"/>
    </font>
    <font>
      <sz val="11"/>
      <color theme="1"/>
      <name val="Calibri"/>
      <family val="2"/>
      <scheme val="minor"/>
    </font>
    <font>
      <sz val="11"/>
      <color rgb="FFFF0000"/>
      <name val="Calibri"/>
      <family val="2"/>
      <scheme val="minor"/>
    </font>
    <font>
      <b/>
      <sz val="10"/>
      <color theme="1"/>
      <name val="Arial"/>
      <family val="2"/>
    </font>
    <font>
      <b/>
      <sz val="12"/>
      <color theme="0"/>
      <name val="Arial"/>
      <family val="2"/>
    </font>
    <font>
      <sz val="10"/>
      <color theme="1"/>
      <name val="Arial"/>
      <family val="2"/>
    </font>
    <font>
      <b/>
      <sz val="10"/>
      <color theme="0"/>
      <name val="Arial"/>
      <family val="2"/>
    </font>
    <font>
      <sz val="10"/>
      <color theme="0"/>
      <name val="Arial"/>
      <family val="2"/>
    </font>
    <font>
      <b/>
      <sz val="10"/>
      <color rgb="FFFF0000"/>
      <name val="Arial"/>
      <family val="2"/>
    </font>
    <font>
      <i/>
      <sz val="8"/>
      <color theme="1"/>
      <name val="Arial"/>
      <family val="2"/>
    </font>
    <font>
      <sz val="6"/>
      <color theme="0"/>
      <name val="Arial"/>
      <family val="2"/>
    </font>
    <font>
      <sz val="8"/>
      <color theme="0"/>
      <name val="Arial"/>
      <family val="2"/>
    </font>
  </fonts>
  <fills count="12">
    <fill>
      <patternFill patternType="none"/>
    </fill>
    <fill>
      <patternFill patternType="gray125"/>
    </fill>
    <fill>
      <patternFill patternType="solid">
        <fgColor theme="4"/>
        <bgColor indexed="64"/>
      </patternFill>
    </fill>
    <fill>
      <patternFill patternType="solid">
        <fgColor theme="0" tint="-0.14999847407452621"/>
        <bgColor indexed="64"/>
      </patternFill>
    </fill>
    <fill>
      <patternFill patternType="solid">
        <fgColor theme="1"/>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00DE00"/>
        <bgColor indexed="64"/>
      </patternFill>
    </fill>
    <fill>
      <patternFill patternType="solid">
        <fgColor theme="0" tint="-0.34998626667073579"/>
        <bgColor indexed="64"/>
      </patternFill>
    </fill>
  </fills>
  <borders count="201">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right/>
      <top style="medium">
        <color indexed="64"/>
      </top>
      <bottom style="double">
        <color indexed="64"/>
      </bottom>
      <diagonal/>
    </border>
    <border>
      <left/>
      <right/>
      <top style="double">
        <color indexed="64"/>
      </top>
      <bottom style="double">
        <color indexed="64"/>
      </bottom>
      <diagonal/>
    </border>
    <border>
      <left style="medium">
        <color indexed="64"/>
      </left>
      <right/>
      <top style="medium">
        <color indexed="64"/>
      </top>
      <bottom style="double">
        <color indexed="64"/>
      </bottom>
      <diagonal/>
    </border>
    <border>
      <left style="medium">
        <color indexed="64"/>
      </left>
      <right/>
      <top style="double">
        <color indexed="64"/>
      </top>
      <bottom style="double">
        <color indexed="64"/>
      </bottom>
      <diagonal/>
    </border>
    <border>
      <left style="thin">
        <color indexed="64"/>
      </left>
      <right style="medium">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bottom/>
      <diagonal/>
    </border>
    <border>
      <left style="thin">
        <color indexed="64"/>
      </left>
      <right style="double">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style="thin">
        <color indexed="64"/>
      </right>
      <top style="double">
        <color indexed="64"/>
      </top>
      <bottom style="double">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medium">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indexed="64"/>
      </bottom>
      <diagonal/>
    </border>
    <border>
      <left style="medium">
        <color indexed="64"/>
      </left>
      <right style="thin">
        <color theme="0" tint="-0.34998626667073579"/>
      </right>
      <top style="medium">
        <color indexed="64"/>
      </top>
      <bottom style="thin">
        <color theme="0" tint="-0.34998626667073579"/>
      </bottom>
      <diagonal/>
    </border>
    <border>
      <left style="medium">
        <color indexed="64"/>
      </left>
      <right style="thin">
        <color theme="0" tint="-0.34998626667073579"/>
      </right>
      <top style="thin">
        <color theme="0" tint="-0.34998626667073579"/>
      </top>
      <bottom/>
      <diagonal/>
    </border>
    <border>
      <left style="thin">
        <color theme="0" tint="-0.34998626667073579"/>
      </left>
      <right style="medium">
        <color indexed="64"/>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style="thin">
        <color indexed="64"/>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medium">
        <color indexed="64"/>
      </bottom>
      <diagonal/>
    </border>
    <border>
      <left/>
      <right/>
      <top style="thin">
        <color theme="0" tint="-0.34998626667073579"/>
      </top>
      <bottom style="thin">
        <color indexed="64"/>
      </bottom>
      <diagonal/>
    </border>
    <border>
      <left style="thin">
        <color theme="0" tint="-0.34998626667073579"/>
      </left>
      <right/>
      <top style="thin">
        <color theme="0" tint="-0.34998626667073579"/>
      </top>
      <bottom style="thin">
        <color indexed="64"/>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top/>
      <bottom/>
      <diagonal/>
    </border>
    <border>
      <left style="thin">
        <color theme="0" tint="-0.34998626667073579"/>
      </left>
      <right style="medium">
        <color indexed="64"/>
      </right>
      <top/>
      <bottom/>
      <diagonal/>
    </border>
    <border>
      <left style="medium">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medium">
        <color indexed="64"/>
      </left>
      <right style="thin">
        <color indexed="64"/>
      </right>
      <top style="thin">
        <color theme="0" tint="-0.34998626667073579"/>
      </top>
      <bottom/>
      <diagonal/>
    </border>
    <border>
      <left style="thin">
        <color indexed="64"/>
      </left>
      <right style="medium">
        <color indexed="64"/>
      </right>
      <top style="medium">
        <color indexed="64"/>
      </top>
      <bottom style="thin">
        <color theme="0" tint="-0.34998626667073579"/>
      </bottom>
      <diagonal/>
    </border>
    <border>
      <left/>
      <right/>
      <top style="thin">
        <color indexed="64"/>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medium">
        <color indexed="64"/>
      </left>
      <right style="thin">
        <color theme="0" tint="-0.34998626667073579"/>
      </right>
      <top/>
      <bottom style="medium">
        <color indexed="64"/>
      </bottom>
      <diagonal/>
    </border>
    <border>
      <left style="thin">
        <color theme="0" tint="-0.34998626667073579"/>
      </left>
      <right/>
      <top/>
      <bottom style="medium">
        <color indexed="64"/>
      </bottom>
      <diagonal/>
    </border>
    <border>
      <left style="thin">
        <color theme="0" tint="-0.34998626667073579"/>
      </left>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indexed="64"/>
      </left>
      <right/>
      <top style="thin">
        <color theme="0" tint="-0.34998626667073579"/>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medium">
        <color indexed="64"/>
      </bottom>
      <diagonal/>
    </border>
    <border>
      <left style="medium">
        <color indexed="64"/>
      </left>
      <right/>
      <top style="medium">
        <color indexed="64"/>
      </top>
      <bottom style="thin">
        <color theme="0" tint="-0.34998626667073579"/>
      </bottom>
      <diagonal/>
    </border>
    <border>
      <left style="medium">
        <color indexed="64"/>
      </left>
      <right/>
      <top style="thin">
        <color theme="0" tint="-0.34998626667073579"/>
      </top>
      <bottom style="medium">
        <color indexed="64"/>
      </bottom>
      <diagonal/>
    </border>
    <border>
      <left style="medium">
        <color indexed="64"/>
      </left>
      <right style="medium">
        <color indexed="64"/>
      </right>
      <top style="thin">
        <color theme="0" tint="-0.34998626667073579"/>
      </top>
      <bottom style="medium">
        <color indexed="64"/>
      </bottom>
      <diagonal/>
    </border>
    <border>
      <left/>
      <right/>
      <top style="medium">
        <color indexed="64"/>
      </top>
      <bottom style="thin">
        <color theme="0" tint="-0.34998626667073579"/>
      </bottom>
      <diagonal/>
    </border>
    <border>
      <left style="thin">
        <color theme="0" tint="-0.34998626667073579"/>
      </left>
      <right/>
      <top style="medium">
        <color indexed="64"/>
      </top>
      <bottom/>
      <diagonal/>
    </border>
    <border>
      <left style="thin">
        <color theme="0" tint="-0.34998626667073579"/>
      </left>
      <right/>
      <top style="thin">
        <color theme="0" tint="-0.34998626667073579"/>
      </top>
      <bottom/>
      <diagonal/>
    </border>
    <border>
      <left style="thin">
        <color theme="0" tint="-0.34998626667073579"/>
      </left>
      <right/>
      <top/>
      <bottom style="thin">
        <color indexed="64"/>
      </bottom>
      <diagonal/>
    </border>
    <border>
      <left style="thin">
        <color theme="0" tint="-0.34998626667073579"/>
      </left>
      <right style="medium">
        <color indexed="64"/>
      </right>
      <top style="medium">
        <color indexed="64"/>
      </top>
      <bottom style="thin">
        <color indexed="64"/>
      </bottom>
      <diagonal/>
    </border>
    <border>
      <left style="thin">
        <color theme="0" tint="-0.34998626667073579"/>
      </left>
      <right style="thin">
        <color theme="0" tint="-0.34998626667073579"/>
      </right>
      <top style="medium">
        <color indexed="64"/>
      </top>
      <bottom style="thin">
        <color indexed="64"/>
      </bottom>
      <diagonal/>
    </border>
    <border>
      <left style="thin">
        <color theme="0" tint="-0.34998626667073579"/>
      </left>
      <right style="thin">
        <color indexed="64"/>
      </right>
      <top style="thin">
        <color theme="0" tint="-0.34998626667073579"/>
      </top>
      <bottom/>
      <diagonal/>
    </border>
    <border>
      <left style="medium">
        <color indexed="64"/>
      </left>
      <right/>
      <top/>
      <bottom style="thin">
        <color theme="0" tint="-0.34998626667073579"/>
      </bottom>
      <diagonal/>
    </border>
    <border>
      <left/>
      <right/>
      <top/>
      <bottom style="thin">
        <color theme="0" tint="-0.34998626667073579"/>
      </bottom>
      <diagonal/>
    </border>
    <border>
      <left/>
      <right style="medium">
        <color indexed="64"/>
      </right>
      <top/>
      <bottom style="thin">
        <color theme="0" tint="-0.34998626667073579"/>
      </bottom>
      <diagonal/>
    </border>
    <border>
      <left style="medium">
        <color indexed="64"/>
      </left>
      <right style="thin">
        <color theme="0" tint="-0.34998626667073579"/>
      </right>
      <top style="thin">
        <color theme="0" tint="-0.34998626667073579"/>
      </top>
      <bottom style="thin">
        <color indexed="64"/>
      </bottom>
      <diagonal/>
    </border>
    <border>
      <left style="medium">
        <color indexed="64"/>
      </left>
      <right/>
      <top style="thin">
        <color theme="0" tint="-0.34998626667073579"/>
      </top>
      <bottom style="thin">
        <color indexed="64"/>
      </bottom>
      <diagonal/>
    </border>
    <border>
      <left style="thin">
        <color theme="0" tint="-0.34998626667073579"/>
      </left>
      <right/>
      <top style="medium">
        <color indexed="64"/>
      </top>
      <bottom style="double">
        <color indexed="64"/>
      </bottom>
      <diagonal/>
    </border>
    <border>
      <left style="thin">
        <color theme="0" tint="-0.34998626667073579"/>
      </left>
      <right/>
      <top style="double">
        <color indexed="64"/>
      </top>
      <bottom style="double">
        <color indexed="64"/>
      </bottom>
      <diagonal/>
    </border>
    <border>
      <left style="thin">
        <color theme="0" tint="-0.34998626667073579"/>
      </left>
      <right/>
      <top style="double">
        <color indexed="64"/>
      </top>
      <bottom style="medium">
        <color indexed="64"/>
      </bottom>
      <diagonal/>
    </border>
    <border>
      <left style="medium">
        <color indexed="64"/>
      </left>
      <right style="thin">
        <color indexed="64"/>
      </right>
      <top/>
      <bottom style="thin">
        <color theme="0" tint="-0.34998626667073579"/>
      </bottom>
      <diagonal/>
    </border>
    <border>
      <left style="double">
        <color indexed="64"/>
      </left>
      <right style="double">
        <color indexed="64"/>
      </right>
      <top style="thin">
        <color theme="0" tint="-0.34998626667073579"/>
      </top>
      <bottom/>
      <diagonal/>
    </border>
    <border>
      <left style="thin">
        <color indexed="64"/>
      </left>
      <right style="thin">
        <color indexed="64"/>
      </right>
      <top style="thin">
        <color theme="0" tint="-0.34998626667073579"/>
      </top>
      <bottom style="medium">
        <color indexed="64"/>
      </bottom>
      <diagonal/>
    </border>
    <border>
      <left/>
      <right style="thin">
        <color theme="0" tint="-0.34998626667073579"/>
      </right>
      <top style="medium">
        <color indexed="64"/>
      </top>
      <bottom style="thin">
        <color theme="0" tint="-0.34998626667073579"/>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top/>
      <bottom style="thin">
        <color theme="0" tint="-0.34998626667073579"/>
      </bottom>
      <diagonal/>
    </border>
    <border>
      <left style="thin">
        <color indexed="64"/>
      </left>
      <right/>
      <top style="thin">
        <color theme="0" tint="-0.34998626667073579"/>
      </top>
      <bottom style="medium">
        <color indexed="64"/>
      </bottom>
      <diagonal/>
    </border>
    <border>
      <left style="thin">
        <color theme="0" tint="-0.34998626667073579"/>
      </left>
      <right/>
      <top style="thin">
        <color indexed="64"/>
      </top>
      <bottom style="thin">
        <color indexed="64"/>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indexed="64"/>
      </right>
      <top/>
      <bottom style="thin">
        <color theme="0" tint="-0.34998626667073579"/>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right style="thin">
        <color indexed="64"/>
      </right>
      <top style="thin">
        <color theme="0" tint="-0.34998626667073579"/>
      </top>
      <bottom style="thin">
        <color theme="0" tint="-0.34998626667073579"/>
      </bottom>
      <diagonal/>
    </border>
    <border>
      <left/>
      <right style="thin">
        <color theme="0" tint="-0.34998626667073579"/>
      </right>
      <top/>
      <bottom style="thin">
        <color indexed="64"/>
      </bottom>
      <diagonal/>
    </border>
    <border>
      <left/>
      <right style="thin">
        <color theme="0" tint="-0.34998626667073579"/>
      </right>
      <top style="thin">
        <color theme="0" tint="-0.34998626667073579"/>
      </top>
      <bottom style="thin">
        <color theme="0" tint="-0.34998626667073579"/>
      </bottom>
      <diagonal/>
    </border>
    <border>
      <left/>
      <right style="medium">
        <color indexed="64"/>
      </right>
      <top style="thin">
        <color theme="0" tint="-0.34998626667073579"/>
      </top>
      <bottom style="thin">
        <color indexed="64"/>
      </bottom>
      <diagonal/>
    </border>
    <border>
      <left/>
      <right style="medium">
        <color indexed="64"/>
      </right>
      <top style="thin">
        <color theme="0" tint="-0.34998626667073579"/>
      </top>
      <bottom/>
      <diagonal/>
    </border>
    <border>
      <left style="thin">
        <color theme="0" tint="-0.34998626667073579"/>
      </left>
      <right style="medium">
        <color indexed="64"/>
      </right>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diagonal/>
    </border>
    <border>
      <left style="thin">
        <color theme="0" tint="-0.34998626667073579"/>
      </left>
      <right style="medium">
        <color indexed="64"/>
      </right>
      <top/>
      <bottom style="medium">
        <color indexed="64"/>
      </bottom>
      <diagonal/>
    </border>
    <border>
      <left style="thin">
        <color theme="0" tint="-0.34998626667073579"/>
      </left>
      <right/>
      <top style="medium">
        <color indexed="64"/>
      </top>
      <bottom style="medium">
        <color indexed="64"/>
      </bottom>
      <diagonal/>
    </border>
    <border>
      <left style="medium">
        <color indexed="64"/>
      </left>
      <right style="thin">
        <color theme="0" tint="-0.34998626667073579"/>
      </right>
      <top style="medium">
        <color indexed="64"/>
      </top>
      <bottom/>
      <diagonal/>
    </border>
    <border>
      <left style="medium">
        <color indexed="64"/>
      </left>
      <right style="thin">
        <color theme="0" tint="-0.34998626667073579"/>
      </right>
      <top/>
      <bottom/>
      <diagonal/>
    </border>
    <border>
      <left style="thin">
        <color theme="0" tint="-0.34998626667073579"/>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right style="thin">
        <color theme="0" tint="-0.34998626667073579"/>
      </right>
      <top style="thin">
        <color theme="0" tint="-0.34998626667073579"/>
      </top>
      <bottom style="thin">
        <color indexed="64"/>
      </bottom>
      <diagonal/>
    </border>
    <border>
      <left/>
      <right style="thin">
        <color indexed="64"/>
      </right>
      <top style="thin">
        <color theme="0" tint="-0.34998626667073579"/>
      </top>
      <bottom/>
      <diagonal/>
    </border>
    <border>
      <left/>
      <right/>
      <top style="thin">
        <color theme="0" tint="-0.34998626667073579"/>
      </top>
      <bottom style="medium">
        <color indexed="64"/>
      </bottom>
      <diagonal/>
    </border>
    <border>
      <left/>
      <right style="thin">
        <color theme="0" tint="-0.34998626667073579"/>
      </right>
      <top style="thin">
        <color theme="0" tint="-0.34998626667073579"/>
      </top>
      <bottom/>
      <diagonal/>
    </border>
    <border>
      <left style="thin">
        <color indexed="64"/>
      </left>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top style="thin">
        <color theme="0" tint="-0.34998626667073579"/>
      </top>
      <bottom/>
      <diagonal/>
    </border>
    <border>
      <left/>
      <right style="medium">
        <color indexed="64"/>
      </right>
      <top style="thin">
        <color theme="0" tint="-0.34998626667073579"/>
      </top>
      <bottom style="medium">
        <color indexed="64"/>
      </bottom>
      <diagonal/>
    </border>
    <border>
      <left style="medium">
        <color indexed="64"/>
      </left>
      <right style="medium">
        <color indexed="64"/>
      </right>
      <top style="medium">
        <color indexed="64"/>
      </top>
      <bottom style="thin">
        <color theme="0" tint="-0.34998626667073579"/>
      </bottom>
      <diagonal/>
    </border>
    <border>
      <left style="medium">
        <color indexed="64"/>
      </left>
      <right style="medium">
        <color indexed="64"/>
      </right>
      <top style="thin">
        <color theme="0" tint="-0.34998626667073579"/>
      </top>
      <bottom style="thin">
        <color theme="0" tint="-0.34998626667073579"/>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right style="thin">
        <color theme="0" tint="-0.34998626667073579"/>
      </right>
      <top/>
      <bottom/>
      <diagonal/>
    </border>
    <border>
      <left style="thin">
        <color theme="0" tint="-0.34998626667073579"/>
      </left>
      <right style="thin">
        <color theme="0" tint="-0.34998626667073579"/>
      </right>
      <top/>
      <bottom style="thin">
        <color indexed="64"/>
      </bottom>
      <diagonal/>
    </border>
    <border>
      <left style="thin">
        <color theme="0" tint="-0.34998626667073579"/>
      </left>
      <right style="thin">
        <color theme="0" tint="-0.34998626667073579"/>
      </right>
      <top style="thin">
        <color indexed="64"/>
      </top>
      <bottom/>
      <diagonal/>
    </border>
    <border>
      <left style="thin">
        <color theme="0" tint="-0.34998626667073579"/>
      </left>
      <right style="medium">
        <color indexed="64"/>
      </right>
      <top/>
      <bottom style="thin">
        <color indexed="64"/>
      </bottom>
      <diagonal/>
    </border>
    <border>
      <left style="thin">
        <color theme="0" tint="-0.34998626667073579"/>
      </left>
      <right/>
      <top style="thin">
        <color indexed="64"/>
      </top>
      <bottom/>
      <diagonal/>
    </border>
    <border>
      <left/>
      <right style="thin">
        <color theme="0" tint="-0.34998626667073579"/>
      </right>
      <top/>
      <bottom style="thin">
        <color theme="0" tint="-0.34998626667073579"/>
      </bottom>
      <diagonal/>
    </border>
    <border>
      <left/>
      <right style="thin">
        <color theme="0" tint="-0.34998626667073579"/>
      </right>
      <top style="medium">
        <color indexed="64"/>
      </top>
      <bottom/>
      <diagonal/>
    </border>
    <border>
      <left/>
      <right style="thin">
        <color theme="0" tint="-0.34998626667073579"/>
      </right>
      <top/>
      <bottom style="medium">
        <color indexed="64"/>
      </bottom>
      <diagonal/>
    </border>
    <border>
      <left/>
      <right/>
      <top style="thin">
        <color theme="0" tint="-0.34998626667073579"/>
      </top>
      <bottom style="double">
        <color indexed="64"/>
      </bottom>
      <diagonal/>
    </border>
    <border>
      <left/>
      <right style="double">
        <color indexed="64"/>
      </right>
      <top style="thin">
        <color theme="0" tint="-0.34998626667073579"/>
      </top>
      <bottom style="double">
        <color indexed="64"/>
      </bottom>
      <diagonal/>
    </border>
    <border>
      <left style="double">
        <color indexed="64"/>
      </left>
      <right/>
      <top style="thin">
        <color theme="0" tint="-0.34998626667073579"/>
      </top>
      <bottom style="double">
        <color indexed="64"/>
      </bottom>
      <diagonal/>
    </border>
    <border>
      <left/>
      <right style="medium">
        <color indexed="64"/>
      </right>
      <top style="thin">
        <color theme="0" tint="-0.34998626667073579"/>
      </top>
      <bottom style="double">
        <color indexed="64"/>
      </bottom>
      <diagonal/>
    </border>
    <border>
      <left/>
      <right style="thin">
        <color indexed="64"/>
      </right>
      <top/>
      <bottom style="thin">
        <color theme="0" tint="-0.34998626667073579"/>
      </bottom>
      <diagonal/>
    </border>
    <border>
      <left style="thin">
        <color theme="0" tint="-0.34998626667073579"/>
      </left>
      <right/>
      <top style="thin">
        <color indexed="64"/>
      </top>
      <bottom style="thin">
        <color theme="0" tint="-0.34998626667073579"/>
      </bottom>
      <diagonal/>
    </border>
    <border>
      <left/>
      <right style="medium">
        <color indexed="64"/>
      </right>
      <top style="thin">
        <color indexed="64"/>
      </top>
      <bottom style="thin">
        <color theme="0" tint="-0.34998626667073579"/>
      </bottom>
      <diagonal/>
    </border>
    <border>
      <left/>
      <right style="thin">
        <color theme="0" tint="-0.34998626667073579"/>
      </right>
      <top style="thin">
        <color theme="0" tint="-0.34998626667073579"/>
      </top>
      <bottom style="medium">
        <color indexed="64"/>
      </bottom>
      <diagonal/>
    </border>
  </borders>
  <cellStyleXfs count="6">
    <xf numFmtId="0" fontId="0"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1" fillId="0" borderId="0"/>
    <xf numFmtId="0" fontId="11" fillId="0" borderId="0"/>
    <xf numFmtId="9" fontId="11" fillId="0" borderId="0" applyFont="0" applyFill="0" applyBorder="0" applyAlignment="0" applyProtection="0"/>
  </cellStyleXfs>
  <cellXfs count="775">
    <xf numFmtId="0" fontId="0" fillId="0" borderId="0" xfId="0"/>
    <xf numFmtId="0" fontId="0" fillId="0" borderId="1" xfId="0" applyBorder="1"/>
    <xf numFmtId="0" fontId="0" fillId="0" borderId="2" xfId="0" applyBorder="1"/>
    <xf numFmtId="0" fontId="0" fillId="0" borderId="3" xfId="0" applyBorder="1"/>
    <xf numFmtId="0" fontId="0" fillId="0" borderId="4" xfId="0" applyBorder="1"/>
    <xf numFmtId="0" fontId="0" fillId="0" borderId="0"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Alignment="1">
      <alignment vertical="center"/>
    </xf>
    <xf numFmtId="0" fontId="2" fillId="0" borderId="9" xfId="1" applyBorder="1" applyAlignment="1" applyProtection="1">
      <alignment horizontal="right" vertical="center"/>
    </xf>
    <xf numFmtId="0" fontId="13" fillId="0" borderId="10" xfId="0" applyFont="1" applyBorder="1" applyAlignment="1">
      <alignment horizontal="center" vertical="center" wrapText="1"/>
    </xf>
    <xf numFmtId="0" fontId="14" fillId="2"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15" fillId="0" borderId="10" xfId="0" applyFont="1" applyBorder="1" applyAlignment="1">
      <alignment horizontal="left" vertical="center" wrapText="1"/>
    </xf>
    <xf numFmtId="0" fontId="16" fillId="2" borderId="90" xfId="0" applyFont="1" applyFill="1" applyBorder="1" applyAlignment="1">
      <alignment horizontal="center" vertical="center" wrapText="1"/>
    </xf>
    <xf numFmtId="0" fontId="15" fillId="0" borderId="12" xfId="0" applyFont="1" applyBorder="1" applyAlignment="1">
      <alignment horizontal="right" vertical="center"/>
    </xf>
    <xf numFmtId="0" fontId="15" fillId="0" borderId="0" xfId="0" applyFont="1" applyAlignment="1">
      <alignment vertical="center"/>
    </xf>
    <xf numFmtId="0" fontId="15" fillId="0" borderId="1" xfId="0" applyFont="1" applyBorder="1" applyAlignment="1">
      <alignment vertical="center"/>
    </xf>
    <xf numFmtId="0" fontId="15" fillId="0" borderId="2" xfId="0" applyFont="1" applyBorder="1" applyAlignment="1">
      <alignment vertical="center"/>
    </xf>
    <xf numFmtId="0" fontId="15" fillId="0" borderId="3" xfId="0" applyFont="1" applyBorder="1" applyAlignment="1">
      <alignment vertical="center"/>
    </xf>
    <xf numFmtId="0" fontId="2" fillId="0" borderId="1" xfId="1" applyBorder="1" applyAlignment="1" applyProtection="1">
      <alignment vertical="center"/>
    </xf>
    <xf numFmtId="0" fontId="2" fillId="0" borderId="2" xfId="1" applyBorder="1" applyAlignment="1" applyProtection="1">
      <alignment vertical="center"/>
    </xf>
    <xf numFmtId="0" fontId="2" fillId="0" borderId="2" xfId="1" applyBorder="1" applyAlignment="1" applyProtection="1">
      <alignment horizontal="center" vertical="center"/>
    </xf>
    <xf numFmtId="0" fontId="2" fillId="0" borderId="3" xfId="1" applyBorder="1" applyAlignment="1" applyProtection="1">
      <alignment horizontal="right" vertical="center"/>
    </xf>
    <xf numFmtId="0" fontId="15" fillId="3" borderId="4" xfId="0" applyFont="1" applyFill="1" applyBorder="1" applyAlignment="1">
      <alignment horizontal="center" vertical="center"/>
    </xf>
    <xf numFmtId="0" fontId="15" fillId="0" borderId="0" xfId="0" applyFont="1" applyBorder="1" applyAlignment="1">
      <alignment vertical="center"/>
    </xf>
    <xf numFmtId="0" fontId="15" fillId="0" borderId="5" xfId="0" applyFont="1" applyBorder="1" applyAlignment="1">
      <alignment vertical="center"/>
    </xf>
    <xf numFmtId="0" fontId="2" fillId="0" borderId="13" xfId="1" applyBorder="1" applyAlignment="1" applyProtection="1">
      <alignment vertical="center"/>
    </xf>
    <xf numFmtId="0" fontId="2" fillId="0" borderId="14" xfId="1" applyBorder="1" applyAlignment="1" applyProtection="1">
      <alignment vertical="center"/>
    </xf>
    <xf numFmtId="0" fontId="15" fillId="0" borderId="14" xfId="0" applyFont="1" applyBorder="1" applyAlignment="1">
      <alignment vertical="center"/>
    </xf>
    <xf numFmtId="0" fontId="2" fillId="0" borderId="15" xfId="1" applyBorder="1" applyAlignment="1" applyProtection="1">
      <alignment horizontal="right" vertical="center"/>
    </xf>
    <xf numFmtId="0" fontId="15" fillId="0" borderId="0" xfId="0" applyFont="1" applyBorder="1" applyAlignment="1">
      <alignment vertical="center" wrapText="1"/>
    </xf>
    <xf numFmtId="0" fontId="15" fillId="0" borderId="5" xfId="0" applyFont="1" applyBorder="1" applyAlignment="1">
      <alignment vertical="center" wrapText="1"/>
    </xf>
    <xf numFmtId="0" fontId="15" fillId="0" borderId="4" xfId="0" applyFont="1" applyBorder="1" applyAlignment="1">
      <alignment vertical="center"/>
    </xf>
    <xf numFmtId="0" fontId="15" fillId="3" borderId="91" xfId="0" applyFont="1" applyFill="1" applyBorder="1" applyAlignment="1">
      <alignment horizontal="center" vertical="center"/>
    </xf>
    <xf numFmtId="0" fontId="15" fillId="3" borderId="92" xfId="0" applyFont="1" applyFill="1" applyBorder="1" applyAlignment="1">
      <alignment horizontal="center" vertical="center"/>
    </xf>
    <xf numFmtId="0" fontId="15" fillId="3" borderId="93" xfId="0" applyFont="1" applyFill="1" applyBorder="1" applyAlignment="1">
      <alignment horizontal="center" vertical="center"/>
    </xf>
    <xf numFmtId="0" fontId="15" fillId="0" borderId="0" xfId="0" applyFont="1" applyAlignment="1">
      <alignment vertical="center" wrapText="1"/>
    </xf>
    <xf numFmtId="0" fontId="15" fillId="0" borderId="0" xfId="0" applyFont="1" applyAlignment="1">
      <alignment horizontal="left" vertical="center" wrapText="1"/>
    </xf>
    <xf numFmtId="0" fontId="15" fillId="3" borderId="91" xfId="0" applyFont="1" applyFill="1" applyBorder="1" applyAlignment="1">
      <alignment horizontal="center" vertical="center"/>
    </xf>
    <xf numFmtId="0" fontId="2" fillId="0" borderId="3" xfId="1" applyBorder="1" applyAlignment="1" applyProtection="1">
      <alignment vertical="center"/>
    </xf>
    <xf numFmtId="0" fontId="16" fillId="4" borderId="6" xfId="0" applyFont="1" applyFill="1" applyBorder="1" applyAlignment="1">
      <alignment vertical="center"/>
    </xf>
    <xf numFmtId="0" fontId="16" fillId="4" borderId="7" xfId="0" applyFont="1" applyFill="1" applyBorder="1" applyAlignment="1">
      <alignment vertical="center"/>
    </xf>
    <xf numFmtId="0" fontId="16" fillId="4" borderId="8" xfId="0" applyFont="1" applyFill="1" applyBorder="1" applyAlignment="1">
      <alignment vertical="center"/>
    </xf>
    <xf numFmtId="0" fontId="15" fillId="3" borderId="94" xfId="0" applyFont="1" applyFill="1" applyBorder="1" applyAlignment="1">
      <alignment horizontal="center" vertical="center"/>
    </xf>
    <xf numFmtId="0" fontId="15" fillId="0" borderId="0" xfId="0" applyFont="1" applyAlignment="1">
      <alignment vertical="top"/>
    </xf>
    <xf numFmtId="0" fontId="17" fillId="0" borderId="0" xfId="0" applyFont="1" applyAlignment="1">
      <alignment vertical="center"/>
    </xf>
    <xf numFmtId="0" fontId="15" fillId="3" borderId="91" xfId="0" applyFont="1" applyFill="1" applyBorder="1" applyAlignment="1">
      <alignment horizontal="center" vertical="center" wrapText="1"/>
    </xf>
    <xf numFmtId="0" fontId="2" fillId="0" borderId="15" xfId="1" applyBorder="1" applyAlignment="1" applyProtection="1">
      <alignment vertical="center"/>
    </xf>
    <xf numFmtId="0" fontId="16" fillId="4" borderId="4" xfId="0" applyFont="1" applyFill="1" applyBorder="1" applyAlignment="1">
      <alignment vertical="center"/>
    </xf>
    <xf numFmtId="0" fontId="17" fillId="4" borderId="0" xfId="0" applyFont="1" applyFill="1" applyBorder="1" applyAlignment="1">
      <alignment vertical="center"/>
    </xf>
    <xf numFmtId="0" fontId="17" fillId="4" borderId="5" xfId="0" applyFont="1" applyFill="1" applyBorder="1" applyAlignment="1">
      <alignment vertical="center"/>
    </xf>
    <xf numFmtId="0" fontId="15" fillId="3" borderId="92" xfId="0" applyFont="1" applyFill="1" applyBorder="1" applyAlignment="1">
      <alignment horizontal="center" vertical="center" wrapText="1"/>
    </xf>
    <xf numFmtId="0" fontId="15" fillId="3" borderId="95" xfId="0" applyFont="1" applyFill="1" applyBorder="1" applyAlignment="1">
      <alignment horizontal="center" vertical="center" wrapText="1"/>
    </xf>
    <xf numFmtId="0" fontId="16" fillId="4" borderId="0" xfId="0" applyFont="1" applyFill="1" applyBorder="1" applyAlignment="1">
      <alignment vertical="center"/>
    </xf>
    <xf numFmtId="0" fontId="16" fillId="4" borderId="5" xfId="0" applyFont="1" applyFill="1" applyBorder="1" applyAlignment="1">
      <alignment vertical="center"/>
    </xf>
    <xf numFmtId="0" fontId="15" fillId="3" borderId="0" xfId="0" applyFont="1" applyFill="1" applyBorder="1" applyAlignment="1">
      <alignment vertical="center"/>
    </xf>
    <xf numFmtId="0" fontId="15" fillId="3" borderId="0" xfId="0" applyFont="1" applyFill="1" applyBorder="1" applyAlignment="1">
      <alignment horizontal="center" vertical="center"/>
    </xf>
    <xf numFmtId="0" fontId="15" fillId="3" borderId="5" xfId="0" applyFont="1" applyFill="1" applyBorder="1" applyAlignment="1">
      <alignment vertical="center"/>
    </xf>
    <xf numFmtId="0" fontId="15" fillId="3" borderId="13" xfId="0" applyFont="1" applyFill="1" applyBorder="1" applyAlignment="1">
      <alignment horizontal="center" vertical="center"/>
    </xf>
    <xf numFmtId="0" fontId="15" fillId="3" borderId="7" xfId="0" applyFont="1" applyFill="1" applyBorder="1" applyAlignment="1">
      <alignment vertical="center"/>
    </xf>
    <xf numFmtId="0" fontId="15" fillId="0" borderId="16" xfId="0" applyFont="1" applyBorder="1" applyAlignment="1">
      <alignment vertical="center"/>
    </xf>
    <xf numFmtId="0" fontId="15" fillId="3" borderId="8" xfId="0" applyFont="1" applyFill="1" applyBorder="1" applyAlignment="1">
      <alignment vertical="center"/>
    </xf>
    <xf numFmtId="0" fontId="15" fillId="3" borderId="17" xfId="0" applyFont="1" applyFill="1" applyBorder="1" applyAlignment="1">
      <alignment horizontal="center" vertical="center"/>
    </xf>
    <xf numFmtId="0" fontId="15" fillId="3" borderId="5" xfId="0" applyFont="1" applyFill="1" applyBorder="1" applyAlignment="1">
      <alignment horizontal="center" vertical="center"/>
    </xf>
    <xf numFmtId="0" fontId="15" fillId="3" borderId="18" xfId="0" applyFont="1" applyFill="1" applyBorder="1" applyAlignment="1">
      <alignment vertical="center"/>
    </xf>
    <xf numFmtId="0" fontId="15" fillId="3" borderId="96" xfId="0" applyFont="1" applyFill="1" applyBorder="1" applyAlignment="1">
      <alignment horizontal="center" vertical="center"/>
    </xf>
    <xf numFmtId="0" fontId="15" fillId="3" borderId="97" xfId="0" applyFont="1" applyFill="1" applyBorder="1" applyAlignment="1">
      <alignment horizontal="center" vertical="center"/>
    </xf>
    <xf numFmtId="0" fontId="17" fillId="4" borderId="7" xfId="0" applyFont="1" applyFill="1" applyBorder="1" applyAlignment="1">
      <alignment vertical="center"/>
    </xf>
    <xf numFmtId="0" fontId="17" fillId="4" borderId="8" xfId="0" applyFont="1" applyFill="1" applyBorder="1" applyAlignment="1">
      <alignment vertical="center"/>
    </xf>
    <xf numFmtId="0" fontId="15" fillId="3" borderId="98" xfId="0" applyFont="1" applyFill="1" applyBorder="1" applyAlignment="1">
      <alignment vertical="center"/>
    </xf>
    <xf numFmtId="0" fontId="15" fillId="3" borderId="99" xfId="0" applyFont="1" applyFill="1" applyBorder="1" applyAlignment="1">
      <alignment vertical="center"/>
    </xf>
    <xf numFmtId="0" fontId="15" fillId="3" borderId="0" xfId="0" applyFont="1" applyFill="1" applyBorder="1" applyAlignment="1">
      <alignment horizontal="center" vertical="center" wrapText="1"/>
    </xf>
    <xf numFmtId="0" fontId="15" fillId="3" borderId="7" xfId="0" applyFont="1" applyFill="1" applyBorder="1" applyAlignment="1">
      <alignment horizontal="center" vertical="center"/>
    </xf>
    <xf numFmtId="0" fontId="15" fillId="0" borderId="19" xfId="0" applyFont="1" applyBorder="1" applyAlignment="1">
      <alignment vertical="center"/>
    </xf>
    <xf numFmtId="0" fontId="15" fillId="3" borderId="100" xfId="0" applyFont="1" applyFill="1" applyBorder="1" applyAlignment="1">
      <alignment horizontal="center" vertical="center" wrapText="1"/>
    </xf>
    <xf numFmtId="0" fontId="15" fillId="3" borderId="101" xfId="0" applyFont="1" applyFill="1" applyBorder="1" applyAlignment="1">
      <alignment horizontal="center" vertical="center" wrapText="1"/>
    </xf>
    <xf numFmtId="0" fontId="15" fillId="3" borderId="97" xfId="0" applyFont="1" applyFill="1" applyBorder="1" applyAlignment="1">
      <alignment horizontal="center" vertical="center" wrapText="1"/>
    </xf>
    <xf numFmtId="0" fontId="15" fillId="3" borderId="20" xfId="0" applyFont="1" applyFill="1" applyBorder="1" applyAlignment="1">
      <alignment horizontal="center" vertical="center"/>
    </xf>
    <xf numFmtId="0" fontId="15" fillId="3" borderId="101" xfId="0" applyFont="1" applyFill="1" applyBorder="1" applyAlignment="1">
      <alignment horizontal="center" vertical="center"/>
    </xf>
    <xf numFmtId="0" fontId="15" fillId="3" borderId="102" xfId="0" applyFont="1" applyFill="1" applyBorder="1" applyAlignment="1">
      <alignment horizontal="center" vertical="center"/>
    </xf>
    <xf numFmtId="0" fontId="15" fillId="4" borderId="7" xfId="0" applyFont="1" applyFill="1" applyBorder="1" applyAlignment="1">
      <alignment vertical="center"/>
    </xf>
    <xf numFmtId="0" fontId="15" fillId="4" borderId="8" xfId="0" applyFont="1" applyFill="1" applyBorder="1" applyAlignment="1">
      <alignment vertical="center"/>
    </xf>
    <xf numFmtId="0" fontId="13" fillId="3" borderId="92" xfId="0" applyFont="1" applyFill="1" applyBorder="1" applyAlignment="1">
      <alignment horizontal="center" vertical="center"/>
    </xf>
    <xf numFmtId="0" fontId="13" fillId="3" borderId="96" xfId="0" applyFont="1" applyFill="1" applyBorder="1" applyAlignment="1">
      <alignment horizontal="center" vertical="center"/>
    </xf>
    <xf numFmtId="0" fontId="15" fillId="3" borderId="103" xfId="0" applyFont="1" applyFill="1" applyBorder="1" applyAlignment="1">
      <alignment horizontal="center" vertical="center" wrapText="1"/>
    </xf>
    <xf numFmtId="0" fontId="15" fillId="3" borderId="98"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4" xfId="0" applyFont="1" applyFill="1" applyBorder="1" applyAlignment="1">
      <alignment vertical="center"/>
    </xf>
    <xf numFmtId="0" fontId="15" fillId="3" borderId="104" xfId="0" applyFont="1" applyFill="1" applyBorder="1" applyAlignment="1">
      <alignment horizontal="center" vertical="center" wrapText="1"/>
    </xf>
    <xf numFmtId="0" fontId="15" fillId="3" borderId="105" xfId="0" applyFont="1" applyFill="1" applyBorder="1" applyAlignment="1">
      <alignment vertical="center"/>
    </xf>
    <xf numFmtId="0" fontId="15" fillId="3" borderId="105" xfId="0" applyFont="1" applyFill="1" applyBorder="1" applyAlignment="1">
      <alignment vertical="center" wrapText="1"/>
    </xf>
    <xf numFmtId="0" fontId="15" fillId="3" borderId="106" xfId="0" applyFont="1" applyFill="1" applyBorder="1" applyAlignment="1">
      <alignment vertical="center"/>
    </xf>
    <xf numFmtId="0" fontId="15" fillId="3" borderId="107" xfId="0" applyFont="1" applyFill="1" applyBorder="1" applyAlignment="1">
      <alignment vertical="center"/>
    </xf>
    <xf numFmtId="0" fontId="18" fillId="3" borderId="6" xfId="0" applyFont="1" applyFill="1" applyBorder="1" applyAlignment="1">
      <alignment vertical="center"/>
    </xf>
    <xf numFmtId="0" fontId="17" fillId="0" borderId="0" xfId="0" applyFont="1" applyAlignment="1">
      <alignment vertical="center" wrapText="1"/>
    </xf>
    <xf numFmtId="0" fontId="17" fillId="0" borderId="0" xfId="0" applyFont="1" applyAlignment="1">
      <alignment horizontal="left" vertical="center" wrapText="1"/>
    </xf>
    <xf numFmtId="0" fontId="15" fillId="3" borderId="105" xfId="0" applyFont="1" applyFill="1" applyBorder="1" applyAlignment="1">
      <alignment horizontal="left" vertical="center" wrapText="1"/>
    </xf>
    <xf numFmtId="0" fontId="15" fillId="3" borderId="1" xfId="0" applyFont="1" applyFill="1" applyBorder="1" applyAlignment="1">
      <alignment vertical="center" wrapText="1"/>
    </xf>
    <xf numFmtId="0" fontId="15" fillId="0" borderId="2" xfId="0" applyFont="1" applyBorder="1" applyAlignment="1">
      <alignment vertical="center" wrapText="1"/>
    </xf>
    <xf numFmtId="0" fontId="2" fillId="0" borderId="3" xfId="1" applyFont="1" applyBorder="1" applyAlignment="1" applyProtection="1">
      <alignment horizontal="right" vertical="center" wrapText="1"/>
    </xf>
    <xf numFmtId="0" fontId="15" fillId="3" borderId="106" xfId="0" applyFont="1" applyFill="1" applyBorder="1" applyAlignment="1">
      <alignment horizontal="center" vertical="center" wrapText="1"/>
    </xf>
    <xf numFmtId="0" fontId="15" fillId="0" borderId="16" xfId="0" applyFont="1" applyBorder="1" applyAlignment="1">
      <alignment vertical="center" wrapText="1"/>
    </xf>
    <xf numFmtId="0" fontId="15" fillId="0" borderId="22" xfId="0" applyFont="1" applyBorder="1" applyAlignment="1">
      <alignment vertical="center"/>
    </xf>
    <xf numFmtId="0" fontId="15" fillId="3" borderId="23" xfId="0" applyFont="1" applyFill="1" applyBorder="1" applyAlignment="1">
      <alignment horizontal="center" vertical="center"/>
    </xf>
    <xf numFmtId="0" fontId="15" fillId="3" borderId="2" xfId="0" applyFont="1" applyFill="1" applyBorder="1" applyAlignment="1">
      <alignment horizontal="center" vertical="center"/>
    </xf>
    <xf numFmtId="0" fontId="15" fillId="3" borderId="100" xfId="0" applyFont="1" applyFill="1" applyBorder="1" applyAlignment="1">
      <alignment horizontal="center" vertical="center"/>
    </xf>
    <xf numFmtId="0" fontId="15" fillId="3" borderId="103" xfId="0" applyFont="1" applyFill="1" applyBorder="1" applyAlignment="1">
      <alignment vertical="center"/>
    </xf>
    <xf numFmtId="0" fontId="19" fillId="3" borderId="108" xfId="0" applyFont="1" applyFill="1" applyBorder="1" applyAlignment="1">
      <alignment vertical="center" wrapText="1"/>
    </xf>
    <xf numFmtId="0" fontId="15" fillId="3" borderId="109" xfId="0" applyFont="1" applyFill="1" applyBorder="1" applyAlignment="1">
      <alignment vertical="center"/>
    </xf>
    <xf numFmtId="0" fontId="15" fillId="3" borderId="110" xfId="0" applyFont="1" applyFill="1" applyBorder="1" applyAlignment="1">
      <alignment horizontal="center" vertical="center"/>
    </xf>
    <xf numFmtId="0" fontId="15" fillId="3" borderId="111" xfId="0" applyFont="1" applyFill="1" applyBorder="1" applyAlignment="1">
      <alignment vertical="center"/>
    </xf>
    <xf numFmtId="0" fontId="15" fillId="3" borderId="112" xfId="0" applyFont="1" applyFill="1" applyBorder="1" applyAlignment="1">
      <alignment vertical="center"/>
    </xf>
    <xf numFmtId="0" fontId="15" fillId="3" borderId="113" xfId="0" applyFont="1" applyFill="1" applyBorder="1" applyAlignment="1">
      <alignment horizontal="center" vertical="center"/>
    </xf>
    <xf numFmtId="0" fontId="15" fillId="3" borderId="114" xfId="0" applyFont="1" applyFill="1" applyBorder="1" applyAlignment="1">
      <alignment horizontal="center" vertical="center"/>
    </xf>
    <xf numFmtId="0" fontId="15" fillId="3" borderId="115" xfId="0" applyFont="1" applyFill="1" applyBorder="1" applyAlignment="1">
      <alignment horizontal="center" vertical="center"/>
    </xf>
    <xf numFmtId="0" fontId="15" fillId="3" borderId="116" xfId="0" applyFont="1" applyFill="1" applyBorder="1" applyAlignment="1">
      <alignment horizontal="center" vertical="center"/>
    </xf>
    <xf numFmtId="0" fontId="15" fillId="3" borderId="117" xfId="0" applyFont="1" applyFill="1" applyBorder="1" applyAlignment="1">
      <alignment horizontal="center" vertical="center"/>
    </xf>
    <xf numFmtId="0" fontId="15" fillId="3" borderId="118" xfId="0" applyFont="1" applyFill="1" applyBorder="1" applyAlignment="1">
      <alignment horizontal="center" vertical="center"/>
    </xf>
    <xf numFmtId="0" fontId="15" fillId="3" borderId="94" xfId="0" applyFont="1" applyFill="1" applyBorder="1" applyAlignment="1">
      <alignment horizontal="center" vertical="center" wrapText="1"/>
    </xf>
    <xf numFmtId="0" fontId="15" fillId="3" borderId="119" xfId="0" applyFont="1" applyFill="1" applyBorder="1" applyAlignment="1">
      <alignment horizontal="center" vertical="center" wrapText="1"/>
    </xf>
    <xf numFmtId="0" fontId="15" fillId="3" borderId="120" xfId="0" applyFont="1" applyFill="1" applyBorder="1" applyAlignment="1">
      <alignment horizontal="center" vertical="center"/>
    </xf>
    <xf numFmtId="0" fontId="15" fillId="3" borderId="6" xfId="0" applyFont="1" applyFill="1" applyBorder="1" applyAlignment="1">
      <alignment vertical="center"/>
    </xf>
    <xf numFmtId="0" fontId="15" fillId="3" borderId="93" xfId="0" applyFont="1" applyFill="1" applyBorder="1" applyAlignment="1">
      <alignment horizontal="center" vertical="center" wrapText="1"/>
    </xf>
    <xf numFmtId="0" fontId="15" fillId="3" borderId="121" xfId="0" applyFont="1" applyFill="1" applyBorder="1" applyAlignment="1">
      <alignment horizontal="center" vertical="center" wrapText="1"/>
    </xf>
    <xf numFmtId="0" fontId="15" fillId="3" borderId="122" xfId="0" applyFont="1" applyFill="1" applyBorder="1" applyAlignment="1">
      <alignment vertical="center"/>
    </xf>
    <xf numFmtId="0" fontId="15" fillId="3" borderId="123" xfId="0" applyFont="1" applyFill="1" applyBorder="1" applyAlignment="1">
      <alignment vertical="center" wrapText="1"/>
    </xf>
    <xf numFmtId="0" fontId="15" fillId="3" borderId="124" xfId="0" applyFont="1" applyFill="1" applyBorder="1" applyAlignment="1">
      <alignment vertical="center" wrapText="1"/>
    </xf>
    <xf numFmtId="0" fontId="15" fillId="3" borderId="125" xfId="0" applyFont="1" applyFill="1" applyBorder="1" applyAlignment="1">
      <alignment vertical="center" wrapText="1"/>
    </xf>
    <xf numFmtId="0" fontId="15" fillId="3" borderId="6" xfId="0" applyFont="1" applyFill="1" applyBorder="1" applyAlignment="1">
      <alignment horizontal="center" vertical="center"/>
    </xf>
    <xf numFmtId="0" fontId="15" fillId="3" borderId="126" xfId="0" applyFont="1" applyFill="1" applyBorder="1" applyAlignment="1">
      <alignment vertical="center"/>
    </xf>
    <xf numFmtId="0" fontId="15" fillId="3" borderId="127" xfId="0" applyFont="1" applyFill="1" applyBorder="1" applyAlignment="1">
      <alignment horizontal="center" vertical="center"/>
    </xf>
    <xf numFmtId="0" fontId="15" fillId="3" borderId="13" xfId="0" applyFont="1" applyFill="1" applyBorder="1" applyAlignment="1">
      <alignment vertical="center"/>
    </xf>
    <xf numFmtId="0" fontId="13" fillId="3" borderId="11" xfId="0" applyFont="1" applyFill="1" applyBorder="1" applyAlignment="1">
      <alignment horizontal="center" vertical="center"/>
    </xf>
    <xf numFmtId="0" fontId="2" fillId="0" borderId="2" xfId="1" applyFont="1" applyBorder="1" applyAlignment="1" applyProtection="1">
      <alignment horizontal="center" vertical="center"/>
    </xf>
    <xf numFmtId="0" fontId="2" fillId="0" borderId="3" xfId="1" applyFont="1" applyBorder="1" applyAlignment="1" applyProtection="1">
      <alignment horizontal="right" vertical="center"/>
    </xf>
    <xf numFmtId="0" fontId="15" fillId="4" borderId="6" xfId="0" applyFont="1" applyFill="1" applyBorder="1" applyAlignment="1">
      <alignment vertical="center"/>
    </xf>
    <xf numFmtId="0" fontId="19" fillId="3" borderId="127" xfId="0" applyFont="1" applyFill="1" applyBorder="1" applyAlignment="1">
      <alignment horizontal="center" vertical="center"/>
    </xf>
    <xf numFmtId="0" fontId="19" fillId="3" borderId="93" xfId="0" applyFont="1" applyFill="1" applyBorder="1" applyAlignment="1">
      <alignment horizontal="center" vertical="center"/>
    </xf>
    <xf numFmtId="0" fontId="19" fillId="3" borderId="121" xfId="0" applyFont="1" applyFill="1" applyBorder="1" applyAlignment="1">
      <alignment horizontal="center" vertical="center"/>
    </xf>
    <xf numFmtId="0" fontId="19" fillId="3" borderId="118" xfId="0" applyFont="1" applyFill="1" applyBorder="1" applyAlignment="1">
      <alignment horizontal="center" vertical="center"/>
    </xf>
    <xf numFmtId="0" fontId="19" fillId="3" borderId="128" xfId="0" applyFont="1" applyFill="1" applyBorder="1" applyAlignment="1">
      <alignment horizontal="center" vertical="center"/>
    </xf>
    <xf numFmtId="0" fontId="15" fillId="3" borderId="2" xfId="0" applyFont="1" applyFill="1" applyBorder="1" applyAlignment="1">
      <alignment vertical="center"/>
    </xf>
    <xf numFmtId="0" fontId="15" fillId="3" borderId="3" xfId="0" applyFont="1" applyFill="1" applyBorder="1" applyAlignment="1">
      <alignment horizontal="center" vertical="center"/>
    </xf>
    <xf numFmtId="0" fontId="15" fillId="3" borderId="129" xfId="0" applyFont="1" applyFill="1" applyBorder="1" applyAlignment="1">
      <alignment vertical="center"/>
    </xf>
    <xf numFmtId="0" fontId="15" fillId="3" borderId="130" xfId="0" applyFont="1" applyFill="1" applyBorder="1" applyAlignment="1">
      <alignment vertical="center"/>
    </xf>
    <xf numFmtId="0" fontId="15" fillId="3" borderId="108" xfId="0" applyFont="1" applyFill="1" applyBorder="1" applyAlignment="1">
      <alignment vertical="center"/>
    </xf>
    <xf numFmtId="0" fontId="15" fillId="3" borderId="131" xfId="0" applyFont="1" applyFill="1" applyBorder="1" applyAlignment="1">
      <alignment vertical="center"/>
    </xf>
    <xf numFmtId="0" fontId="15" fillId="3" borderId="112" xfId="0" applyFont="1" applyFill="1" applyBorder="1" applyAlignment="1">
      <alignment horizontal="center" vertical="center"/>
    </xf>
    <xf numFmtId="0" fontId="15" fillId="3" borderId="132" xfId="0" applyFont="1" applyFill="1" applyBorder="1" applyAlignment="1">
      <alignment horizontal="center" vertical="center"/>
    </xf>
    <xf numFmtId="0" fontId="15" fillId="3" borderId="133" xfId="0" applyFont="1" applyFill="1" applyBorder="1" applyAlignment="1">
      <alignment horizontal="center" vertical="center"/>
    </xf>
    <xf numFmtId="0" fontId="15" fillId="3" borderId="134" xfId="0" applyFont="1" applyFill="1" applyBorder="1" applyAlignment="1">
      <alignment horizontal="center" vertical="center"/>
    </xf>
    <xf numFmtId="0" fontId="15" fillId="3" borderId="125" xfId="0" applyFont="1" applyFill="1" applyBorder="1" applyAlignment="1">
      <alignment vertical="center"/>
    </xf>
    <xf numFmtId="0" fontId="15" fillId="3" borderId="135" xfId="0" applyFont="1" applyFill="1" applyBorder="1" applyAlignment="1">
      <alignment horizontal="center" vertical="center"/>
    </xf>
    <xf numFmtId="0" fontId="15" fillId="3" borderId="1" xfId="0" applyFont="1" applyFill="1" applyBorder="1" applyAlignment="1">
      <alignment vertical="center"/>
    </xf>
    <xf numFmtId="0" fontId="15" fillId="3" borderId="1" xfId="0" applyFont="1" applyFill="1" applyBorder="1" applyAlignment="1">
      <alignment horizontal="center" vertical="center"/>
    </xf>
    <xf numFmtId="0" fontId="15" fillId="3" borderId="24" xfId="0" applyFont="1" applyFill="1" applyBorder="1" applyAlignment="1">
      <alignment vertical="center"/>
    </xf>
    <xf numFmtId="0" fontId="15" fillId="3" borderId="25" xfId="0" applyFont="1" applyFill="1" applyBorder="1" applyAlignment="1">
      <alignment vertical="center"/>
    </xf>
    <xf numFmtId="0" fontId="15" fillId="3" borderId="26" xfId="0" applyFont="1" applyFill="1" applyBorder="1" applyAlignment="1">
      <alignment horizontal="center" vertical="center"/>
    </xf>
    <xf numFmtId="0" fontId="15" fillId="3" borderId="27" xfId="0" applyFont="1" applyFill="1" applyBorder="1" applyAlignment="1">
      <alignment horizontal="center" vertical="center"/>
    </xf>
    <xf numFmtId="0" fontId="15" fillId="3" borderId="120" xfId="0" applyFont="1" applyFill="1" applyBorder="1" applyAlignment="1">
      <alignment vertical="center"/>
    </xf>
    <xf numFmtId="0" fontId="15" fillId="3" borderId="136" xfId="0" applyFont="1" applyFill="1" applyBorder="1" applyAlignment="1">
      <alignment vertical="center"/>
    </xf>
    <xf numFmtId="0" fontId="15" fillId="3" borderId="137" xfId="0" applyFont="1" applyFill="1" applyBorder="1" applyAlignment="1">
      <alignment vertical="center"/>
    </xf>
    <xf numFmtId="0" fontId="15" fillId="3" borderId="138" xfId="0" applyFont="1" applyFill="1" applyBorder="1" applyAlignment="1">
      <alignment vertical="center"/>
    </xf>
    <xf numFmtId="0" fontId="15" fillId="3" borderId="139" xfId="0" applyFont="1" applyFill="1" applyBorder="1" applyAlignment="1">
      <alignment horizontal="center" vertical="center"/>
    </xf>
    <xf numFmtId="0" fontId="15" fillId="3" borderId="140" xfId="0" applyFont="1" applyFill="1" applyBorder="1" applyAlignment="1">
      <alignment horizontal="center" vertical="center"/>
    </xf>
    <xf numFmtId="0" fontId="13" fillId="3" borderId="0" xfId="0" applyFont="1" applyFill="1" applyBorder="1" applyAlignment="1">
      <alignment vertical="center"/>
    </xf>
    <xf numFmtId="0" fontId="15" fillId="3" borderId="141" xfId="0" applyFont="1" applyFill="1" applyBorder="1" applyAlignment="1">
      <alignment vertical="center"/>
    </xf>
    <xf numFmtId="0" fontId="15" fillId="3" borderId="142" xfId="0" applyFont="1" applyFill="1" applyBorder="1" applyAlignment="1">
      <alignment vertical="center"/>
    </xf>
    <xf numFmtId="0" fontId="15" fillId="3" borderId="143" xfId="0" applyFont="1" applyFill="1" applyBorder="1" applyAlignment="1">
      <alignment vertical="center"/>
    </xf>
    <xf numFmtId="0" fontId="15" fillId="3" borderId="106" xfId="0" applyFont="1" applyFill="1" applyBorder="1" applyAlignment="1">
      <alignment horizontal="center" vertical="center"/>
    </xf>
    <xf numFmtId="0" fontId="15" fillId="3" borderId="105" xfId="0" applyFont="1" applyFill="1" applyBorder="1" applyAlignment="1">
      <alignment horizontal="center" vertical="center"/>
    </xf>
    <xf numFmtId="0" fontId="15" fillId="3" borderId="144" xfId="0" applyFont="1" applyFill="1" applyBorder="1" applyAlignment="1">
      <alignment horizontal="center" vertical="center"/>
    </xf>
    <xf numFmtId="0" fontId="15" fillId="3" borderId="28" xfId="0" applyFont="1" applyFill="1" applyBorder="1" applyAlignment="1">
      <alignment vertical="center"/>
    </xf>
    <xf numFmtId="0" fontId="15" fillId="3" borderId="3" xfId="0" applyFont="1" applyFill="1" applyBorder="1" applyAlignment="1">
      <alignment horizontal="center" vertical="center" wrapText="1"/>
    </xf>
    <xf numFmtId="0" fontId="15" fillId="3" borderId="29" xfId="0" applyFont="1" applyFill="1" applyBorder="1" applyAlignment="1">
      <alignment vertical="center"/>
    </xf>
    <xf numFmtId="0" fontId="15" fillId="3" borderId="30" xfId="0" applyFont="1" applyFill="1" applyBorder="1" applyAlignment="1">
      <alignment vertical="center"/>
    </xf>
    <xf numFmtId="0" fontId="15" fillId="3" borderId="145" xfId="0" applyFont="1" applyFill="1" applyBorder="1" applyAlignment="1">
      <alignment vertical="center"/>
    </xf>
    <xf numFmtId="0" fontId="15" fillId="3" borderId="146" xfId="0" applyFont="1" applyFill="1" applyBorder="1" applyAlignment="1">
      <alignment vertical="center"/>
    </xf>
    <xf numFmtId="0" fontId="15" fillId="3" borderId="134" xfId="0" applyFont="1" applyFill="1" applyBorder="1" applyAlignment="1">
      <alignment horizontal="center" vertical="center" wrapText="1"/>
    </xf>
    <xf numFmtId="0" fontId="15" fillId="3" borderId="147" xfId="0" applyFont="1" applyFill="1" applyBorder="1" applyAlignment="1">
      <alignment horizontal="center" vertical="center" wrapText="1"/>
    </xf>
    <xf numFmtId="0" fontId="15" fillId="3" borderId="125" xfId="0" applyFont="1" applyFill="1" applyBorder="1" applyAlignment="1">
      <alignment horizontal="center" vertical="center"/>
    </xf>
    <xf numFmtId="0" fontId="15" fillId="3" borderId="148" xfId="0" applyFont="1" applyFill="1" applyBorder="1" applyAlignment="1">
      <alignment vertical="center"/>
    </xf>
    <xf numFmtId="0" fontId="15" fillId="3" borderId="149" xfId="0" applyFont="1" applyFill="1" applyBorder="1" applyAlignment="1">
      <alignment vertical="center"/>
    </xf>
    <xf numFmtId="0" fontId="15" fillId="3" borderId="150" xfId="0" applyFont="1" applyFill="1" applyBorder="1" applyAlignment="1">
      <alignment vertical="center"/>
    </xf>
    <xf numFmtId="0" fontId="15" fillId="3" borderId="98" xfId="0" applyFont="1" applyFill="1" applyBorder="1" applyAlignment="1">
      <alignment horizontal="center" vertical="center"/>
    </xf>
    <xf numFmtId="0" fontId="15" fillId="3" borderId="0" xfId="0" applyFont="1" applyFill="1" applyBorder="1" applyAlignment="1">
      <alignment horizontal="left" vertical="center" indent="1"/>
    </xf>
    <xf numFmtId="0" fontId="15" fillId="3" borderId="135" xfId="0" applyFont="1" applyFill="1" applyBorder="1" applyAlignment="1">
      <alignment horizontal="left" vertical="center" indent="1"/>
    </xf>
    <xf numFmtId="0" fontId="15" fillId="3" borderId="131" xfId="0" applyFont="1" applyFill="1" applyBorder="1" applyAlignment="1">
      <alignment horizontal="center" vertical="center"/>
    </xf>
    <xf numFmtId="0" fontId="15" fillId="3" borderId="110" xfId="0" applyFont="1" applyFill="1" applyBorder="1" applyAlignment="1">
      <alignment vertical="center"/>
    </xf>
    <xf numFmtId="0" fontId="15" fillId="3" borderId="114" xfId="0" applyFont="1" applyFill="1" applyBorder="1" applyAlignment="1">
      <alignment vertical="center"/>
    </xf>
    <xf numFmtId="0" fontId="15" fillId="3" borderId="151" xfId="0" applyFont="1" applyFill="1" applyBorder="1" applyAlignment="1">
      <alignment horizontal="left" vertical="center" indent="1"/>
    </xf>
    <xf numFmtId="0" fontId="15" fillId="3" borderId="111" xfId="0" applyFont="1" applyFill="1" applyBorder="1" applyAlignment="1">
      <alignment horizontal="center" vertical="center"/>
    </xf>
    <xf numFmtId="0" fontId="15" fillId="3" borderId="152" xfId="0" applyFont="1" applyFill="1" applyBorder="1" applyAlignment="1">
      <alignment horizontal="center" vertical="center"/>
    </xf>
    <xf numFmtId="0" fontId="15" fillId="3" borderId="153" xfId="0" applyFont="1" applyFill="1" applyBorder="1" applyAlignment="1">
      <alignment horizontal="center" vertical="center"/>
    </xf>
    <xf numFmtId="0" fontId="15" fillId="3" borderId="154" xfId="0" applyFont="1" applyFill="1" applyBorder="1" applyAlignment="1">
      <alignment horizontal="center" vertical="center"/>
    </xf>
    <xf numFmtId="0" fontId="15" fillId="3" borderId="5" xfId="0" applyFont="1" applyFill="1" applyBorder="1" applyAlignment="1">
      <alignment horizontal="center" vertical="center" wrapText="1"/>
    </xf>
    <xf numFmtId="0" fontId="15" fillId="3" borderId="124" xfId="0" applyFont="1" applyFill="1" applyBorder="1" applyAlignment="1">
      <alignment horizontal="center" vertical="center"/>
    </xf>
    <xf numFmtId="0" fontId="15" fillId="3" borderId="132" xfId="0" applyFont="1" applyFill="1" applyBorder="1" applyAlignment="1">
      <alignment horizontal="center" vertical="center" wrapText="1"/>
    </xf>
    <xf numFmtId="0" fontId="15" fillId="3" borderId="23" xfId="0" applyFont="1" applyFill="1" applyBorder="1" applyAlignment="1">
      <alignment vertical="center"/>
    </xf>
    <xf numFmtId="0" fontId="15" fillId="3" borderId="99" xfId="0" applyFont="1" applyFill="1" applyBorder="1" applyAlignment="1">
      <alignment horizontal="center" vertical="center"/>
    </xf>
    <xf numFmtId="0" fontId="15" fillId="3" borderId="155" xfId="0" applyFont="1" applyFill="1" applyBorder="1" applyAlignment="1">
      <alignment horizontal="right" vertical="center"/>
    </xf>
    <xf numFmtId="0" fontId="15" fillId="3" borderId="121" xfId="0" applyFont="1" applyFill="1" applyBorder="1" applyAlignment="1">
      <alignment horizontal="center" vertical="center"/>
    </xf>
    <xf numFmtId="0" fontId="15" fillId="3" borderId="156" xfId="0" applyFont="1" applyFill="1" applyBorder="1" applyAlignment="1">
      <alignment vertical="center"/>
    </xf>
    <xf numFmtId="0" fontId="15" fillId="3" borderId="157" xfId="0" applyFont="1" applyFill="1" applyBorder="1" applyAlignment="1">
      <alignment horizontal="center" vertical="center"/>
    </xf>
    <xf numFmtId="0" fontId="15" fillId="3" borderId="95" xfId="0" applyFont="1" applyFill="1" applyBorder="1" applyAlignment="1">
      <alignment horizontal="center" vertical="center"/>
    </xf>
    <xf numFmtId="0" fontId="15" fillId="3" borderId="158" xfId="0" applyFont="1" applyFill="1" applyBorder="1" applyAlignment="1">
      <alignment horizontal="right" vertical="center"/>
    </xf>
    <xf numFmtId="0" fontId="15" fillId="3" borderId="159" xfId="0" applyFont="1" applyFill="1" applyBorder="1" applyAlignment="1">
      <alignment horizontal="center" vertical="center" wrapText="1"/>
    </xf>
    <xf numFmtId="0" fontId="15" fillId="3" borderId="160" xfId="0" applyFont="1" applyFill="1" applyBorder="1" applyAlignment="1">
      <alignment horizontal="center" vertical="center"/>
    </xf>
    <xf numFmtId="0" fontId="2" fillId="3" borderId="4" xfId="1" applyFill="1" applyBorder="1" applyAlignment="1" applyProtection="1">
      <alignment vertical="center"/>
    </xf>
    <xf numFmtId="0" fontId="0" fillId="3" borderId="0" xfId="0" applyFill="1"/>
    <xf numFmtId="0" fontId="0" fillId="5" borderId="0" xfId="0" applyFill="1"/>
    <xf numFmtId="0" fontId="0" fillId="6" borderId="0" xfId="0" applyFill="1"/>
    <xf numFmtId="0" fontId="0" fillId="7" borderId="0" xfId="0" applyFill="1"/>
    <xf numFmtId="0" fontId="0" fillId="8" borderId="0" xfId="0" applyFill="1"/>
    <xf numFmtId="0" fontId="15" fillId="3" borderId="124" xfId="0" applyFont="1" applyFill="1" applyBorder="1" applyAlignment="1">
      <alignment vertical="center"/>
    </xf>
    <xf numFmtId="0" fontId="0" fillId="0" borderId="0" xfId="0" applyAlignment="1">
      <alignment wrapText="1"/>
    </xf>
    <xf numFmtId="0" fontId="0" fillId="6" borderId="0" xfId="0" applyFill="1" applyAlignment="1">
      <alignment wrapText="1"/>
    </xf>
    <xf numFmtId="0" fontId="12" fillId="0" borderId="0" xfId="0" applyFont="1" applyAlignment="1">
      <alignment wrapText="1"/>
    </xf>
    <xf numFmtId="0" fontId="15" fillId="3" borderId="31" xfId="0" applyFont="1" applyFill="1" applyBorder="1" applyAlignment="1">
      <alignment horizontal="center" vertical="center"/>
    </xf>
    <xf numFmtId="0" fontId="15" fillId="3" borderId="32" xfId="0" applyFont="1" applyFill="1" applyBorder="1" applyAlignment="1">
      <alignment horizontal="center" vertical="center"/>
    </xf>
    <xf numFmtId="0" fontId="15" fillId="0" borderId="33" xfId="0"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34" xfId="0" applyFont="1" applyBorder="1" applyAlignment="1" applyProtection="1">
      <alignment horizontal="center" vertical="center"/>
      <protection locked="0"/>
    </xf>
    <xf numFmtId="0" fontId="15" fillId="0" borderId="35" xfId="0" applyFont="1" applyFill="1" applyBorder="1" applyAlignment="1" applyProtection="1">
      <alignment horizontal="center" vertical="center" wrapText="1"/>
      <protection locked="0"/>
    </xf>
    <xf numFmtId="0" fontId="15" fillId="0" borderId="36"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37" xfId="0" applyFont="1" applyBorder="1" applyAlignment="1" applyProtection="1">
      <alignment horizontal="center" vertical="center" wrapText="1"/>
      <protection locked="0"/>
    </xf>
    <xf numFmtId="0" fontId="15" fillId="0" borderId="33" xfId="0" applyFont="1" applyBorder="1" applyAlignment="1" applyProtection="1">
      <alignment horizontal="center" vertical="center" wrapText="1"/>
      <protection locked="0"/>
    </xf>
    <xf numFmtId="0" fontId="15" fillId="3" borderId="161" xfId="0" applyFont="1" applyFill="1" applyBorder="1" applyAlignment="1">
      <alignment horizontal="center" vertical="center" wrapText="1"/>
    </xf>
    <xf numFmtId="0" fontId="15" fillId="0" borderId="38" xfId="0" applyFont="1" applyBorder="1" applyAlignment="1" applyProtection="1">
      <alignment horizontal="center" vertical="center"/>
      <protection locked="0"/>
    </xf>
    <xf numFmtId="0" fontId="15" fillId="0" borderId="39" xfId="0" applyFont="1" applyBorder="1" applyAlignment="1" applyProtection="1">
      <alignment horizontal="center" vertical="center"/>
      <protection locked="0"/>
    </xf>
    <xf numFmtId="0" fontId="15" fillId="0" borderId="40" xfId="0" applyFont="1" applyBorder="1" applyAlignment="1" applyProtection="1">
      <alignment horizontal="center" vertical="center"/>
      <protection locked="0"/>
    </xf>
    <xf numFmtId="0" fontId="15" fillId="0" borderId="41" xfId="0" applyFont="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15" fillId="0" borderId="37" xfId="0" applyFont="1" applyBorder="1" applyAlignment="1" applyProtection="1">
      <alignment vertical="center"/>
      <protection locked="0"/>
    </xf>
    <xf numFmtId="0" fontId="15" fillId="0" borderId="44"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45" xfId="0" applyFont="1" applyBorder="1" applyAlignment="1" applyProtection="1">
      <alignment horizontal="center" vertical="center" wrapText="1"/>
      <protection locked="0"/>
    </xf>
    <xf numFmtId="0" fontId="15" fillId="0" borderId="46"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wrapText="1"/>
      <protection locked="0"/>
    </xf>
    <xf numFmtId="0" fontId="15" fillId="0" borderId="47" xfId="0" applyFont="1" applyBorder="1" applyAlignment="1" applyProtection="1">
      <alignment horizontal="center" vertical="center" wrapText="1"/>
      <protection locked="0"/>
    </xf>
    <xf numFmtId="0" fontId="15" fillId="0" borderId="48" xfId="0" applyFont="1" applyBorder="1" applyAlignment="1" applyProtection="1">
      <alignment horizontal="center" vertical="center" wrapText="1"/>
      <protection locked="0"/>
    </xf>
    <xf numFmtId="0" fontId="15" fillId="0" borderId="38"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3" borderId="126" xfId="0" applyFont="1" applyFill="1" applyBorder="1" applyAlignment="1">
      <alignment horizontal="center" vertical="center"/>
    </xf>
    <xf numFmtId="0" fontId="15" fillId="0" borderId="49" xfId="0" applyFont="1" applyBorder="1" applyAlignment="1" applyProtection="1">
      <alignment horizontal="center" vertical="center"/>
      <protection locked="0"/>
    </xf>
    <xf numFmtId="0" fontId="15" fillId="0" borderId="18" xfId="0" applyFont="1" applyBorder="1" applyAlignment="1" applyProtection="1">
      <alignment vertical="center"/>
      <protection locked="0"/>
    </xf>
    <xf numFmtId="0" fontId="15" fillId="0" borderId="21" xfId="0" applyFont="1" applyBorder="1" applyAlignment="1" applyProtection="1">
      <alignment horizontal="left" vertical="center" wrapText="1"/>
      <protection locked="0"/>
    </xf>
    <xf numFmtId="0" fontId="15" fillId="0" borderId="41" xfId="0" applyFont="1" applyBorder="1" applyAlignment="1" applyProtection="1">
      <alignment horizontal="left" vertical="center" wrapText="1"/>
      <protection locked="0"/>
    </xf>
    <xf numFmtId="0" fontId="15" fillId="0" borderId="35" xfId="0" applyFont="1" applyBorder="1" applyAlignment="1" applyProtection="1">
      <alignment horizontal="left" vertical="center" wrapText="1"/>
      <protection locked="0"/>
    </xf>
    <xf numFmtId="0" fontId="15" fillId="0" borderId="17" xfId="0" applyFont="1" applyBorder="1" applyAlignment="1" applyProtection="1">
      <alignment horizontal="center" vertical="center" wrapText="1"/>
      <protection locked="0"/>
    </xf>
    <xf numFmtId="0" fontId="15" fillId="0" borderId="50" xfId="0" applyFont="1" applyBorder="1" applyAlignment="1" applyProtection="1">
      <alignment horizontal="left" vertical="center" wrapText="1"/>
      <protection locked="0"/>
    </xf>
    <xf numFmtId="0" fontId="15" fillId="0" borderId="51" xfId="0" applyFont="1" applyBorder="1" applyAlignment="1" applyProtection="1">
      <alignment horizontal="left" vertical="center" wrapText="1"/>
      <protection locked="0"/>
    </xf>
    <xf numFmtId="0" fontId="15" fillId="0" borderId="52" xfId="0" applyFont="1" applyBorder="1" applyAlignment="1" applyProtection="1">
      <alignment horizontal="left" vertical="center" wrapText="1"/>
      <protection locked="0"/>
    </xf>
    <xf numFmtId="0" fontId="15" fillId="0" borderId="51" xfId="0" applyFont="1" applyBorder="1" applyAlignment="1" applyProtection="1">
      <alignment horizontal="center" vertical="center" wrapText="1"/>
      <protection locked="0"/>
    </xf>
    <xf numFmtId="0" fontId="15" fillId="0" borderId="52" xfId="0" applyFont="1" applyBorder="1" applyAlignment="1" applyProtection="1">
      <alignment horizontal="center" vertical="center" wrapText="1"/>
      <protection locked="0"/>
    </xf>
    <xf numFmtId="0" fontId="15" fillId="0" borderId="53" xfId="0" applyFont="1" applyBorder="1" applyAlignment="1" applyProtection="1">
      <alignment horizontal="center" vertical="center" wrapText="1"/>
      <protection locked="0"/>
    </xf>
    <xf numFmtId="0" fontId="15" fillId="0" borderId="50" xfId="0" applyFont="1" applyBorder="1" applyAlignment="1" applyProtection="1">
      <alignment horizontal="center" vertical="center" wrapText="1"/>
      <protection locked="0"/>
    </xf>
    <xf numFmtId="0" fontId="15" fillId="0" borderId="54" xfId="0" applyFont="1" applyBorder="1" applyAlignment="1" applyProtection="1">
      <alignment horizontal="left" vertical="center" wrapText="1"/>
      <protection locked="0"/>
    </xf>
    <xf numFmtId="0" fontId="15" fillId="0" borderId="32" xfId="0" applyFont="1" applyBorder="1" applyAlignment="1" applyProtection="1">
      <alignment horizontal="left" vertical="center" wrapText="1"/>
      <protection locked="0"/>
    </xf>
    <xf numFmtId="0" fontId="15" fillId="0" borderId="55" xfId="0" applyFont="1" applyBorder="1" applyAlignment="1" applyProtection="1">
      <alignment horizontal="left" vertical="center" wrapText="1"/>
      <protection locked="0"/>
    </xf>
    <xf numFmtId="0" fontId="15" fillId="0" borderId="32" xfId="0" applyFont="1" applyBorder="1" applyAlignment="1" applyProtection="1">
      <alignment horizontal="center" vertical="center" wrapText="1"/>
      <protection locked="0"/>
    </xf>
    <xf numFmtId="0" fontId="15" fillId="0" borderId="55" xfId="0" applyFont="1" applyBorder="1" applyAlignment="1" applyProtection="1">
      <alignment horizontal="center" vertical="center" wrapText="1"/>
      <protection locked="0"/>
    </xf>
    <xf numFmtId="0" fontId="15" fillId="0" borderId="10" xfId="0" applyFont="1" applyBorder="1" applyAlignment="1" applyProtection="1">
      <alignment horizontal="center" vertical="center" wrapText="1"/>
      <protection locked="0"/>
    </xf>
    <xf numFmtId="0" fontId="15" fillId="0" borderId="54"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protection locked="0"/>
    </xf>
    <xf numFmtId="0" fontId="15" fillId="0" borderId="52" xfId="0" applyFont="1" applyBorder="1" applyAlignment="1" applyProtection="1">
      <alignment horizontal="center" vertical="center"/>
      <protection locked="0"/>
    </xf>
    <xf numFmtId="0" fontId="15" fillId="0" borderId="51" xfId="0" applyFont="1" applyBorder="1" applyAlignment="1" applyProtection="1">
      <alignment horizontal="center" vertical="center"/>
      <protection locked="0"/>
    </xf>
    <xf numFmtId="0" fontId="15" fillId="0" borderId="56" xfId="0" applyFont="1" applyBorder="1" applyAlignment="1" applyProtection="1">
      <alignment horizontal="center" vertical="center"/>
      <protection locked="0"/>
    </xf>
    <xf numFmtId="0" fontId="15" fillId="0" borderId="57" xfId="0" applyFont="1" applyBorder="1" applyAlignment="1" applyProtection="1">
      <alignment horizontal="center" vertical="center"/>
      <protection locked="0"/>
    </xf>
    <xf numFmtId="0" fontId="15" fillId="0" borderId="58" xfId="0" applyFont="1" applyBorder="1" applyAlignment="1" applyProtection="1">
      <alignment horizontal="center" vertical="center"/>
      <protection locked="0"/>
    </xf>
    <xf numFmtId="0" fontId="15" fillId="0" borderId="59" xfId="0" applyFont="1" applyBorder="1" applyAlignment="1" applyProtection="1">
      <alignment horizontal="center" vertical="center"/>
      <protection locked="0"/>
    </xf>
    <xf numFmtId="0" fontId="15" fillId="3" borderId="162" xfId="0" applyFont="1" applyFill="1" applyBorder="1" applyAlignment="1">
      <alignment vertical="center"/>
    </xf>
    <xf numFmtId="0" fontId="15" fillId="0" borderId="37" xfId="0" applyFont="1" applyBorder="1" applyAlignment="1" applyProtection="1">
      <alignment horizontal="left" vertical="center" wrapText="1"/>
      <protection locked="0"/>
    </xf>
    <xf numFmtId="0" fontId="15" fillId="0" borderId="38" xfId="0" applyFont="1" applyBorder="1" applyAlignment="1" applyProtection="1">
      <alignment horizontal="left" vertical="center" wrapText="1"/>
      <protection locked="0"/>
    </xf>
    <xf numFmtId="0" fontId="0" fillId="3" borderId="0" xfId="0" applyFill="1" applyAlignment="1">
      <alignment wrapText="1"/>
    </xf>
    <xf numFmtId="0" fontId="0" fillId="0" borderId="6" xfId="0" applyFill="1" applyBorder="1"/>
    <xf numFmtId="0" fontId="0" fillId="6" borderId="7" xfId="0" applyFill="1" applyBorder="1"/>
    <xf numFmtId="0" fontId="0" fillId="6" borderId="8" xfId="0" applyFill="1" applyBorder="1"/>
    <xf numFmtId="0" fontId="0" fillId="9" borderId="13" xfId="0" applyFont="1" applyFill="1" applyBorder="1" applyAlignment="1">
      <alignment horizontal="left"/>
    </xf>
    <xf numFmtId="0" fontId="0" fillId="9" borderId="14" xfId="0" applyFill="1" applyBorder="1"/>
    <xf numFmtId="0" fontId="0" fillId="9" borderId="5" xfId="0" applyFill="1" applyBorder="1"/>
    <xf numFmtId="0" fontId="0" fillId="9" borderId="13" xfId="0" applyFill="1" applyBorder="1"/>
    <xf numFmtId="0" fontId="0" fillId="9" borderId="15" xfId="0" applyFill="1" applyBorder="1"/>
    <xf numFmtId="0" fontId="0" fillId="0" borderId="1" xfId="0" applyFill="1" applyBorder="1"/>
    <xf numFmtId="0" fontId="0" fillId="6" borderId="2" xfId="0" applyFill="1" applyBorder="1"/>
    <xf numFmtId="0" fontId="0" fillId="0" borderId="4" xfId="0" applyFill="1" applyBorder="1"/>
    <xf numFmtId="0" fontId="0" fillId="6" borderId="0" xfId="0" applyFill="1" applyBorder="1"/>
    <xf numFmtId="0" fontId="0" fillId="6" borderId="5" xfId="0" applyFill="1" applyBorder="1"/>
    <xf numFmtId="0" fontId="0" fillId="0" borderId="4" xfId="0" quotePrefix="1" applyFill="1" applyBorder="1"/>
    <xf numFmtId="0" fontId="0" fillId="9" borderId="6" xfId="0" applyFill="1" applyBorder="1"/>
    <xf numFmtId="0" fontId="0" fillId="9" borderId="7" xfId="0" applyFill="1" applyBorder="1"/>
    <xf numFmtId="0" fontId="0" fillId="9" borderId="8" xfId="0" applyFill="1" applyBorder="1"/>
    <xf numFmtId="0" fontId="0" fillId="10" borderId="0" xfId="0" applyFill="1"/>
    <xf numFmtId="9" fontId="11" fillId="0" borderId="0" xfId="5" applyFont="1"/>
    <xf numFmtId="49" fontId="15" fillId="0" borderId="53" xfId="0" applyNumberFormat="1" applyFont="1" applyBorder="1" applyAlignment="1" applyProtection="1">
      <alignment horizontal="center" vertical="center"/>
      <protection locked="0"/>
    </xf>
    <xf numFmtId="49" fontId="15" fillId="0" borderId="60" xfId="0" applyNumberFormat="1" applyFont="1" applyBorder="1" applyAlignment="1" applyProtection="1">
      <alignment horizontal="center" vertical="center"/>
      <protection locked="0"/>
    </xf>
    <xf numFmtId="49" fontId="15" fillId="0" borderId="12" xfId="0" applyNumberFormat="1" applyFont="1" applyBorder="1" applyAlignment="1" applyProtection="1">
      <alignment horizontal="center" vertical="center"/>
      <protection locked="0"/>
    </xf>
    <xf numFmtId="49" fontId="15" fillId="0" borderId="61" xfId="0" applyNumberFormat="1" applyFont="1" applyBorder="1" applyAlignment="1" applyProtection="1">
      <alignment horizontal="center" vertical="center"/>
      <protection locked="0"/>
    </xf>
    <xf numFmtId="49" fontId="15" fillId="0" borderId="62" xfId="0" applyNumberFormat="1" applyFont="1" applyBorder="1" applyAlignment="1" applyProtection="1">
      <alignment horizontal="center" vertical="center"/>
      <protection locked="0"/>
    </xf>
    <xf numFmtId="49" fontId="15" fillId="0" borderId="47" xfId="0" applyNumberFormat="1" applyFont="1" applyBorder="1" applyAlignment="1" applyProtection="1">
      <alignment horizontal="center" vertical="center"/>
      <protection locked="0"/>
    </xf>
    <xf numFmtId="49" fontId="15" fillId="0" borderId="63" xfId="0" applyNumberFormat="1" applyFont="1" applyBorder="1" applyAlignment="1" applyProtection="1">
      <alignment horizontal="center" vertical="center"/>
      <protection locked="0"/>
    </xf>
    <xf numFmtId="49" fontId="15" fillId="0" borderId="64" xfId="0" applyNumberFormat="1" applyFont="1" applyBorder="1" applyAlignment="1" applyProtection="1">
      <alignment horizontal="center" vertical="center"/>
      <protection locked="0"/>
    </xf>
    <xf numFmtId="49" fontId="15" fillId="0" borderId="48" xfId="0" applyNumberFormat="1" applyFont="1" applyBorder="1" applyAlignment="1" applyProtection="1">
      <alignment horizontal="center" vertical="center"/>
      <protection locked="0"/>
    </xf>
    <xf numFmtId="49" fontId="15" fillId="0" borderId="33" xfId="0" applyNumberFormat="1" applyFont="1" applyBorder="1" applyAlignment="1" applyProtection="1">
      <alignment horizontal="center" vertical="center"/>
      <protection locked="0"/>
    </xf>
    <xf numFmtId="49" fontId="15" fillId="0" borderId="45" xfId="0" applyNumberFormat="1" applyFont="1" applyBorder="1" applyAlignment="1" applyProtection="1">
      <alignment horizontal="center" vertical="center"/>
      <protection locked="0"/>
    </xf>
    <xf numFmtId="49" fontId="15" fillId="0" borderId="65" xfId="0" applyNumberFormat="1" applyFont="1" applyBorder="1" applyAlignment="1" applyProtection="1">
      <alignment horizontal="center" vertical="center"/>
      <protection locked="0"/>
    </xf>
    <xf numFmtId="49" fontId="15" fillId="0" borderId="5" xfId="0" applyNumberFormat="1" applyFont="1" applyBorder="1" applyAlignment="1" applyProtection="1">
      <alignment horizontal="center" vertical="center"/>
      <protection locked="0"/>
    </xf>
    <xf numFmtId="49" fontId="15" fillId="0" borderId="46" xfId="0" applyNumberFormat="1" applyFont="1" applyBorder="1" applyAlignment="1" applyProtection="1">
      <alignment horizontal="center" vertical="center"/>
      <protection locked="0"/>
    </xf>
    <xf numFmtId="0" fontId="15" fillId="0" borderId="66" xfId="0" applyFont="1" applyBorder="1" applyAlignment="1" applyProtection="1">
      <alignment horizontal="center" vertical="center" wrapText="1"/>
      <protection locked="0"/>
    </xf>
    <xf numFmtId="0" fontId="15" fillId="0" borderId="33" xfId="0" applyFont="1" applyBorder="1" applyAlignment="1" applyProtection="1">
      <alignment horizontal="left" vertical="center" wrapText="1"/>
      <protection locked="0"/>
    </xf>
    <xf numFmtId="0" fontId="15" fillId="11" borderId="37" xfId="0" applyFont="1" applyFill="1" applyBorder="1" applyAlignment="1" applyProtection="1">
      <alignment horizontal="center" vertical="center" wrapText="1"/>
      <protection locked="0"/>
    </xf>
    <xf numFmtId="0" fontId="15" fillId="11" borderId="33" xfId="0" applyFont="1" applyFill="1" applyBorder="1" applyAlignment="1" applyProtection="1">
      <alignment horizontal="center" vertical="center" wrapText="1"/>
      <protection locked="0"/>
    </xf>
    <xf numFmtId="0" fontId="15" fillId="0" borderId="38" xfId="0" applyFont="1" applyBorder="1" applyAlignment="1" applyProtection="1">
      <alignment horizontal="center" vertical="center"/>
      <protection locked="0"/>
    </xf>
    <xf numFmtId="0" fontId="15" fillId="3" borderId="0" xfId="0" applyFont="1" applyFill="1" applyBorder="1" applyAlignment="1">
      <alignment horizontal="center" vertical="center"/>
    </xf>
    <xf numFmtId="0" fontId="15" fillId="0" borderId="37" xfId="0" applyFont="1" applyBorder="1" applyAlignment="1" applyProtection="1">
      <alignment horizontal="center" vertical="center" wrapText="1"/>
      <protection locked="0"/>
    </xf>
    <xf numFmtId="0" fontId="15" fillId="0" borderId="33" xfId="0" applyFont="1" applyBorder="1" applyAlignment="1" applyProtection="1">
      <alignment horizontal="center" vertical="center" wrapText="1"/>
      <protection locked="0"/>
    </xf>
    <xf numFmtId="0" fontId="15" fillId="0" borderId="38"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33" xfId="0" applyFont="1" applyBorder="1" applyAlignment="1" applyProtection="1">
      <alignment horizontal="center" vertical="center"/>
      <protection locked="0"/>
    </xf>
    <xf numFmtId="0" fontId="15" fillId="0" borderId="36" xfId="0" applyFont="1" applyBorder="1" applyAlignment="1" applyProtection="1">
      <alignment horizontal="center" vertical="center"/>
      <protection locked="0"/>
    </xf>
    <xf numFmtId="9" fontId="15" fillId="0" borderId="33" xfId="5" applyFont="1" applyBorder="1" applyAlignment="1" applyProtection="1">
      <alignment horizontal="center" vertical="center"/>
      <protection locked="0"/>
    </xf>
    <xf numFmtId="9" fontId="15" fillId="0" borderId="36" xfId="5" applyFont="1" applyBorder="1" applyAlignment="1" applyProtection="1">
      <alignment horizontal="center" vertical="center"/>
      <protection locked="0"/>
    </xf>
    <xf numFmtId="0" fontId="20" fillId="0" borderId="0" xfId="0" applyFont="1" applyAlignment="1">
      <alignment vertical="center"/>
    </xf>
    <xf numFmtId="1" fontId="15" fillId="0" borderId="37" xfId="0" applyNumberFormat="1" applyFont="1" applyBorder="1" applyAlignment="1" applyProtection="1">
      <alignment horizontal="center" vertical="center"/>
      <protection locked="0"/>
    </xf>
    <xf numFmtId="1" fontId="15" fillId="0" borderId="33" xfId="0" applyNumberFormat="1" applyFont="1" applyBorder="1" applyAlignment="1" applyProtection="1">
      <alignment horizontal="center" vertical="center"/>
      <protection locked="0"/>
    </xf>
    <xf numFmtId="1" fontId="15" fillId="0" borderId="38" xfId="0" applyNumberFormat="1" applyFont="1" applyBorder="1" applyAlignment="1" applyProtection="1">
      <alignment horizontal="center" vertical="center"/>
      <protection locked="0"/>
    </xf>
    <xf numFmtId="1" fontId="15" fillId="0" borderId="36" xfId="0" applyNumberFormat="1" applyFont="1" applyBorder="1" applyAlignment="1" applyProtection="1">
      <alignment horizontal="center" vertical="center"/>
      <protection locked="0"/>
    </xf>
    <xf numFmtId="164" fontId="15" fillId="0" borderId="48" xfId="0" applyNumberFormat="1" applyFont="1" applyBorder="1" applyAlignment="1" applyProtection="1">
      <alignment horizontal="center" vertical="center"/>
      <protection locked="0"/>
    </xf>
    <xf numFmtId="164" fontId="15" fillId="0" borderId="36" xfId="0" applyNumberFormat="1" applyFont="1" applyBorder="1" applyAlignment="1" applyProtection="1">
      <alignment horizontal="center" vertical="center"/>
      <protection locked="0"/>
    </xf>
    <xf numFmtId="164" fontId="15" fillId="0" borderId="6" xfId="0" applyNumberFormat="1" applyFont="1" applyBorder="1" applyAlignment="1" applyProtection="1">
      <alignment horizontal="center" vertical="center"/>
      <protection locked="0"/>
    </xf>
    <xf numFmtId="164" fontId="15" fillId="0" borderId="54" xfId="0" applyNumberFormat="1" applyFont="1" applyBorder="1" applyAlignment="1" applyProtection="1">
      <alignment horizontal="center" vertical="center"/>
      <protection locked="0"/>
    </xf>
    <xf numFmtId="9" fontId="15" fillId="0" borderId="67" xfId="5" applyFont="1" applyBorder="1" applyAlignment="1" applyProtection="1">
      <alignment horizontal="center" vertical="center"/>
      <protection locked="0"/>
    </xf>
    <xf numFmtId="9" fontId="15" fillId="0" borderId="68" xfId="5" applyFont="1" applyBorder="1" applyAlignment="1" applyProtection="1">
      <alignment horizontal="center" vertical="center"/>
      <protection locked="0"/>
    </xf>
    <xf numFmtId="9" fontId="15" fillId="0" borderId="27" xfId="5" applyFont="1" applyBorder="1" applyAlignment="1" applyProtection="1">
      <alignment horizontal="center" vertical="center"/>
      <protection locked="0"/>
    </xf>
    <xf numFmtId="9" fontId="15" fillId="0" borderId="69" xfId="5" applyFont="1" applyBorder="1" applyAlignment="1" applyProtection="1">
      <alignment horizontal="center" vertical="center"/>
      <protection locked="0"/>
    </xf>
    <xf numFmtId="9" fontId="15" fillId="0" borderId="6" xfId="5" applyFont="1" applyBorder="1" applyAlignment="1" applyProtection="1">
      <alignment horizontal="center" vertical="center"/>
      <protection locked="0"/>
    </xf>
    <xf numFmtId="9" fontId="15" fillId="0" borderId="55" xfId="5" applyFont="1" applyBorder="1" applyAlignment="1" applyProtection="1">
      <alignment horizontal="center" vertical="center"/>
      <protection locked="0"/>
    </xf>
    <xf numFmtId="9" fontId="15" fillId="0" borderId="70" xfId="5" applyFont="1" applyBorder="1" applyAlignment="1" applyProtection="1">
      <alignment horizontal="center" vertical="center"/>
      <protection locked="0"/>
    </xf>
    <xf numFmtId="1" fontId="15" fillId="0" borderId="41" xfId="0" applyNumberFormat="1" applyFont="1" applyBorder="1" applyAlignment="1" applyProtection="1">
      <alignment horizontal="center" vertical="center"/>
      <protection locked="0"/>
    </xf>
    <xf numFmtId="1" fontId="15" fillId="0" borderId="71" xfId="0" applyNumberFormat="1" applyFont="1" applyBorder="1" applyAlignment="1" applyProtection="1">
      <alignment horizontal="center" vertical="center"/>
      <protection locked="0"/>
    </xf>
    <xf numFmtId="164" fontId="15" fillId="0" borderId="37" xfId="0" applyNumberFormat="1" applyFont="1" applyBorder="1" applyAlignment="1" applyProtection="1">
      <alignment horizontal="center" vertical="center"/>
      <protection locked="0"/>
    </xf>
    <xf numFmtId="164" fontId="15" fillId="0" borderId="33" xfId="0" applyNumberFormat="1" applyFont="1" applyBorder="1" applyAlignment="1" applyProtection="1">
      <alignment horizontal="center" vertical="center"/>
      <protection locked="0"/>
    </xf>
    <xf numFmtId="164" fontId="15" fillId="0" borderId="38" xfId="0" applyNumberFormat="1" applyFont="1" applyBorder="1" applyAlignment="1" applyProtection="1">
      <alignment horizontal="center" vertical="center"/>
      <protection locked="0"/>
    </xf>
    <xf numFmtId="1" fontId="15" fillId="0" borderId="33" xfId="0" applyNumberFormat="1" applyFont="1" applyBorder="1" applyAlignment="1" applyProtection="1">
      <alignment horizontal="center" vertical="center" wrapText="1"/>
      <protection locked="0"/>
    </xf>
    <xf numFmtId="9" fontId="15" fillId="0" borderId="33" xfId="5" applyFont="1" applyBorder="1" applyAlignment="1" applyProtection="1">
      <alignment horizontal="center" vertical="center" wrapText="1"/>
      <protection locked="0"/>
    </xf>
    <xf numFmtId="164" fontId="15" fillId="0" borderId="37" xfId="0" applyNumberFormat="1" applyFont="1" applyBorder="1" applyAlignment="1" applyProtection="1">
      <alignment horizontal="center" vertical="center" wrapText="1"/>
      <protection locked="0"/>
    </xf>
    <xf numFmtId="164" fontId="15" fillId="0" borderId="38" xfId="0" applyNumberFormat="1" applyFont="1" applyBorder="1" applyAlignment="1" applyProtection="1">
      <alignment horizontal="center" vertical="center" wrapText="1"/>
      <protection locked="0"/>
    </xf>
    <xf numFmtId="1" fontId="15" fillId="0" borderId="7" xfId="0" applyNumberFormat="1" applyFont="1" applyBorder="1" applyAlignment="1" applyProtection="1">
      <alignment horizontal="center" vertical="center"/>
      <protection locked="0"/>
    </xf>
    <xf numFmtId="0" fontId="15" fillId="0" borderId="72" xfId="0" applyFont="1" applyBorder="1" applyAlignment="1" applyProtection="1">
      <alignment horizontal="center" vertical="center"/>
      <protection locked="0"/>
    </xf>
    <xf numFmtId="9" fontId="15" fillId="0" borderId="51" xfId="5" applyFont="1" applyBorder="1" applyAlignment="1" applyProtection="1">
      <alignment horizontal="center" vertical="center"/>
      <protection locked="0"/>
    </xf>
    <xf numFmtId="9" fontId="15" fillId="0" borderId="65" xfId="5" applyFont="1" applyBorder="1" applyAlignment="1" applyProtection="1">
      <alignment horizontal="center" vertical="center"/>
      <protection locked="0"/>
    </xf>
    <xf numFmtId="9" fontId="15" fillId="0" borderId="37" xfId="5" applyFont="1" applyBorder="1" applyAlignment="1" applyProtection="1">
      <alignment horizontal="center" vertical="center"/>
      <protection locked="0"/>
    </xf>
    <xf numFmtId="9" fontId="15" fillId="0" borderId="45" xfId="5" applyFont="1" applyBorder="1" applyAlignment="1" applyProtection="1">
      <alignment horizontal="center" vertical="center"/>
      <protection locked="0"/>
    </xf>
    <xf numFmtId="9" fontId="15" fillId="0" borderId="38" xfId="5" applyFont="1" applyBorder="1" applyAlignment="1" applyProtection="1">
      <alignment horizontal="center" vertical="center"/>
      <protection locked="0"/>
    </xf>
    <xf numFmtId="9" fontId="15" fillId="0" borderId="52" xfId="5" applyFont="1" applyBorder="1" applyAlignment="1" applyProtection="1">
      <alignment horizontal="center" vertical="center"/>
      <protection locked="0"/>
    </xf>
    <xf numFmtId="9" fontId="15" fillId="3" borderId="32" xfId="5" applyFont="1" applyFill="1" applyBorder="1" applyAlignment="1">
      <alignment horizontal="center" vertical="center"/>
    </xf>
    <xf numFmtId="9" fontId="15" fillId="3" borderId="55" xfId="5" applyFont="1" applyFill="1" applyBorder="1" applyAlignment="1">
      <alignment horizontal="center" vertical="center"/>
    </xf>
    <xf numFmtId="9" fontId="15" fillId="3" borderId="66" xfId="5" applyFont="1" applyFill="1" applyBorder="1" applyAlignment="1">
      <alignment horizontal="center" vertical="center"/>
    </xf>
    <xf numFmtId="9" fontId="15" fillId="3" borderId="34" xfId="5" applyFont="1" applyFill="1" applyBorder="1" applyAlignment="1">
      <alignment horizontal="center" vertical="center"/>
    </xf>
    <xf numFmtId="9" fontId="15" fillId="0" borderId="0" xfId="0" applyNumberFormat="1" applyFont="1" applyAlignment="1">
      <alignment vertical="center"/>
    </xf>
    <xf numFmtId="0" fontId="21" fillId="0" borderId="0" xfId="0" applyFont="1" applyAlignment="1">
      <alignment vertical="center"/>
    </xf>
    <xf numFmtId="0" fontId="15" fillId="0" borderId="37" xfId="0" applyFont="1" applyBorder="1" applyAlignment="1" applyProtection="1">
      <alignment horizontal="center" vertical="center" wrapText="1"/>
      <protection locked="0"/>
    </xf>
    <xf numFmtId="0" fontId="15" fillId="0" borderId="33" xfId="0" applyFont="1" applyBorder="1" applyAlignment="1" applyProtection="1">
      <alignment horizontal="center" vertical="center" wrapText="1"/>
      <protection locked="0"/>
    </xf>
    <xf numFmtId="0" fontId="15" fillId="0" borderId="71" xfId="0" applyFont="1" applyFill="1" applyBorder="1" applyAlignment="1" applyProtection="1">
      <alignment horizontal="center" vertical="center"/>
      <protection locked="0"/>
    </xf>
    <xf numFmtId="0" fontId="15" fillId="0" borderId="37" xfId="0" applyFont="1" applyFill="1" applyBorder="1" applyAlignment="1" applyProtection="1">
      <alignment horizontal="center" vertical="center" wrapText="1"/>
      <protection locked="0"/>
    </xf>
    <xf numFmtId="0" fontId="15" fillId="0" borderId="37" xfId="0" applyFont="1" applyBorder="1" applyAlignment="1" applyProtection="1">
      <alignment vertical="center" wrapText="1"/>
      <protection locked="0"/>
    </xf>
    <xf numFmtId="0" fontId="15" fillId="0" borderId="37" xfId="0" applyFont="1" applyBorder="1" applyAlignment="1" applyProtection="1">
      <alignment horizontal="left" vertical="center" wrapText="1"/>
      <protection locked="0"/>
    </xf>
    <xf numFmtId="0" fontId="15" fillId="0" borderId="38" xfId="0" applyFont="1" applyBorder="1" applyAlignment="1" applyProtection="1">
      <alignment horizontal="left" vertical="center" wrapText="1"/>
      <protection locked="0"/>
    </xf>
    <xf numFmtId="0" fontId="15" fillId="3" borderId="92" xfId="0" applyFont="1" applyFill="1" applyBorder="1" applyAlignment="1">
      <alignment horizontal="center" vertical="center"/>
    </xf>
    <xf numFmtId="0" fontId="15" fillId="3" borderId="93" xfId="0" applyFont="1" applyFill="1" applyBorder="1" applyAlignment="1">
      <alignment horizontal="center" vertical="center"/>
    </xf>
    <xf numFmtId="0" fontId="15" fillId="3" borderId="95" xfId="0" applyFont="1" applyFill="1" applyBorder="1" applyAlignment="1">
      <alignment horizontal="center" vertical="center"/>
    </xf>
    <xf numFmtId="164" fontId="15" fillId="0" borderId="32" xfId="0" applyNumberFormat="1" applyFont="1" applyBorder="1" applyAlignment="1" applyProtection="1">
      <alignment horizontal="center" vertical="center"/>
      <protection locked="0"/>
    </xf>
    <xf numFmtId="164" fontId="15" fillId="0" borderId="8" xfId="0" applyNumberFormat="1" applyFont="1" applyBorder="1" applyAlignment="1" applyProtection="1">
      <alignment horizontal="center" vertical="center"/>
      <protection locked="0"/>
    </xf>
    <xf numFmtId="0" fontId="2" fillId="0" borderId="14" xfId="1" applyBorder="1" applyAlignment="1" applyProtection="1">
      <alignment horizontal="center" vertical="center"/>
    </xf>
    <xf numFmtId="0" fontId="16" fillId="4" borderId="1" xfId="0" applyFont="1" applyFill="1" applyBorder="1" applyAlignment="1">
      <alignment horizontal="center" vertical="center"/>
    </xf>
    <xf numFmtId="0" fontId="16" fillId="4" borderId="2" xfId="0" applyFont="1" applyFill="1" applyBorder="1" applyAlignment="1">
      <alignment horizontal="center" vertical="center"/>
    </xf>
    <xf numFmtId="0" fontId="16" fillId="4" borderId="3" xfId="0" applyFont="1" applyFill="1" applyBorder="1" applyAlignment="1">
      <alignment horizontal="center" vertical="center"/>
    </xf>
    <xf numFmtId="0" fontId="2" fillId="0" borderId="91" xfId="1" applyBorder="1" applyAlignment="1" applyProtection="1">
      <alignment horizontal="left" vertical="center"/>
    </xf>
    <xf numFmtId="0" fontId="2" fillId="0" borderId="102" xfId="1" applyBorder="1" applyAlignment="1" applyProtection="1">
      <alignment horizontal="left" vertical="center"/>
    </xf>
    <xf numFmtId="0" fontId="2" fillId="0" borderId="166" xfId="1" applyBorder="1" applyAlignment="1" applyProtection="1">
      <alignment horizontal="left" vertical="center"/>
    </xf>
    <xf numFmtId="0" fontId="2" fillId="0" borderId="164" xfId="1" applyBorder="1" applyAlignment="1" applyProtection="1">
      <alignment horizontal="left" vertical="center"/>
    </xf>
    <xf numFmtId="0" fontId="2" fillId="0" borderId="113" xfId="1" applyBorder="1" applyAlignment="1" applyProtection="1">
      <alignment horizontal="left" vertical="center"/>
    </xf>
    <xf numFmtId="0" fontId="2" fillId="0" borderId="163" xfId="1" applyBorder="1" applyAlignment="1" applyProtection="1">
      <alignment horizontal="left" vertical="center"/>
    </xf>
    <xf numFmtId="0" fontId="13" fillId="0" borderId="6" xfId="0" applyFont="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5" fillId="0" borderId="94" xfId="0" applyFont="1" applyBorder="1" applyAlignment="1">
      <alignment horizontal="center" vertical="center" wrapText="1"/>
    </xf>
    <xf numFmtId="0" fontId="15" fillId="0" borderId="119" xfId="0" applyFont="1" applyBorder="1" applyAlignment="1">
      <alignment horizontal="center" vertical="center" wrapText="1"/>
    </xf>
    <xf numFmtId="0" fontId="15" fillId="0" borderId="165" xfId="0" applyFont="1" applyBorder="1" applyAlignment="1">
      <alignment horizontal="center" vertical="center" wrapText="1"/>
    </xf>
    <xf numFmtId="0" fontId="15" fillId="0" borderId="92" xfId="0" applyFont="1" applyBorder="1" applyAlignment="1">
      <alignment horizontal="center" vertical="center" wrapText="1"/>
    </xf>
    <xf numFmtId="0" fontId="15" fillId="0" borderId="91" xfId="0" applyFont="1" applyBorder="1" applyAlignment="1">
      <alignment horizontal="center" vertical="center" wrapText="1"/>
    </xf>
    <xf numFmtId="0" fontId="15" fillId="0" borderId="164" xfId="0" applyFont="1" applyBorder="1" applyAlignment="1">
      <alignment horizontal="center" vertical="center" wrapText="1"/>
    </xf>
    <xf numFmtId="0" fontId="15" fillId="0" borderId="93" xfId="0" applyFont="1" applyBorder="1" applyAlignment="1">
      <alignment horizontal="center" vertical="center" wrapText="1"/>
    </xf>
    <xf numFmtId="0" fontId="15" fillId="0" borderId="121" xfId="0" applyFont="1" applyBorder="1" applyAlignment="1">
      <alignment horizontal="center" vertical="center" wrapText="1"/>
    </xf>
    <xf numFmtId="0" fontId="15" fillId="0" borderId="118" xfId="0" applyFont="1" applyBorder="1" applyAlignment="1">
      <alignment horizontal="center" vertical="center" wrapText="1"/>
    </xf>
    <xf numFmtId="0" fontId="2" fillId="0" borderId="110" xfId="1" applyBorder="1" applyAlignment="1" applyProtection="1">
      <alignment horizontal="left" vertical="center"/>
    </xf>
    <xf numFmtId="0" fontId="2" fillId="0" borderId="121" xfId="1" applyBorder="1" applyAlignment="1" applyProtection="1">
      <alignment horizontal="left" vertical="center"/>
    </xf>
    <xf numFmtId="0" fontId="2" fillId="0" borderId="118" xfId="1" applyBorder="1" applyAlignment="1" applyProtection="1">
      <alignment horizontal="left" vertical="center"/>
    </xf>
    <xf numFmtId="0" fontId="2" fillId="0" borderId="2" xfId="1" applyBorder="1" applyAlignment="1" applyProtection="1">
      <alignment horizontal="center" vertical="center"/>
    </xf>
    <xf numFmtId="0" fontId="15" fillId="0" borderId="119" xfId="0" applyFont="1" applyBorder="1" applyAlignment="1">
      <alignment horizontal="left" vertical="center" wrapText="1"/>
    </xf>
    <xf numFmtId="0" fontId="15" fillId="0" borderId="165" xfId="0" applyFont="1" applyBorder="1" applyAlignment="1">
      <alignment horizontal="left" vertical="center" wrapText="1"/>
    </xf>
    <xf numFmtId="0" fontId="15" fillId="0" borderId="91" xfId="0" applyFont="1" applyBorder="1" applyAlignment="1">
      <alignment horizontal="left" vertical="center" wrapText="1"/>
    </xf>
    <xf numFmtId="0" fontId="15" fillId="0" borderId="164" xfId="0" applyFont="1" applyBorder="1" applyAlignment="1">
      <alignment horizontal="left" vertical="center" wrapText="1"/>
    </xf>
    <xf numFmtId="0" fontId="18" fillId="0" borderId="91" xfId="0" applyFont="1" applyBorder="1" applyAlignment="1">
      <alignment horizontal="left" vertical="center" wrapText="1"/>
    </xf>
    <xf numFmtId="0" fontId="18" fillId="0" borderId="164" xfId="0" applyFont="1" applyBorder="1" applyAlignment="1">
      <alignment horizontal="left" vertical="center" wrapText="1"/>
    </xf>
    <xf numFmtId="0" fontId="15" fillId="0" borderId="102" xfId="0" applyFont="1" applyBorder="1" applyAlignment="1">
      <alignment horizontal="left" vertical="center" wrapText="1"/>
    </xf>
    <xf numFmtId="0" fontId="15" fillId="0" borderId="166" xfId="0" applyFont="1" applyBorder="1" applyAlignment="1">
      <alignment horizontal="left" vertical="center" wrapText="1"/>
    </xf>
    <xf numFmtId="0" fontId="2" fillId="0" borderId="98" xfId="1" applyBorder="1" applyAlignment="1" applyProtection="1">
      <alignment horizontal="left" vertical="center" wrapText="1"/>
    </xf>
    <xf numFmtId="0" fontId="2" fillId="0" borderId="104" xfId="1" applyBorder="1" applyAlignment="1" applyProtection="1">
      <alignment horizontal="left" vertical="center" wrapText="1"/>
    </xf>
    <xf numFmtId="0" fontId="15" fillId="3" borderId="92" xfId="0" applyFont="1" applyFill="1" applyBorder="1" applyAlignment="1">
      <alignment horizontal="center" vertical="center"/>
    </xf>
    <xf numFmtId="0" fontId="15" fillId="3" borderId="93" xfId="0" applyFont="1" applyFill="1" applyBorder="1" applyAlignment="1">
      <alignment horizontal="center" vertical="center"/>
    </xf>
    <xf numFmtId="0" fontId="2" fillId="0" borderId="99" xfId="1" applyBorder="1" applyAlignment="1" applyProtection="1">
      <alignment horizontal="left" vertical="top" wrapText="1"/>
    </xf>
    <xf numFmtId="0" fontId="2" fillId="0" borderId="167" xfId="1" applyBorder="1" applyAlignment="1" applyProtection="1">
      <alignment horizontal="left" vertical="top" wrapText="1"/>
    </xf>
    <xf numFmtId="0" fontId="15" fillId="0" borderId="113" xfId="0" applyFont="1" applyBorder="1" applyAlignment="1">
      <alignment horizontal="left" vertical="center" wrapText="1"/>
    </xf>
    <xf numFmtId="0" fontId="15" fillId="0" borderId="163" xfId="0" applyFont="1" applyBorder="1" applyAlignment="1">
      <alignment horizontal="left" vertical="center" wrapText="1"/>
    </xf>
    <xf numFmtId="0" fontId="15" fillId="3" borderId="91" xfId="0" applyFont="1" applyFill="1" applyBorder="1" applyAlignment="1">
      <alignment horizontal="center" vertical="center"/>
    </xf>
    <xf numFmtId="0" fontId="15" fillId="3" borderId="164" xfId="0" applyFont="1" applyFill="1" applyBorder="1" applyAlignment="1">
      <alignment horizontal="center" vertical="center"/>
    </xf>
    <xf numFmtId="0" fontId="15" fillId="3" borderId="13" xfId="0" applyFont="1" applyFill="1" applyBorder="1" applyAlignment="1">
      <alignment horizontal="center" vertical="center"/>
    </xf>
    <xf numFmtId="0" fontId="15" fillId="3" borderId="73" xfId="0" applyFont="1" applyFill="1" applyBorder="1" applyAlignment="1">
      <alignment horizontal="center" vertical="center"/>
    </xf>
    <xf numFmtId="0" fontId="15" fillId="0" borderId="74" xfId="0" applyFont="1" applyBorder="1" applyAlignment="1" applyProtection="1">
      <alignment horizontal="left" vertical="center" wrapText="1"/>
      <protection locked="0"/>
    </xf>
    <xf numFmtId="0" fontId="15" fillId="0" borderId="14" xfId="0" applyFont="1" applyBorder="1" applyAlignment="1" applyProtection="1">
      <alignment horizontal="left" vertical="center" wrapText="1"/>
      <protection locked="0"/>
    </xf>
    <xf numFmtId="0" fontId="15" fillId="0" borderId="15" xfId="0" applyFont="1" applyBorder="1" applyAlignment="1" applyProtection="1">
      <alignment horizontal="left" vertical="center" wrapText="1"/>
      <protection locked="0"/>
    </xf>
    <xf numFmtId="0" fontId="15" fillId="3" borderId="2" xfId="0" applyFont="1" applyFill="1" applyBorder="1" applyAlignment="1">
      <alignment horizontal="left" vertical="center"/>
    </xf>
    <xf numFmtId="0" fontId="15" fillId="3" borderId="3" xfId="0" applyFont="1" applyFill="1" applyBorder="1" applyAlignment="1">
      <alignment horizontal="left" vertical="center"/>
    </xf>
    <xf numFmtId="0" fontId="13" fillId="3" borderId="13" xfId="0" applyFont="1" applyFill="1" applyBorder="1" applyAlignment="1">
      <alignment horizontal="left" vertical="center" wrapText="1"/>
    </xf>
    <xf numFmtId="0" fontId="13" fillId="3" borderId="14" xfId="0" applyFont="1" applyFill="1" applyBorder="1" applyAlignment="1">
      <alignment horizontal="left" vertical="center" wrapText="1"/>
    </xf>
    <xf numFmtId="0" fontId="13" fillId="3" borderId="15" xfId="0" applyFont="1" applyFill="1" applyBorder="1" applyAlignment="1">
      <alignment horizontal="left" vertical="center" wrapText="1"/>
    </xf>
    <xf numFmtId="0" fontId="15" fillId="3" borderId="168" xfId="0" applyFont="1" applyFill="1" applyBorder="1" applyAlignment="1">
      <alignment horizontal="left" vertical="center" wrapText="1"/>
    </xf>
    <xf numFmtId="0" fontId="15" fillId="3" borderId="14" xfId="0" applyFont="1" applyFill="1" applyBorder="1" applyAlignment="1">
      <alignment horizontal="left" vertical="center" wrapText="1"/>
    </xf>
    <xf numFmtId="0" fontId="15" fillId="3" borderId="73" xfId="0" applyFont="1" applyFill="1" applyBorder="1" applyAlignment="1">
      <alignment horizontal="left" vertical="center" wrapText="1"/>
    </xf>
    <xf numFmtId="0" fontId="15" fillId="3" borderId="1" xfId="0" applyFont="1" applyFill="1" applyBorder="1" applyAlignment="1">
      <alignment horizontal="center" vertical="center"/>
    </xf>
    <xf numFmtId="0" fontId="15" fillId="3" borderId="2" xfId="0" applyFont="1" applyFill="1" applyBorder="1" applyAlignment="1">
      <alignment horizontal="center" vertical="center"/>
    </xf>
    <xf numFmtId="0" fontId="15" fillId="3" borderId="3" xfId="0" applyFont="1" applyFill="1" applyBorder="1" applyAlignment="1">
      <alignment horizontal="center" vertical="center"/>
    </xf>
    <xf numFmtId="0" fontId="15" fillId="3" borderId="169" xfId="0" applyFont="1" applyFill="1" applyBorder="1" applyAlignment="1">
      <alignment horizontal="center" vertical="center"/>
    </xf>
    <xf numFmtId="0" fontId="15" fillId="3" borderId="170" xfId="0" applyFont="1" applyFill="1" applyBorder="1" applyAlignment="1">
      <alignment horizontal="center" vertical="center"/>
    </xf>
    <xf numFmtId="0" fontId="15" fillId="3" borderId="115" xfId="0" applyFont="1" applyFill="1" applyBorder="1" applyAlignment="1">
      <alignment horizontal="center" vertical="center"/>
    </xf>
    <xf numFmtId="0" fontId="15" fillId="0" borderId="74" xfId="0" applyFont="1" applyBorder="1" applyAlignment="1" applyProtection="1">
      <alignment horizontal="center" vertical="center" wrapText="1"/>
      <protection locked="0"/>
    </xf>
    <xf numFmtId="0" fontId="15" fillId="0" borderId="15" xfId="0" applyFont="1" applyBorder="1" applyAlignment="1" applyProtection="1">
      <alignment horizontal="center" vertical="center" wrapText="1"/>
      <protection locked="0"/>
    </xf>
    <xf numFmtId="0" fontId="15" fillId="3" borderId="112" xfId="0" applyFont="1" applyFill="1" applyBorder="1" applyAlignment="1">
      <alignment horizontal="left" vertical="center"/>
    </xf>
    <xf numFmtId="0" fontId="15" fillId="3" borderId="174" xfId="0" applyFont="1" applyFill="1" applyBorder="1" applyAlignment="1">
      <alignment horizontal="left" vertical="center"/>
    </xf>
    <xf numFmtId="0" fontId="15" fillId="3" borderId="111" xfId="0" applyFont="1" applyFill="1" applyBorder="1" applyAlignment="1">
      <alignment horizontal="left" vertical="center"/>
    </xf>
    <xf numFmtId="0" fontId="15" fillId="3" borderId="158" xfId="0" applyFont="1" applyFill="1" applyBorder="1" applyAlignment="1">
      <alignment horizontal="left" vertical="center"/>
    </xf>
    <xf numFmtId="0" fontId="15" fillId="3" borderId="0" xfId="0" applyFont="1" applyFill="1" applyBorder="1" applyAlignment="1">
      <alignment horizontal="left" vertical="center"/>
    </xf>
    <xf numFmtId="0" fontId="15" fillId="3" borderId="131" xfId="0" applyFont="1" applyFill="1" applyBorder="1" applyAlignment="1">
      <alignment horizontal="left" vertical="center"/>
    </xf>
    <xf numFmtId="0" fontId="15" fillId="0" borderId="37" xfId="0" applyFont="1" applyBorder="1" applyAlignment="1" applyProtection="1">
      <alignment horizontal="left" vertical="center"/>
      <protection locked="0"/>
    </xf>
    <xf numFmtId="0" fontId="15" fillId="0" borderId="33" xfId="0" applyFont="1" applyBorder="1" applyAlignment="1" applyProtection="1">
      <alignment horizontal="left" vertical="center"/>
      <protection locked="0"/>
    </xf>
    <xf numFmtId="49" fontId="15" fillId="0" borderId="37" xfId="0" applyNumberFormat="1" applyFont="1" applyBorder="1" applyAlignment="1" applyProtection="1">
      <alignment horizontal="left" vertical="center"/>
      <protection locked="0"/>
    </xf>
    <xf numFmtId="49" fontId="15" fillId="0" borderId="33" xfId="0" applyNumberFormat="1" applyFont="1" applyBorder="1" applyAlignment="1" applyProtection="1">
      <alignment horizontal="left" vertical="center"/>
      <protection locked="0"/>
    </xf>
    <xf numFmtId="0" fontId="15" fillId="3" borderId="171" xfId="0" applyFont="1" applyFill="1" applyBorder="1" applyAlignment="1">
      <alignment horizontal="left" vertical="center"/>
    </xf>
    <xf numFmtId="0" fontId="15" fillId="3" borderId="129" xfId="0" applyFont="1" applyFill="1" applyBorder="1" applyAlignment="1">
      <alignment horizontal="left" vertical="center"/>
    </xf>
    <xf numFmtId="0" fontId="15" fillId="3" borderId="177" xfId="0" applyFont="1" applyFill="1" applyBorder="1" applyAlignment="1">
      <alignment horizontal="left" vertical="center" indent="1"/>
    </xf>
    <xf numFmtId="0" fontId="15" fillId="3" borderId="129" xfId="0" applyFont="1" applyFill="1" applyBorder="1" applyAlignment="1">
      <alignment horizontal="left" vertical="center" indent="1"/>
    </xf>
    <xf numFmtId="0" fontId="15" fillId="3" borderId="172" xfId="0" applyFont="1" applyFill="1" applyBorder="1" applyAlignment="1">
      <alignment horizontal="left" vertical="center" indent="1"/>
    </xf>
    <xf numFmtId="0" fontId="15" fillId="3" borderId="117" xfId="0" applyFont="1" applyFill="1" applyBorder="1" applyAlignment="1">
      <alignment horizontal="left" vertical="center"/>
    </xf>
    <xf numFmtId="0" fontId="15" fillId="3" borderId="175" xfId="0" applyFont="1" applyFill="1" applyBorder="1" applyAlignment="1">
      <alignment horizontal="left" vertical="center"/>
    </xf>
    <xf numFmtId="0" fontId="15" fillId="3" borderId="156" xfId="0" applyFont="1" applyFill="1" applyBorder="1" applyAlignment="1">
      <alignment horizontal="left" vertical="center"/>
    </xf>
    <xf numFmtId="0" fontId="15" fillId="3" borderId="7" xfId="0" applyFont="1" applyFill="1" applyBorder="1" applyAlignment="1">
      <alignment horizontal="left" vertical="center"/>
    </xf>
    <xf numFmtId="0" fontId="15" fillId="3" borderId="131" xfId="0" applyFont="1" applyFill="1" applyBorder="1" applyAlignment="1">
      <alignment horizontal="center" vertical="center"/>
    </xf>
    <xf numFmtId="0" fontId="15" fillId="3" borderId="112" xfId="0" applyFont="1" applyFill="1" applyBorder="1" applyAlignment="1">
      <alignment horizontal="center" vertical="center"/>
    </xf>
    <xf numFmtId="0" fontId="15" fillId="3" borderId="176" xfId="0" applyFont="1" applyFill="1" applyBorder="1" applyAlignment="1">
      <alignment horizontal="center" vertical="center"/>
    </xf>
    <xf numFmtId="0" fontId="15" fillId="3" borderId="0" xfId="0" applyFont="1" applyFill="1" applyBorder="1" applyAlignment="1">
      <alignment horizontal="center" vertical="center"/>
    </xf>
    <xf numFmtId="0" fontId="15" fillId="3" borderId="101" xfId="0" applyFont="1" applyFill="1" applyBorder="1" applyAlignment="1">
      <alignment horizontal="center" vertical="center"/>
    </xf>
    <xf numFmtId="0" fontId="15" fillId="3" borderId="100" xfId="0" applyFont="1" applyFill="1" applyBorder="1" applyAlignment="1">
      <alignment horizontal="center" vertical="center"/>
    </xf>
    <xf numFmtId="0" fontId="15" fillId="3" borderId="161" xfId="0" applyFont="1" applyFill="1" applyBorder="1" applyAlignment="1">
      <alignment horizontal="center" vertical="center"/>
    </xf>
    <xf numFmtId="0" fontId="15" fillId="3" borderId="110" xfId="0" applyFont="1" applyFill="1" applyBorder="1" applyAlignment="1">
      <alignment horizontal="left" vertical="center"/>
    </xf>
    <xf numFmtId="0" fontId="15" fillId="0" borderId="37" xfId="0" applyFont="1" applyBorder="1" applyAlignment="1" applyProtection="1">
      <alignment horizontal="center" vertical="center"/>
      <protection locked="0"/>
    </xf>
    <xf numFmtId="0" fontId="15" fillId="3" borderId="14" xfId="0" applyFont="1" applyFill="1" applyBorder="1" applyAlignment="1">
      <alignment horizontal="left" vertical="center" wrapText="1" indent="2"/>
    </xf>
    <xf numFmtId="0" fontId="15" fillId="3" borderId="5" xfId="0" applyFont="1" applyFill="1" applyBorder="1" applyAlignment="1">
      <alignment horizontal="center" vertical="center"/>
    </xf>
    <xf numFmtId="0" fontId="15" fillId="0" borderId="37" xfId="0" applyFont="1" applyBorder="1" applyAlignment="1" applyProtection="1">
      <alignment horizontal="center" vertical="center" wrapText="1"/>
      <protection locked="0"/>
    </xf>
    <xf numFmtId="0" fontId="15" fillId="0" borderId="33" xfId="0" applyFont="1" applyBorder="1" applyAlignment="1" applyProtection="1">
      <alignment horizontal="center" vertical="center" wrapText="1"/>
      <protection locked="0"/>
    </xf>
    <xf numFmtId="49" fontId="15" fillId="0" borderId="37" xfId="0" applyNumberFormat="1" applyFont="1" applyBorder="1" applyAlignment="1" applyProtection="1">
      <alignment horizontal="center" vertical="center"/>
      <protection locked="0"/>
    </xf>
    <xf numFmtId="49" fontId="15" fillId="0" borderId="33" xfId="0" applyNumberFormat="1" applyFont="1" applyBorder="1" applyAlignment="1" applyProtection="1">
      <alignment horizontal="center" vertical="center"/>
      <protection locked="0"/>
    </xf>
    <xf numFmtId="0" fontId="15" fillId="0" borderId="38"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3" borderId="168" xfId="0" applyFont="1" applyFill="1" applyBorder="1" applyAlignment="1">
      <alignment horizontal="left" vertical="center"/>
    </xf>
    <xf numFmtId="0" fontId="15" fillId="3" borderId="14" xfId="0" applyFont="1" applyFill="1" applyBorder="1" applyAlignment="1">
      <alignment horizontal="left" vertical="center"/>
    </xf>
    <xf numFmtId="0" fontId="15" fillId="3" borderId="73" xfId="0" applyFont="1" applyFill="1" applyBorder="1" applyAlignment="1">
      <alignment horizontal="left" vertical="center"/>
    </xf>
    <xf numFmtId="0" fontId="15" fillId="3" borderId="4" xfId="0" applyFont="1" applyFill="1" applyBorder="1" applyAlignment="1">
      <alignment horizontal="center" vertical="center"/>
    </xf>
    <xf numFmtId="0" fontId="15" fillId="3" borderId="6" xfId="0" applyFont="1" applyFill="1" applyBorder="1" applyAlignment="1">
      <alignment horizontal="center" vertical="center"/>
    </xf>
    <xf numFmtId="0" fontId="15" fillId="3" borderId="172" xfId="0" applyFont="1" applyFill="1" applyBorder="1" applyAlignment="1">
      <alignment horizontal="left" vertical="center"/>
    </xf>
    <xf numFmtId="0" fontId="15" fillId="3" borderId="173" xfId="0" applyFont="1" applyFill="1" applyBorder="1" applyAlignment="1">
      <alignment horizontal="center" vertical="center"/>
    </xf>
    <xf numFmtId="0" fontId="15" fillId="0" borderId="38" xfId="0" applyFont="1" applyBorder="1" applyAlignment="1" applyProtection="1">
      <alignment horizontal="center" vertical="center"/>
      <protection locked="0"/>
    </xf>
    <xf numFmtId="0" fontId="15" fillId="3" borderId="171" xfId="0" applyFont="1" applyFill="1" applyBorder="1" applyAlignment="1">
      <alignment horizontal="left" vertical="center" wrapText="1"/>
    </xf>
    <xf numFmtId="0" fontId="15" fillId="3" borderId="129" xfId="0" applyFont="1" applyFill="1" applyBorder="1" applyAlignment="1">
      <alignment horizontal="left" vertical="center" wrapText="1"/>
    </xf>
    <xf numFmtId="49" fontId="15" fillId="0" borderId="38" xfId="0" applyNumberFormat="1" applyFont="1" applyBorder="1" applyAlignment="1" applyProtection="1">
      <alignment horizontal="center" vertical="center"/>
      <protection locked="0"/>
    </xf>
    <xf numFmtId="49" fontId="15" fillId="0" borderId="36" xfId="0" applyNumberFormat="1" applyFont="1" applyBorder="1" applyAlignment="1" applyProtection="1">
      <alignment horizontal="center" vertical="center"/>
      <protection locked="0"/>
    </xf>
    <xf numFmtId="0" fontId="2" fillId="0" borderId="1" xfId="1" applyBorder="1" applyAlignment="1" applyProtection="1">
      <alignment horizontal="left" vertical="center"/>
    </xf>
    <xf numFmtId="0" fontId="2" fillId="0" borderId="2" xfId="1" applyBorder="1" applyAlignment="1" applyProtection="1">
      <alignment horizontal="left" vertical="center"/>
    </xf>
    <xf numFmtId="0" fontId="15" fillId="0" borderId="33" xfId="0" applyFont="1" applyBorder="1" applyAlignment="1" applyProtection="1">
      <alignment horizontal="center" vertical="center"/>
      <protection locked="0"/>
    </xf>
    <xf numFmtId="0" fontId="15" fillId="3" borderId="2" xfId="0" applyFont="1" applyFill="1" applyBorder="1" applyAlignment="1">
      <alignment horizontal="left" vertical="center" wrapText="1"/>
    </xf>
    <xf numFmtId="0" fontId="15" fillId="3" borderId="3" xfId="0" applyFont="1" applyFill="1" applyBorder="1" applyAlignment="1">
      <alignment horizontal="left" vertical="center" wrapText="1"/>
    </xf>
    <xf numFmtId="0" fontId="15" fillId="3" borderId="131" xfId="0" applyFont="1" applyFill="1" applyBorder="1" applyAlignment="1">
      <alignment horizontal="center" vertical="center" wrapText="1"/>
    </xf>
    <xf numFmtId="0" fontId="15" fillId="3" borderId="174" xfId="0" applyFont="1" applyFill="1" applyBorder="1" applyAlignment="1">
      <alignment horizontal="center" vertical="center" wrapText="1"/>
    </xf>
    <xf numFmtId="0" fontId="15" fillId="3" borderId="103" xfId="0" applyFont="1" applyFill="1" applyBorder="1" applyAlignment="1">
      <alignment horizontal="center" vertical="center" wrapText="1"/>
    </xf>
    <xf numFmtId="0" fontId="15" fillId="3" borderId="20" xfId="0" applyFont="1" applyFill="1" applyBorder="1" applyAlignment="1">
      <alignment horizontal="center" vertical="center" wrapText="1"/>
    </xf>
    <xf numFmtId="0" fontId="15" fillId="3" borderId="149" xfId="0" applyFont="1" applyFill="1" applyBorder="1" applyAlignment="1">
      <alignment horizontal="center" vertical="center" wrapText="1"/>
    </xf>
    <xf numFmtId="0" fontId="15" fillId="3" borderId="78" xfId="0" applyFont="1" applyFill="1" applyBorder="1" applyAlignment="1">
      <alignment horizontal="center" vertical="center" wrapText="1"/>
    </xf>
    <xf numFmtId="0" fontId="15" fillId="0" borderId="36" xfId="0" applyFont="1" applyBorder="1" applyAlignment="1" applyProtection="1">
      <alignment horizontal="center" vertical="center"/>
      <protection locked="0"/>
    </xf>
    <xf numFmtId="0" fontId="15" fillId="0" borderId="18" xfId="0" applyFont="1" applyBorder="1" applyAlignment="1" applyProtection="1">
      <alignment horizontal="center" vertical="center" wrapText="1"/>
      <protection locked="0"/>
    </xf>
    <xf numFmtId="0" fontId="15" fillId="0" borderId="79" xfId="0" applyFont="1" applyBorder="1" applyAlignment="1" applyProtection="1">
      <alignment horizontal="center" vertical="center" wrapText="1"/>
      <protection locked="0"/>
    </xf>
    <xf numFmtId="0" fontId="2" fillId="3" borderId="0" xfId="1" applyFill="1" applyBorder="1" applyAlignment="1" applyProtection="1">
      <alignment horizontal="center" vertical="center"/>
    </xf>
    <xf numFmtId="0" fontId="2" fillId="3" borderId="0" xfId="1" applyFill="1" applyBorder="1" applyAlignment="1" applyProtection="1">
      <alignment horizontal="center" vertical="center" wrapText="1"/>
    </xf>
    <xf numFmtId="0" fontId="15" fillId="3" borderId="103" xfId="0" applyFont="1" applyFill="1" applyBorder="1" applyAlignment="1">
      <alignment horizontal="left" vertical="center"/>
    </xf>
    <xf numFmtId="0" fontId="15" fillId="3" borderId="20" xfId="0" applyFont="1" applyFill="1" applyBorder="1" applyAlignment="1">
      <alignment horizontal="left" vertical="center"/>
    </xf>
    <xf numFmtId="0" fontId="15" fillId="3" borderId="155" xfId="0" applyFont="1" applyFill="1" applyBorder="1" applyAlignment="1">
      <alignment horizontal="left" vertical="center"/>
    </xf>
    <xf numFmtId="0" fontId="15" fillId="3" borderId="71" xfId="0" applyFont="1" applyFill="1" applyBorder="1" applyAlignment="1">
      <alignment horizontal="center" vertical="center"/>
    </xf>
    <xf numFmtId="0" fontId="15" fillId="3" borderId="44" xfId="0" applyFont="1" applyFill="1" applyBorder="1" applyAlignment="1">
      <alignment horizontal="center" vertical="center"/>
    </xf>
    <xf numFmtId="0" fontId="15" fillId="0" borderId="41" xfId="0" applyFont="1" applyBorder="1" applyAlignment="1" applyProtection="1">
      <alignment horizontal="left" vertical="center" wrapText="1"/>
      <protection locked="0"/>
    </xf>
    <xf numFmtId="0" fontId="15" fillId="0" borderId="35" xfId="0" applyFont="1" applyBorder="1" applyAlignment="1" applyProtection="1">
      <alignment horizontal="left" vertical="center" wrapText="1"/>
      <protection locked="0"/>
    </xf>
    <xf numFmtId="0" fontId="15" fillId="3" borderId="75" xfId="0" applyFont="1" applyFill="1" applyBorder="1" applyAlignment="1">
      <alignment horizontal="center" vertical="center"/>
    </xf>
    <xf numFmtId="0" fontId="15" fillId="3" borderId="76" xfId="0" applyFont="1" applyFill="1" applyBorder="1" applyAlignment="1">
      <alignment horizontal="center" vertical="center"/>
    </xf>
    <xf numFmtId="0" fontId="15" fillId="3" borderId="77" xfId="0" applyFont="1" applyFill="1" applyBorder="1" applyAlignment="1">
      <alignment horizontal="center"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5" fillId="3" borderId="112" xfId="0" applyFont="1" applyFill="1" applyBorder="1" applyAlignment="1">
      <alignment horizontal="right" vertical="center"/>
    </xf>
    <xf numFmtId="0" fontId="15" fillId="3" borderId="174" xfId="0" applyFont="1" applyFill="1" applyBorder="1" applyAlignment="1">
      <alignment horizontal="right" vertical="center"/>
    </xf>
    <xf numFmtId="0" fontId="15" fillId="3" borderId="149" xfId="0" applyFont="1" applyFill="1" applyBorder="1" applyAlignment="1">
      <alignment horizontal="center" vertical="center"/>
    </xf>
    <xf numFmtId="0" fontId="15" fillId="3" borderId="162" xfId="0" applyFont="1" applyFill="1" applyBorder="1" applyAlignment="1">
      <alignment horizontal="center" vertical="center"/>
    </xf>
    <xf numFmtId="0" fontId="15" fillId="3" borderId="162" xfId="0" applyFont="1" applyFill="1" applyBorder="1" applyAlignment="1">
      <alignment horizontal="left" vertical="center"/>
    </xf>
    <xf numFmtId="0" fontId="13" fillId="3" borderId="171" xfId="0" applyFont="1" applyFill="1" applyBorder="1" applyAlignment="1">
      <alignment horizontal="center" vertical="center"/>
    </xf>
    <xf numFmtId="0" fontId="13" fillId="3" borderId="129" xfId="0" applyFont="1" applyFill="1" applyBorder="1" applyAlignment="1">
      <alignment horizontal="center" vertical="center"/>
    </xf>
    <xf numFmtId="0" fontId="13" fillId="3" borderId="172" xfId="0" applyFont="1" applyFill="1" applyBorder="1" applyAlignment="1">
      <alignment horizontal="center" vertical="center"/>
    </xf>
    <xf numFmtId="0" fontId="15" fillId="3" borderId="103" xfId="0" applyFont="1" applyFill="1" applyBorder="1" applyAlignment="1">
      <alignment horizontal="right" vertical="center"/>
    </xf>
    <xf numFmtId="0" fontId="15" fillId="3" borderId="0" xfId="0" applyFont="1" applyFill="1" applyBorder="1" applyAlignment="1">
      <alignment horizontal="right" vertical="center"/>
    </xf>
    <xf numFmtId="0" fontId="15" fillId="3" borderId="20" xfId="0" applyFont="1" applyFill="1" applyBorder="1" applyAlignment="1">
      <alignment horizontal="right" vertical="center"/>
    </xf>
    <xf numFmtId="0" fontId="15" fillId="3" borderId="110" xfId="0" applyFont="1" applyFill="1" applyBorder="1" applyAlignment="1">
      <alignment horizontal="left" vertical="center" wrapText="1"/>
    </xf>
    <xf numFmtId="0" fontId="15" fillId="3" borderId="111" xfId="0" applyFont="1" applyFill="1" applyBorder="1" applyAlignment="1">
      <alignment horizontal="left" vertical="center" wrapText="1"/>
    </xf>
    <xf numFmtId="0" fontId="15" fillId="3" borderId="137" xfId="0" applyFont="1" applyFill="1" applyBorder="1" applyAlignment="1">
      <alignment horizontal="left" vertical="center" wrapText="1"/>
    </xf>
    <xf numFmtId="0" fontId="15" fillId="3" borderId="178" xfId="0" applyFont="1" applyFill="1" applyBorder="1" applyAlignment="1">
      <alignment horizontal="left" vertical="center" wrapText="1"/>
    </xf>
    <xf numFmtId="0" fontId="15" fillId="0" borderId="80" xfId="0" applyFont="1" applyBorder="1" applyAlignment="1" applyProtection="1">
      <alignment horizontal="left" vertical="center"/>
      <protection locked="0"/>
    </xf>
    <xf numFmtId="0" fontId="15" fillId="0" borderId="71" xfId="0" applyFont="1" applyBorder="1" applyAlignment="1" applyProtection="1">
      <alignment horizontal="left" vertical="center" wrapText="1"/>
      <protection locked="0"/>
    </xf>
    <xf numFmtId="0" fontId="15" fillId="0" borderId="76" xfId="0" applyFont="1" applyBorder="1" applyAlignment="1" applyProtection="1">
      <alignment horizontal="left" vertical="center" wrapText="1"/>
      <protection locked="0"/>
    </xf>
    <xf numFmtId="0" fontId="15" fillId="0" borderId="44" xfId="0" applyFont="1" applyBorder="1" applyAlignment="1" applyProtection="1">
      <alignment horizontal="left" vertical="center" wrapText="1"/>
      <protection locked="0"/>
    </xf>
    <xf numFmtId="0" fontId="15" fillId="3" borderId="1" xfId="0" applyFont="1" applyFill="1" applyBorder="1" applyAlignment="1">
      <alignment horizontal="left" vertical="center" wrapText="1"/>
    </xf>
    <xf numFmtId="0" fontId="13" fillId="3" borderId="91" xfId="0" applyFont="1" applyFill="1" applyBorder="1" applyAlignment="1">
      <alignment horizontal="center" vertical="center"/>
    </xf>
    <xf numFmtId="0" fontId="2" fillId="3" borderId="91" xfId="1" applyFill="1" applyBorder="1" applyAlignment="1" applyProtection="1">
      <alignment horizontal="left" vertical="center"/>
    </xf>
    <xf numFmtId="0" fontId="2" fillId="3" borderId="110" xfId="1" applyFill="1" applyBorder="1" applyAlignment="1" applyProtection="1">
      <alignment horizontal="left" vertical="center"/>
    </xf>
    <xf numFmtId="0" fontId="2" fillId="3" borderId="121" xfId="1" applyFill="1" applyBorder="1" applyAlignment="1" applyProtection="1">
      <alignment horizontal="left" vertical="center"/>
    </xf>
    <xf numFmtId="0" fontId="2" fillId="3" borderId="117" xfId="1" applyFill="1" applyBorder="1" applyAlignment="1" applyProtection="1">
      <alignment horizontal="left" vertical="center"/>
    </xf>
    <xf numFmtId="0" fontId="15" fillId="3" borderId="136" xfId="0" applyFont="1" applyFill="1" applyBorder="1" applyAlignment="1">
      <alignment horizontal="left" vertical="center" wrapText="1"/>
    </xf>
    <xf numFmtId="0" fontId="15" fillId="3" borderId="138" xfId="0" applyFont="1" applyFill="1" applyBorder="1" applyAlignment="1">
      <alignment horizontal="left" vertical="center" wrapText="1"/>
    </xf>
    <xf numFmtId="0" fontId="2" fillId="0" borderId="1" xfId="1" applyFont="1" applyBorder="1" applyAlignment="1" applyProtection="1">
      <alignment horizontal="left" vertical="center"/>
    </xf>
    <xf numFmtId="0" fontId="2" fillId="0" borderId="2" xfId="1" applyFont="1" applyBorder="1" applyAlignment="1" applyProtection="1">
      <alignment horizontal="left" vertical="center"/>
    </xf>
    <xf numFmtId="0" fontId="2" fillId="0" borderId="2" xfId="1" applyFont="1" applyBorder="1" applyAlignment="1" applyProtection="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6" fillId="4" borderId="4" xfId="0" applyFont="1" applyFill="1" applyBorder="1" applyAlignment="1">
      <alignment horizontal="left" vertical="center" wrapText="1"/>
    </xf>
    <xf numFmtId="0" fontId="16" fillId="4" borderId="0" xfId="0" applyFont="1" applyFill="1" applyBorder="1" applyAlignment="1">
      <alignment horizontal="left" vertical="center" wrapText="1"/>
    </xf>
    <xf numFmtId="0" fontId="16" fillId="4" borderId="5" xfId="0" applyFont="1" applyFill="1" applyBorder="1" applyAlignment="1">
      <alignment horizontal="left" vertical="center" wrapText="1"/>
    </xf>
    <xf numFmtId="0" fontId="15" fillId="3" borderId="4" xfId="0" applyFont="1" applyFill="1" applyBorder="1" applyAlignment="1">
      <alignment horizontal="left" vertical="center" wrapText="1"/>
    </xf>
    <xf numFmtId="0" fontId="15" fillId="3" borderId="0" xfId="0" applyFont="1" applyFill="1" applyBorder="1" applyAlignment="1">
      <alignment horizontal="left" vertical="center" wrapText="1"/>
    </xf>
    <xf numFmtId="0" fontId="15" fillId="3" borderId="179" xfId="0" applyFont="1" applyFill="1" applyBorder="1" applyAlignment="1">
      <alignment horizontal="left" vertical="center" wrapText="1"/>
    </xf>
    <xf numFmtId="0" fontId="15" fillId="3" borderId="112" xfId="0" applyFont="1" applyFill="1" applyBorder="1" applyAlignment="1">
      <alignment horizontal="left" vertical="center" wrapText="1"/>
    </xf>
    <xf numFmtId="0" fontId="15" fillId="3" borderId="174" xfId="0" applyFont="1" applyFill="1" applyBorder="1" applyAlignment="1">
      <alignment horizontal="left" vertical="center" wrapText="1"/>
    </xf>
    <xf numFmtId="0" fontId="15" fillId="0" borderId="18" xfId="0" applyFont="1" applyBorder="1" applyAlignment="1" applyProtection="1">
      <alignment horizontal="left" vertical="center" wrapText="1"/>
      <protection locked="0"/>
    </xf>
    <xf numFmtId="0" fontId="15" fillId="0" borderId="40" xfId="0" applyFont="1" applyBorder="1" applyAlignment="1" applyProtection="1">
      <alignment horizontal="left" vertical="center" wrapText="1"/>
      <protection locked="0"/>
    </xf>
    <xf numFmtId="0" fontId="15" fillId="0" borderId="46" xfId="0" applyFont="1" applyBorder="1" applyAlignment="1" applyProtection="1">
      <alignment horizontal="left" vertical="center" wrapText="1"/>
      <protection locked="0"/>
    </xf>
    <xf numFmtId="0" fontId="15" fillId="3" borderId="160" xfId="0" applyFont="1" applyFill="1" applyBorder="1" applyAlignment="1">
      <alignment horizontal="left" vertical="center"/>
    </xf>
    <xf numFmtId="0" fontId="15" fillId="3" borderId="5" xfId="0" applyFont="1" applyFill="1" applyBorder="1" applyAlignment="1">
      <alignment horizontal="left" vertical="center" wrapText="1"/>
    </xf>
    <xf numFmtId="0" fontId="15" fillId="3" borderId="111" xfId="0" applyFont="1" applyFill="1" applyBorder="1" applyAlignment="1">
      <alignment horizontal="center" vertical="center"/>
    </xf>
    <xf numFmtId="0" fontId="15" fillId="3" borderId="95" xfId="0" applyFont="1" applyFill="1" applyBorder="1" applyAlignment="1">
      <alignment horizontal="center" vertical="center"/>
    </xf>
    <xf numFmtId="0" fontId="15" fillId="0" borderId="81" xfId="0" applyFont="1" applyBorder="1" applyAlignment="1" applyProtection="1">
      <alignment horizontal="left" vertical="center" wrapText="1"/>
      <protection locked="0"/>
    </xf>
    <xf numFmtId="0" fontId="15" fillId="0" borderId="2" xfId="0" applyFont="1" applyBorder="1" applyAlignment="1" applyProtection="1">
      <alignment horizontal="left" vertical="center" wrapText="1"/>
      <protection locked="0"/>
    </xf>
    <xf numFmtId="0" fontId="15" fillId="0" borderId="3" xfId="0" applyFont="1" applyBorder="1" applyAlignment="1" applyProtection="1">
      <alignment horizontal="left" vertical="center" wrapText="1"/>
      <protection locked="0"/>
    </xf>
    <xf numFmtId="0" fontId="15" fillId="3" borderId="135"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0" borderId="43" xfId="0" applyFont="1" applyFill="1" applyBorder="1" applyAlignment="1" applyProtection="1">
      <alignment horizontal="left" vertical="center" wrapText="1"/>
      <protection locked="0"/>
    </xf>
    <xf numFmtId="0" fontId="15" fillId="0" borderId="82" xfId="0" applyFont="1" applyFill="1" applyBorder="1" applyAlignment="1" applyProtection="1">
      <alignment horizontal="left" vertical="center" wrapText="1"/>
      <protection locked="0"/>
    </xf>
    <xf numFmtId="0" fontId="15" fillId="0" borderId="55" xfId="0" applyFont="1" applyFill="1" applyBorder="1" applyAlignment="1" applyProtection="1">
      <alignment horizontal="left" vertical="center" wrapText="1"/>
      <protection locked="0"/>
    </xf>
    <xf numFmtId="0" fontId="15" fillId="3" borderId="155" xfId="0" applyFont="1" applyFill="1" applyBorder="1" applyAlignment="1">
      <alignment horizontal="left" vertical="center" wrapText="1"/>
    </xf>
    <xf numFmtId="0" fontId="15" fillId="3" borderId="19" xfId="0" applyFont="1" applyFill="1" applyBorder="1" applyAlignment="1">
      <alignment horizontal="left" vertical="center" wrapText="1"/>
    </xf>
    <xf numFmtId="0" fontId="15" fillId="3" borderId="22" xfId="0" applyFont="1" applyFill="1" applyBorder="1" applyAlignment="1">
      <alignment horizontal="left" vertical="center" wrapText="1"/>
    </xf>
    <xf numFmtId="0" fontId="18" fillId="3" borderId="112" xfId="0" applyFont="1" applyFill="1" applyBorder="1" applyAlignment="1">
      <alignment horizontal="center" vertical="center"/>
    </xf>
    <xf numFmtId="0" fontId="15" fillId="3" borderId="116" xfId="0" applyFont="1" applyFill="1" applyBorder="1" applyAlignment="1">
      <alignment horizontal="left" vertical="center"/>
    </xf>
    <xf numFmtId="0" fontId="15" fillId="3" borderId="23" xfId="0" applyFont="1" applyFill="1" applyBorder="1" applyAlignment="1">
      <alignment horizontal="left" vertical="center"/>
    </xf>
    <xf numFmtId="0" fontId="15" fillId="3" borderId="83" xfId="0" applyFont="1" applyFill="1" applyBorder="1" applyAlignment="1">
      <alignment horizontal="center" vertical="center"/>
    </xf>
    <xf numFmtId="0" fontId="15" fillId="3" borderId="7" xfId="0" applyFont="1" applyFill="1" applyBorder="1" applyAlignment="1">
      <alignment horizontal="center" vertical="center"/>
    </xf>
    <xf numFmtId="0" fontId="15" fillId="3" borderId="8" xfId="0" applyFont="1" applyFill="1" applyBorder="1" applyAlignment="1">
      <alignment horizontal="center" vertical="center"/>
    </xf>
    <xf numFmtId="0" fontId="15" fillId="3" borderId="172" xfId="0" applyFont="1" applyFill="1" applyBorder="1" applyAlignment="1">
      <alignment horizontal="left" vertical="center" wrapText="1"/>
    </xf>
    <xf numFmtId="0" fontId="15" fillId="0" borderId="49" xfId="0" applyFont="1" applyBorder="1" applyAlignment="1" applyProtection="1">
      <alignment horizontal="center" vertical="center"/>
      <protection locked="0"/>
    </xf>
    <xf numFmtId="0" fontId="15" fillId="0" borderId="39" xfId="0" applyFont="1" applyBorder="1" applyAlignment="1" applyProtection="1">
      <alignment horizontal="center" vertical="center"/>
      <protection locked="0"/>
    </xf>
    <xf numFmtId="0" fontId="15" fillId="3" borderId="180" xfId="0" applyFont="1" applyFill="1" applyBorder="1" applyAlignment="1">
      <alignment horizontal="left" vertical="center"/>
    </xf>
    <xf numFmtId="0" fontId="15" fillId="3" borderId="114" xfId="0" applyFont="1" applyFill="1" applyBorder="1" applyAlignment="1">
      <alignment horizontal="center" vertical="center" wrapText="1"/>
    </xf>
    <xf numFmtId="0" fontId="15" fillId="3" borderId="137" xfId="0" applyFont="1" applyFill="1" applyBorder="1" applyAlignment="1">
      <alignment horizontal="center" vertical="center" wrapText="1"/>
    </xf>
    <xf numFmtId="0" fontId="15" fillId="3" borderId="138" xfId="0" applyFont="1" applyFill="1" applyBorder="1" applyAlignment="1">
      <alignment horizontal="center" vertical="center" wrapText="1"/>
    </xf>
    <xf numFmtId="0" fontId="15" fillId="3" borderId="120" xfId="0" applyFont="1" applyFill="1" applyBorder="1" applyAlignment="1">
      <alignment horizontal="center" vertical="center"/>
    </xf>
    <xf numFmtId="0" fontId="15" fillId="3" borderId="178" xfId="0" applyFont="1" applyFill="1" applyBorder="1" applyAlignment="1">
      <alignment horizontal="center" vertical="center"/>
    </xf>
    <xf numFmtId="0" fontId="15" fillId="3" borderId="98" xfId="0" applyFont="1" applyFill="1" applyBorder="1" applyAlignment="1">
      <alignment horizontal="center" vertical="center"/>
    </xf>
    <xf numFmtId="0" fontId="15" fillId="3" borderId="99" xfId="0" applyFont="1" applyFill="1" applyBorder="1" applyAlignment="1">
      <alignment horizontal="center" vertical="center"/>
    </xf>
    <xf numFmtId="0" fontId="15" fillId="3" borderId="103" xfId="0" applyFont="1" applyFill="1" applyBorder="1" applyAlignment="1">
      <alignment horizontal="center" vertical="center"/>
    </xf>
    <xf numFmtId="0" fontId="15" fillId="3" borderId="116" xfId="0" applyFont="1" applyFill="1" applyBorder="1" applyAlignment="1">
      <alignment horizontal="center" vertical="center"/>
    </xf>
    <xf numFmtId="0" fontId="18" fillId="3" borderId="0" xfId="0" applyFont="1" applyFill="1" applyBorder="1" applyAlignment="1">
      <alignment horizontal="center" vertical="center"/>
    </xf>
    <xf numFmtId="0" fontId="18" fillId="3" borderId="5" xfId="0" applyFont="1" applyFill="1" applyBorder="1" applyAlignment="1">
      <alignment horizontal="center" vertical="center"/>
    </xf>
    <xf numFmtId="0" fontId="18" fillId="3" borderId="7" xfId="0" applyFont="1" applyFill="1" applyBorder="1" applyAlignment="1">
      <alignment horizontal="center" vertical="center"/>
    </xf>
    <xf numFmtId="0" fontId="18" fillId="3" borderId="8" xfId="0" applyFont="1" applyFill="1" applyBorder="1" applyAlignment="1">
      <alignment horizontal="center" vertical="center"/>
    </xf>
    <xf numFmtId="0" fontId="15" fillId="3" borderId="165" xfId="0" applyFont="1" applyFill="1" applyBorder="1" applyAlignment="1">
      <alignment horizontal="center" vertical="center" wrapText="1"/>
    </xf>
    <xf numFmtId="0" fontId="15" fillId="3" borderId="164" xfId="0" applyFont="1" applyFill="1" applyBorder="1" applyAlignment="1">
      <alignment horizontal="center" vertical="center" wrapText="1"/>
    </xf>
    <xf numFmtId="0" fontId="2" fillId="0" borderId="2" xfId="1" applyFont="1" applyBorder="1" applyAlignment="1" applyProtection="1">
      <alignment horizontal="center" vertical="center"/>
    </xf>
    <xf numFmtId="0" fontId="13" fillId="3" borderId="183" xfId="0" applyFont="1" applyFill="1" applyBorder="1" applyAlignment="1">
      <alignment horizontal="center" vertical="center"/>
    </xf>
    <xf numFmtId="0" fontId="13" fillId="3" borderId="157" xfId="0" applyFont="1" applyFill="1" applyBorder="1" applyAlignment="1">
      <alignment horizontal="center" vertical="center"/>
    </xf>
    <xf numFmtId="0" fontId="13" fillId="3" borderId="184" xfId="0" applyFont="1" applyFill="1" applyBorder="1" applyAlignment="1">
      <alignment horizontal="center" vertical="center"/>
    </xf>
    <xf numFmtId="0" fontId="15" fillId="3" borderId="136" xfId="0" applyFont="1" applyFill="1" applyBorder="1" applyAlignment="1">
      <alignment horizontal="center" vertical="center"/>
    </xf>
    <xf numFmtId="0" fontId="15" fillId="3" borderId="84" xfId="0" applyFont="1" applyFill="1" applyBorder="1" applyAlignment="1">
      <alignment horizontal="center" vertical="center"/>
    </xf>
    <xf numFmtId="0" fontId="15" fillId="3" borderId="85" xfId="0" applyFont="1" applyFill="1" applyBorder="1" applyAlignment="1">
      <alignment horizontal="center" vertical="center"/>
    </xf>
    <xf numFmtId="0" fontId="15" fillId="3" borderId="181" xfId="0" applyFont="1" applyFill="1" applyBorder="1" applyAlignment="1">
      <alignment horizontal="center" vertical="center" wrapText="1"/>
    </xf>
    <xf numFmtId="0" fontId="15" fillId="3" borderId="182" xfId="0" applyFont="1" applyFill="1" applyBorder="1" applyAlignment="1">
      <alignment horizontal="center" vertical="center" wrapText="1"/>
    </xf>
    <xf numFmtId="0" fontId="15" fillId="3" borderId="94" xfId="0" applyFont="1" applyFill="1" applyBorder="1" applyAlignment="1">
      <alignment horizontal="center" vertical="center" wrapText="1"/>
    </xf>
    <xf numFmtId="0" fontId="15" fillId="3" borderId="92" xfId="0" applyFont="1" applyFill="1" applyBorder="1" applyAlignment="1">
      <alignment horizontal="center" vertical="center" wrapText="1"/>
    </xf>
    <xf numFmtId="0" fontId="15" fillId="3" borderId="119" xfId="0" applyFont="1" applyFill="1" applyBorder="1" applyAlignment="1">
      <alignment horizontal="center" vertical="center" wrapText="1"/>
    </xf>
    <xf numFmtId="0" fontId="15" fillId="3" borderId="91" xfId="0" applyFont="1" applyFill="1" applyBorder="1" applyAlignment="1">
      <alignment horizontal="center" vertical="center" wrapText="1"/>
    </xf>
    <xf numFmtId="0" fontId="15" fillId="3" borderId="110" xfId="0" applyFont="1" applyFill="1" applyBorder="1" applyAlignment="1">
      <alignment horizontal="center" vertical="center"/>
    </xf>
    <xf numFmtId="0" fontId="15" fillId="3" borderId="158" xfId="0" applyFont="1" applyFill="1" applyBorder="1" applyAlignment="1">
      <alignment horizontal="center" vertical="center"/>
    </xf>
    <xf numFmtId="0" fontId="15" fillId="3" borderId="23" xfId="0" applyFont="1" applyFill="1" applyBorder="1" applyAlignment="1">
      <alignment horizontal="center" vertical="center"/>
    </xf>
    <xf numFmtId="0" fontId="15" fillId="3" borderId="6"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15" fillId="3" borderId="8" xfId="0" applyFont="1" applyFill="1" applyBorder="1" applyAlignment="1">
      <alignment horizontal="left" vertical="center" wrapText="1"/>
    </xf>
    <xf numFmtId="1" fontId="15" fillId="0" borderId="41" xfId="0" applyNumberFormat="1" applyFont="1" applyBorder="1" applyAlignment="1" applyProtection="1">
      <alignment horizontal="center" vertical="center"/>
      <protection locked="0"/>
    </xf>
    <xf numFmtId="0" fontId="15" fillId="3" borderId="5" xfId="0" applyFont="1" applyFill="1" applyBorder="1" applyAlignment="1">
      <alignment horizontal="left" vertical="center"/>
    </xf>
    <xf numFmtId="0" fontId="15" fillId="0" borderId="49" xfId="0" applyFont="1" applyBorder="1" applyAlignment="1" applyProtection="1">
      <alignment horizontal="left" vertical="center" wrapText="1"/>
      <protection locked="0"/>
    </xf>
    <xf numFmtId="0" fontId="15" fillId="0" borderId="39" xfId="0" applyFont="1" applyBorder="1" applyAlignment="1" applyProtection="1">
      <alignment horizontal="left" vertical="center" wrapText="1"/>
      <protection locked="0"/>
    </xf>
    <xf numFmtId="0" fontId="15" fillId="0" borderId="45" xfId="0" applyFont="1" applyBorder="1" applyAlignment="1" applyProtection="1">
      <alignment horizontal="left" vertical="center" wrapText="1"/>
      <protection locked="0"/>
    </xf>
    <xf numFmtId="0" fontId="15" fillId="3" borderId="130" xfId="0" applyFont="1" applyFill="1" applyBorder="1" applyAlignment="1">
      <alignment horizontal="left" vertical="center" wrapText="1"/>
    </xf>
    <xf numFmtId="0" fontId="15" fillId="3" borderId="116" xfId="0" applyFont="1" applyFill="1" applyBorder="1" applyAlignment="1">
      <alignment horizontal="left" vertical="center" wrapText="1"/>
    </xf>
    <xf numFmtId="0" fontId="15" fillId="0" borderId="71" xfId="0" applyFont="1" applyFill="1" applyBorder="1" applyAlignment="1" applyProtection="1">
      <alignment horizontal="center" vertical="center" wrapText="1"/>
      <protection locked="0"/>
    </xf>
    <xf numFmtId="0" fontId="15" fillId="0" borderId="44" xfId="0" applyFont="1" applyFill="1" applyBorder="1" applyAlignment="1" applyProtection="1">
      <alignment horizontal="center" vertical="center" wrapText="1"/>
      <protection locked="0"/>
    </xf>
    <xf numFmtId="0" fontId="19" fillId="3" borderId="37" xfId="0" applyFont="1" applyFill="1" applyBorder="1" applyAlignment="1">
      <alignment horizontal="center" vertical="center"/>
    </xf>
    <xf numFmtId="0" fontId="13" fillId="3" borderId="37" xfId="0" applyFont="1" applyFill="1" applyBorder="1" applyAlignment="1">
      <alignment horizontal="center" vertical="center"/>
    </xf>
    <xf numFmtId="0" fontId="15" fillId="3" borderId="37" xfId="0" applyFont="1" applyFill="1" applyBorder="1" applyAlignment="1">
      <alignment horizontal="center" vertical="center"/>
    </xf>
    <xf numFmtId="0" fontId="15" fillId="3" borderId="111" xfId="0" applyFont="1" applyFill="1" applyBorder="1" applyAlignment="1">
      <alignment horizontal="right" vertical="center"/>
    </xf>
    <xf numFmtId="0" fontId="15" fillId="3" borderId="7" xfId="0" applyFont="1" applyFill="1" applyBorder="1" applyAlignment="1">
      <alignment horizontal="right" vertical="center"/>
    </xf>
    <xf numFmtId="0" fontId="15" fillId="0" borderId="45" xfId="0" applyFont="1" applyBorder="1" applyAlignment="1" applyProtection="1">
      <alignment horizontal="center" vertical="center"/>
      <protection locked="0"/>
    </xf>
    <xf numFmtId="0" fontId="15" fillId="0" borderId="18" xfId="0" applyFont="1" applyBorder="1" applyAlignment="1" applyProtection="1">
      <alignment horizontal="center" vertical="center"/>
      <protection locked="0"/>
    </xf>
    <xf numFmtId="0" fontId="15" fillId="0" borderId="40" xfId="0" applyFont="1" applyBorder="1" applyAlignment="1" applyProtection="1">
      <alignment horizontal="center" vertical="center"/>
      <protection locked="0"/>
    </xf>
    <xf numFmtId="0" fontId="15" fillId="0" borderId="46" xfId="0" applyFont="1" applyBorder="1" applyAlignment="1" applyProtection="1">
      <alignment horizontal="center" vertical="center"/>
      <protection locked="0"/>
    </xf>
    <xf numFmtId="0" fontId="18" fillId="0" borderId="0" xfId="0" applyFont="1" applyAlignment="1">
      <alignment horizontal="center" vertical="center" wrapText="1"/>
    </xf>
    <xf numFmtId="0" fontId="18" fillId="0" borderId="86" xfId="0" applyFont="1" applyBorder="1" applyAlignment="1">
      <alignment horizontal="center" vertical="center" wrapText="1"/>
    </xf>
    <xf numFmtId="0" fontId="18" fillId="3" borderId="2" xfId="0" applyFont="1" applyFill="1" applyBorder="1" applyAlignment="1">
      <alignment horizontal="center" vertical="center"/>
    </xf>
    <xf numFmtId="0" fontId="18" fillId="3" borderId="3" xfId="0" applyFont="1" applyFill="1" applyBorder="1" applyAlignment="1">
      <alignment horizontal="center" vertical="center"/>
    </xf>
    <xf numFmtId="0" fontId="13" fillId="3" borderId="1" xfId="0" applyFont="1" applyFill="1" applyBorder="1" applyAlignment="1">
      <alignment horizontal="center" vertical="center"/>
    </xf>
    <xf numFmtId="0" fontId="15" fillId="3" borderId="24" xfId="0" applyFont="1" applyFill="1" applyBorder="1" applyAlignment="1">
      <alignment horizontal="left" vertical="center"/>
    </xf>
    <xf numFmtId="0" fontId="15" fillId="3" borderId="25" xfId="0" applyFont="1" applyFill="1" applyBorder="1" applyAlignment="1">
      <alignment horizontal="left" vertical="center"/>
    </xf>
    <xf numFmtId="0" fontId="15" fillId="3" borderId="1" xfId="0" applyFont="1" applyFill="1" applyBorder="1" applyAlignment="1">
      <alignment horizontal="left" vertical="center"/>
    </xf>
    <xf numFmtId="0" fontId="15" fillId="3" borderId="6"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6" fillId="4" borderId="4" xfId="0" applyFont="1" applyFill="1" applyBorder="1" applyAlignment="1">
      <alignment horizontal="center" vertical="center"/>
    </xf>
    <xf numFmtId="0" fontId="16" fillId="4" borderId="0" xfId="0" applyFont="1" applyFill="1" applyBorder="1" applyAlignment="1">
      <alignment horizontal="center" vertical="center"/>
    </xf>
    <xf numFmtId="0" fontId="16" fillId="4" borderId="5" xfId="0" applyFont="1" applyFill="1" applyBorder="1" applyAlignment="1">
      <alignment horizontal="center" vertical="center"/>
    </xf>
    <xf numFmtId="0" fontId="15" fillId="3" borderId="179" xfId="0" applyFont="1" applyFill="1" applyBorder="1" applyAlignment="1">
      <alignment horizontal="center" vertical="center"/>
    </xf>
    <xf numFmtId="0" fontId="15" fillId="3" borderId="185" xfId="0" applyFont="1" applyFill="1" applyBorder="1" applyAlignment="1">
      <alignment horizontal="center" vertical="center"/>
    </xf>
    <xf numFmtId="0" fontId="15" fillId="3" borderId="102" xfId="0" applyFont="1" applyFill="1" applyBorder="1" applyAlignment="1">
      <alignment horizontal="center" vertical="center"/>
    </xf>
    <xf numFmtId="0" fontId="15" fillId="3" borderId="186" xfId="0" applyFont="1" applyFill="1" applyBorder="1" applyAlignment="1">
      <alignment horizontal="center" vertical="center"/>
    </xf>
    <xf numFmtId="0" fontId="15" fillId="3" borderId="189" xfId="0" applyFont="1" applyFill="1" applyBorder="1" applyAlignment="1">
      <alignment horizontal="center" vertical="center"/>
    </xf>
    <xf numFmtId="0" fontId="15" fillId="3" borderId="132" xfId="0" applyFont="1" applyFill="1" applyBorder="1" applyAlignment="1">
      <alignment horizontal="center" vertical="center"/>
    </xf>
    <xf numFmtId="0" fontId="15" fillId="3" borderId="104" xfId="0" applyFont="1" applyFill="1" applyBorder="1" applyAlignment="1">
      <alignment horizontal="center" vertical="center"/>
    </xf>
    <xf numFmtId="0" fontId="15" fillId="3" borderId="188" xfId="0" applyFont="1" applyFill="1" applyBorder="1" applyAlignment="1">
      <alignment horizontal="center" vertical="center"/>
    </xf>
    <xf numFmtId="0" fontId="15" fillId="3" borderId="2" xfId="0" applyFont="1" applyFill="1" applyBorder="1" applyAlignment="1">
      <alignment horizontal="right" vertical="center"/>
    </xf>
    <xf numFmtId="0" fontId="15" fillId="3" borderId="187" xfId="0" applyFont="1" applyFill="1" applyBorder="1" applyAlignment="1">
      <alignment horizontal="center" vertical="center"/>
    </xf>
    <xf numFmtId="0" fontId="15" fillId="3" borderId="166" xfId="0" applyFont="1" applyFill="1" applyBorder="1" applyAlignment="1">
      <alignment horizontal="center" vertical="center"/>
    </xf>
    <xf numFmtId="0" fontId="15" fillId="0" borderId="80" xfId="0" applyFont="1" applyBorder="1" applyAlignment="1" applyProtection="1">
      <alignment horizontal="center" vertical="center"/>
      <protection locked="0"/>
    </xf>
    <xf numFmtId="0" fontId="15" fillId="3" borderId="130" xfId="0" applyFont="1" applyFill="1" applyBorder="1" applyAlignment="1">
      <alignment horizontal="left" vertical="center"/>
    </xf>
    <xf numFmtId="0" fontId="15" fillId="0" borderId="87" xfId="0" applyFont="1" applyBorder="1" applyAlignment="1" applyProtection="1">
      <alignment horizontal="center" vertical="center"/>
      <protection locked="0"/>
    </xf>
    <xf numFmtId="0" fontId="15" fillId="0" borderId="88" xfId="0" applyFont="1" applyBorder="1" applyAlignment="1" applyProtection="1">
      <alignment horizontal="center" vertical="center"/>
      <protection locked="0"/>
    </xf>
    <xf numFmtId="0" fontId="15" fillId="0" borderId="79" xfId="0" applyFont="1" applyBorder="1" applyAlignment="1" applyProtection="1">
      <alignment horizontal="center" vertical="center"/>
      <protection locked="0"/>
    </xf>
    <xf numFmtId="0" fontId="15" fillId="3" borderId="111" xfId="0" quotePrefix="1" applyFont="1" applyFill="1" applyBorder="1" applyAlignment="1">
      <alignment horizontal="left" vertical="center"/>
    </xf>
    <xf numFmtId="0" fontId="15" fillId="3" borderId="191" xfId="0" applyFont="1" applyFill="1" applyBorder="1" applyAlignment="1">
      <alignment horizontal="left" vertical="center"/>
    </xf>
    <xf numFmtId="0" fontId="15" fillId="3" borderId="185" xfId="0" applyFont="1" applyFill="1" applyBorder="1" applyAlignment="1">
      <alignment horizontal="left" vertical="center"/>
    </xf>
    <xf numFmtId="0" fontId="15" fillId="3" borderId="192" xfId="0" applyFont="1" applyFill="1" applyBorder="1" applyAlignment="1">
      <alignment horizontal="left" vertical="center"/>
    </xf>
    <xf numFmtId="0" fontId="15" fillId="3" borderId="193" xfId="0" applyFont="1" applyFill="1" applyBorder="1" applyAlignment="1">
      <alignment horizontal="center" vertical="center"/>
    </xf>
    <xf numFmtId="0" fontId="15" fillId="3" borderId="194" xfId="0" applyFont="1" applyFill="1" applyBorder="1" applyAlignment="1">
      <alignment horizontal="center" vertical="center"/>
    </xf>
    <xf numFmtId="0" fontId="15" fillId="3" borderId="195" xfId="0" applyFont="1" applyFill="1" applyBorder="1" applyAlignment="1">
      <alignment horizontal="center" vertical="center"/>
    </xf>
    <xf numFmtId="0" fontId="15" fillId="3" borderId="196" xfId="0" applyFont="1" applyFill="1" applyBorder="1" applyAlignment="1">
      <alignment horizontal="center" vertical="center"/>
    </xf>
    <xf numFmtId="0" fontId="15" fillId="3" borderId="190" xfId="0" applyFont="1" applyFill="1" applyBorder="1" applyAlignment="1">
      <alignment horizontal="left" vertical="center"/>
    </xf>
    <xf numFmtId="0" fontId="15" fillId="3" borderId="113" xfId="0" applyFont="1" applyFill="1" applyBorder="1" applyAlignment="1">
      <alignment horizontal="left" vertical="center"/>
    </xf>
    <xf numFmtId="0" fontId="15" fillId="3" borderId="114" xfId="0" applyFont="1" applyFill="1" applyBorder="1" applyAlignment="1">
      <alignment horizontal="left" vertical="center"/>
    </xf>
    <xf numFmtId="0" fontId="15" fillId="3" borderId="91" xfId="0" applyFont="1" applyFill="1" applyBorder="1" applyAlignment="1">
      <alignment horizontal="left" vertical="center"/>
    </xf>
    <xf numFmtId="0" fontId="15" fillId="3" borderId="102" xfId="0" applyFont="1" applyFill="1" applyBorder="1" applyAlignment="1">
      <alignment horizontal="left" vertical="center"/>
    </xf>
    <xf numFmtId="0" fontId="15" fillId="3" borderId="132" xfId="0" applyFont="1" applyFill="1" applyBorder="1" applyAlignment="1">
      <alignment horizontal="left" vertical="center"/>
    </xf>
    <xf numFmtId="0" fontId="15" fillId="3" borderId="86" xfId="0" applyFont="1" applyFill="1" applyBorder="1" applyAlignment="1">
      <alignment horizontal="left" vertical="center"/>
    </xf>
    <xf numFmtId="0" fontId="15" fillId="3" borderId="65" xfId="0" applyFont="1" applyFill="1" applyBorder="1" applyAlignment="1">
      <alignment horizontal="left" vertical="center"/>
    </xf>
    <xf numFmtId="0" fontId="15" fillId="3" borderId="13" xfId="0" applyFont="1" applyFill="1" applyBorder="1" applyAlignment="1">
      <alignment horizontal="left" vertical="center"/>
    </xf>
    <xf numFmtId="0" fontId="15" fillId="3" borderId="15" xfId="0" applyFont="1" applyFill="1" applyBorder="1" applyAlignment="1">
      <alignment horizontal="left" vertical="center"/>
    </xf>
    <xf numFmtId="0" fontId="15" fillId="3" borderId="113" xfId="0" applyFont="1" applyFill="1" applyBorder="1" applyAlignment="1">
      <alignment horizontal="center" vertical="center"/>
    </xf>
    <xf numFmtId="0" fontId="15" fillId="0" borderId="42" xfId="0" applyFont="1" applyBorder="1" applyAlignment="1" applyProtection="1">
      <alignment horizontal="center" vertical="center"/>
      <protection locked="0"/>
    </xf>
    <xf numFmtId="0" fontId="15" fillId="0" borderId="37" xfId="0" applyFont="1" applyBorder="1" applyAlignment="1" applyProtection="1">
      <alignment horizontal="left" vertical="center" wrapText="1"/>
      <protection locked="0"/>
    </xf>
    <xf numFmtId="0" fontId="15" fillId="0" borderId="33" xfId="0" applyFont="1" applyBorder="1" applyAlignment="1" applyProtection="1">
      <alignment horizontal="left" vertical="center" wrapText="1"/>
      <protection locked="0"/>
    </xf>
    <xf numFmtId="0" fontId="15" fillId="3" borderId="137" xfId="0" applyFont="1" applyFill="1" applyBorder="1" applyAlignment="1">
      <alignment horizontal="left" vertical="center"/>
    </xf>
    <xf numFmtId="0" fontId="15" fillId="3" borderId="197" xfId="0" applyFont="1" applyFill="1" applyBorder="1" applyAlignment="1">
      <alignment horizontal="left" vertical="center"/>
    </xf>
    <xf numFmtId="0" fontId="15" fillId="3" borderId="117" xfId="0" applyFont="1" applyFill="1" applyBorder="1" applyAlignment="1">
      <alignment horizontal="left" vertical="center" wrapText="1" indent="1"/>
    </xf>
    <xf numFmtId="0" fontId="15" fillId="3" borderId="156" xfId="0" applyFont="1" applyFill="1" applyBorder="1" applyAlignment="1">
      <alignment horizontal="left" vertical="center" wrapText="1" indent="1"/>
    </xf>
    <xf numFmtId="0" fontId="15" fillId="0" borderId="38" xfId="0" applyFont="1" applyBorder="1" applyAlignment="1" applyProtection="1">
      <alignment horizontal="left" vertical="center" wrapText="1"/>
      <protection locked="0"/>
    </xf>
    <xf numFmtId="0" fontId="15" fillId="0" borderId="36" xfId="0" applyFont="1" applyBorder="1" applyAlignment="1" applyProtection="1">
      <alignment horizontal="left" vertical="center" wrapText="1"/>
      <protection locked="0"/>
    </xf>
    <xf numFmtId="0" fontId="15" fillId="3" borderId="150" xfId="0" applyFont="1" applyFill="1" applyBorder="1" applyAlignment="1">
      <alignment horizontal="left" vertical="center" wrapText="1"/>
    </xf>
    <xf numFmtId="0" fontId="15" fillId="3" borderId="197" xfId="0" applyFont="1" applyFill="1" applyBorder="1" applyAlignment="1">
      <alignment horizontal="left" vertical="center" wrapText="1"/>
    </xf>
    <xf numFmtId="0" fontId="15" fillId="3" borderId="131" xfId="0" applyFont="1" applyFill="1" applyBorder="1" applyAlignment="1">
      <alignment horizontal="left" vertical="center" indent="1"/>
    </xf>
    <xf numFmtId="0" fontId="15" fillId="3" borderId="112" xfId="0" applyFont="1" applyFill="1" applyBorder="1" applyAlignment="1">
      <alignment horizontal="left" vertical="center" indent="1"/>
    </xf>
    <xf numFmtId="0" fontId="15" fillId="3" borderId="174" xfId="0" applyFont="1" applyFill="1" applyBorder="1" applyAlignment="1">
      <alignment horizontal="left" vertical="center" indent="1"/>
    </xf>
    <xf numFmtId="0" fontId="15" fillId="3" borderId="111" xfId="0" applyFont="1" applyFill="1" applyBorder="1" applyAlignment="1">
      <alignment horizontal="left" vertical="center" indent="1"/>
    </xf>
    <xf numFmtId="0" fontId="19" fillId="3" borderId="49" xfId="0" applyFont="1" applyFill="1" applyBorder="1" applyAlignment="1">
      <alignment horizontal="center" vertical="center"/>
    </xf>
    <xf numFmtId="0" fontId="19" fillId="3" borderId="80" xfId="0" applyFont="1" applyFill="1" applyBorder="1" applyAlignment="1">
      <alignment horizontal="center" vertical="center"/>
    </xf>
    <xf numFmtId="0" fontId="13" fillId="3" borderId="4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5" fillId="3" borderId="49" xfId="0" applyFont="1" applyFill="1" applyBorder="1" applyAlignment="1">
      <alignment horizontal="center" vertical="center"/>
    </xf>
    <xf numFmtId="0" fontId="15" fillId="3" borderId="80" xfId="0" applyFont="1" applyFill="1" applyBorder="1" applyAlignment="1">
      <alignment horizontal="center" vertical="center"/>
    </xf>
    <xf numFmtId="0" fontId="15" fillId="0" borderId="83"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23" xfId="0" applyFont="1" applyBorder="1" applyAlignment="1" applyProtection="1">
      <alignment horizontal="center" vertical="center"/>
      <protection locked="0"/>
    </xf>
    <xf numFmtId="0" fontId="15" fillId="3" borderId="178" xfId="0" applyFont="1" applyFill="1" applyBorder="1" applyAlignment="1">
      <alignment horizontal="left" vertical="center"/>
    </xf>
    <xf numFmtId="0" fontId="15" fillId="3" borderId="103" xfId="0" applyFont="1" applyFill="1" applyBorder="1" applyAlignment="1">
      <alignment horizontal="left" vertical="center" wrapText="1"/>
    </xf>
    <xf numFmtId="0" fontId="15" fillId="3" borderId="20" xfId="0" applyFont="1" applyFill="1" applyBorder="1" applyAlignment="1">
      <alignment horizontal="left" vertical="center" wrapText="1"/>
    </xf>
    <xf numFmtId="0" fontId="15" fillId="3" borderId="4" xfId="0" applyFont="1" applyFill="1" applyBorder="1" applyAlignment="1">
      <alignment horizontal="left" vertical="center"/>
    </xf>
    <xf numFmtId="0" fontId="18" fillId="3" borderId="6" xfId="0" applyFont="1" applyFill="1" applyBorder="1" applyAlignment="1">
      <alignment horizontal="left" vertical="center"/>
    </xf>
    <xf numFmtId="0" fontId="18" fillId="3" borderId="7" xfId="0" applyFont="1" applyFill="1" applyBorder="1" applyAlignment="1">
      <alignment horizontal="left" vertical="center"/>
    </xf>
    <xf numFmtId="0" fontId="18" fillId="3" borderId="8" xfId="0" applyFont="1" applyFill="1" applyBorder="1" applyAlignment="1">
      <alignment horizontal="left" vertical="center"/>
    </xf>
    <xf numFmtId="0" fontId="15" fillId="0" borderId="71" xfId="0" applyFont="1" applyBorder="1" applyAlignment="1" applyProtection="1">
      <alignment horizontal="center" vertical="center"/>
      <protection locked="0"/>
    </xf>
    <xf numFmtId="0" fontId="15" fillId="0" borderId="76" xfId="0" applyFont="1" applyBorder="1" applyAlignment="1" applyProtection="1">
      <alignment horizontal="center" vertical="center"/>
      <protection locked="0"/>
    </xf>
    <xf numFmtId="0" fontId="15" fillId="0" borderId="44" xfId="0" applyFont="1" applyBorder="1" applyAlignment="1" applyProtection="1">
      <alignment horizontal="center" vertical="center"/>
      <protection locked="0"/>
    </xf>
    <xf numFmtId="0" fontId="15" fillId="3" borderId="86" xfId="0" applyFont="1" applyFill="1" applyBorder="1" applyAlignment="1">
      <alignment horizontal="center" vertical="center"/>
    </xf>
    <xf numFmtId="0" fontId="15" fillId="0" borderId="0" xfId="0" applyFont="1" applyBorder="1" applyAlignment="1" applyProtection="1">
      <alignment horizontal="center" vertical="center"/>
      <protection locked="0"/>
    </xf>
    <xf numFmtId="0" fontId="15" fillId="0" borderId="5" xfId="0" applyFont="1" applyBorder="1" applyAlignment="1" applyProtection="1">
      <alignment horizontal="center" vertical="center"/>
      <protection locked="0"/>
    </xf>
    <xf numFmtId="0" fontId="15" fillId="0" borderId="19" xfId="0" applyFont="1" applyBorder="1" applyAlignment="1" applyProtection="1">
      <alignment horizontal="center" vertical="center"/>
      <protection locked="0"/>
    </xf>
    <xf numFmtId="0" fontId="15" fillId="0" borderId="22" xfId="0" applyFont="1" applyBorder="1" applyAlignment="1" applyProtection="1">
      <alignment horizontal="center" vertical="center"/>
      <protection locked="0"/>
    </xf>
    <xf numFmtId="0" fontId="15" fillId="3" borderId="89" xfId="0" applyFont="1" applyFill="1" applyBorder="1" applyAlignment="1">
      <alignment horizontal="left" vertical="center"/>
    </xf>
    <xf numFmtId="0" fontId="15" fillId="3" borderId="81" xfId="0" applyFont="1" applyFill="1" applyBorder="1" applyAlignment="1">
      <alignment horizontal="center" vertical="center"/>
    </xf>
    <xf numFmtId="0" fontId="15" fillId="3" borderId="13"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15" fillId="3" borderId="6" xfId="0" applyFont="1" applyFill="1" applyBorder="1" applyAlignment="1">
      <alignment horizontal="left" vertical="center"/>
    </xf>
    <xf numFmtId="0" fontId="15" fillId="3" borderId="8" xfId="0" applyFont="1" applyFill="1" applyBorder="1" applyAlignment="1">
      <alignment horizontal="left" vertical="center"/>
    </xf>
    <xf numFmtId="0" fontId="13" fillId="3" borderId="37" xfId="0" applyFont="1" applyFill="1" applyBorder="1" applyAlignment="1">
      <alignment horizontal="center" vertical="center" wrapText="1"/>
    </xf>
    <xf numFmtId="0" fontId="15" fillId="3" borderId="49" xfId="0" applyFont="1" applyFill="1" applyBorder="1" applyAlignment="1">
      <alignment horizontal="center" vertical="center" wrapText="1"/>
    </xf>
    <xf numFmtId="0" fontId="15" fillId="3" borderId="80" xfId="0" applyFont="1" applyFill="1" applyBorder="1" applyAlignment="1">
      <alignment horizontal="center" vertical="center" wrapText="1"/>
    </xf>
    <xf numFmtId="0" fontId="18" fillId="3" borderId="171" xfId="0" applyFont="1" applyFill="1" applyBorder="1" applyAlignment="1">
      <alignment horizontal="center" vertical="center"/>
    </xf>
    <xf numFmtId="0" fontId="18" fillId="3" borderId="129" xfId="0" applyFont="1" applyFill="1" applyBorder="1" applyAlignment="1">
      <alignment horizontal="center" vertical="center"/>
    </xf>
    <xf numFmtId="0" fontId="18" fillId="3" borderId="172" xfId="0" applyFont="1" applyFill="1" applyBorder="1" applyAlignment="1">
      <alignment horizontal="center" vertical="center"/>
    </xf>
    <xf numFmtId="0" fontId="15" fillId="0" borderId="81"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5" fillId="0" borderId="3" xfId="0" applyFont="1" applyBorder="1" applyAlignment="1" applyProtection="1">
      <alignment horizontal="center" vertical="center"/>
      <protection locked="0"/>
    </xf>
    <xf numFmtId="0" fontId="18" fillId="3" borderId="198" xfId="0" applyFont="1" applyFill="1" applyBorder="1" applyAlignment="1">
      <alignment horizontal="center" vertical="center"/>
    </xf>
    <xf numFmtId="0" fontId="18" fillId="3" borderId="109" xfId="0" applyFont="1" applyFill="1" applyBorder="1" applyAlignment="1">
      <alignment horizontal="center" vertical="center"/>
    </xf>
    <xf numFmtId="0" fontId="18" fillId="3" borderId="199" xfId="0" applyFont="1" applyFill="1" applyBorder="1" applyAlignment="1">
      <alignment horizontal="center" vertical="center"/>
    </xf>
    <xf numFmtId="0" fontId="15" fillId="3" borderId="1" xfId="0" applyFont="1" applyFill="1" applyBorder="1" applyAlignment="1">
      <alignment horizontal="right" vertical="center"/>
    </xf>
    <xf numFmtId="0" fontId="15" fillId="3" borderId="89" xfId="0" applyFont="1" applyFill="1" applyBorder="1" applyAlignment="1">
      <alignment horizontal="right" vertical="center"/>
    </xf>
    <xf numFmtId="0" fontId="15" fillId="3" borderId="179" xfId="0" applyFont="1" applyFill="1" applyBorder="1" applyAlignment="1">
      <alignment horizontal="right" vertical="center"/>
    </xf>
    <xf numFmtId="0" fontId="15" fillId="3" borderId="121" xfId="0" applyFont="1" applyFill="1" applyBorder="1" applyAlignment="1">
      <alignment horizontal="left" vertical="center"/>
    </xf>
    <xf numFmtId="0" fontId="18" fillId="3" borderId="189" xfId="0" applyFont="1" applyFill="1" applyBorder="1" applyAlignment="1">
      <alignment horizontal="center" vertical="center"/>
    </xf>
    <xf numFmtId="0" fontId="18" fillId="3" borderId="19" xfId="0" applyFont="1" applyFill="1" applyBorder="1" applyAlignment="1">
      <alignment horizontal="center" vertical="center"/>
    </xf>
    <xf numFmtId="0" fontId="18" fillId="3" borderId="22" xfId="0" applyFont="1" applyFill="1" applyBorder="1" applyAlignment="1">
      <alignment horizontal="center" vertical="center"/>
    </xf>
    <xf numFmtId="0" fontId="15" fillId="3" borderId="137" xfId="0" applyFont="1" applyFill="1" applyBorder="1" applyAlignment="1">
      <alignment horizontal="center" vertical="center"/>
    </xf>
    <xf numFmtId="0" fontId="15" fillId="3" borderId="190" xfId="0" applyFont="1" applyFill="1" applyBorder="1" applyAlignment="1">
      <alignment horizontal="center" vertical="center"/>
    </xf>
    <xf numFmtId="0" fontId="15" fillId="3" borderId="120" xfId="0" applyFont="1" applyFill="1" applyBorder="1" applyAlignment="1">
      <alignment horizontal="right" vertical="center"/>
    </xf>
    <xf numFmtId="0" fontId="15" fillId="3" borderId="158" xfId="0" applyFont="1" applyFill="1" applyBorder="1" applyAlignment="1">
      <alignment horizontal="right" vertical="center"/>
    </xf>
    <xf numFmtId="0" fontId="15" fillId="3" borderId="154" xfId="0" applyFont="1" applyFill="1" applyBorder="1" applyAlignment="1">
      <alignment horizontal="left" vertical="center"/>
    </xf>
    <xf numFmtId="0" fontId="15" fillId="3" borderId="158" xfId="0" applyFont="1" applyFill="1" applyBorder="1" applyAlignment="1">
      <alignment horizontal="left" vertical="center" wrapText="1"/>
    </xf>
    <xf numFmtId="0" fontId="15" fillId="3" borderId="200" xfId="0" applyFont="1" applyFill="1" applyBorder="1" applyAlignment="1">
      <alignment horizontal="left" vertical="center" wrapText="1"/>
    </xf>
    <xf numFmtId="0" fontId="15" fillId="3" borderId="121" xfId="0" applyFont="1" applyFill="1" applyBorder="1" applyAlignment="1">
      <alignment horizontal="left" vertical="center" wrapText="1"/>
    </xf>
    <xf numFmtId="0" fontId="15" fillId="3" borderId="117" xfId="0" applyFont="1" applyFill="1" applyBorder="1" applyAlignment="1">
      <alignment horizontal="left" vertical="center" wrapText="1"/>
    </xf>
    <xf numFmtId="0" fontId="15" fillId="3" borderId="156" xfId="0" applyFont="1" applyFill="1" applyBorder="1" applyAlignment="1">
      <alignment horizontal="left" vertical="center" wrapText="1"/>
    </xf>
    <xf numFmtId="0" fontId="15" fillId="3" borderId="160" xfId="0" applyFont="1" applyFill="1" applyBorder="1" applyAlignment="1">
      <alignment horizontal="left" vertical="center" wrapText="1"/>
    </xf>
    <xf numFmtId="0" fontId="15" fillId="3" borderId="91" xfId="0" applyFont="1" applyFill="1" applyBorder="1" applyAlignment="1">
      <alignment horizontal="left" vertical="center" wrapText="1"/>
    </xf>
    <xf numFmtId="0" fontId="16" fillId="4" borderId="13" xfId="0" applyFont="1" applyFill="1" applyBorder="1" applyAlignment="1">
      <alignment horizontal="left" vertical="center"/>
    </xf>
    <xf numFmtId="0" fontId="16" fillId="4" borderId="14" xfId="0" applyFont="1" applyFill="1" applyBorder="1" applyAlignment="1">
      <alignment horizontal="left" vertical="center"/>
    </xf>
    <xf numFmtId="0" fontId="16" fillId="4" borderId="15" xfId="0" applyFont="1" applyFill="1" applyBorder="1" applyAlignment="1">
      <alignment horizontal="left" vertical="center"/>
    </xf>
    <xf numFmtId="14" fontId="15" fillId="0" borderId="37" xfId="0" applyNumberFormat="1" applyFont="1" applyBorder="1" applyAlignment="1" applyProtection="1">
      <alignment horizontal="left" vertical="center"/>
      <protection locked="0"/>
    </xf>
    <xf numFmtId="14" fontId="15" fillId="0" borderId="33" xfId="0" applyNumberFormat="1" applyFont="1" applyBorder="1" applyAlignment="1" applyProtection="1">
      <alignment horizontal="left" vertical="center"/>
      <protection locked="0"/>
    </xf>
    <xf numFmtId="0" fontId="15" fillId="0" borderId="48" xfId="0" applyFont="1" applyBorder="1" applyAlignment="1" applyProtection="1">
      <alignment horizontal="left" vertical="center" wrapText="1"/>
      <protection locked="0"/>
    </xf>
    <xf numFmtId="1" fontId="15" fillId="0" borderId="66" xfId="0" applyNumberFormat="1" applyFont="1" applyBorder="1" applyAlignment="1" applyProtection="1">
      <alignment horizontal="center" vertical="center"/>
      <protection locked="0"/>
    </xf>
    <xf numFmtId="1" fontId="15" fillId="0" borderId="34" xfId="0" applyNumberFormat="1" applyFont="1" applyBorder="1" applyAlignment="1" applyProtection="1">
      <alignment horizontal="center" vertical="center"/>
      <protection locked="0"/>
    </xf>
  </cellXfs>
  <cellStyles count="6">
    <cellStyle name="Hyperlink" xfId="1" builtinId="8"/>
    <cellStyle name="Hyperlink 2" xfId="2"/>
    <cellStyle name="Normal" xfId="0" builtinId="0"/>
    <cellStyle name="Normal 2" xfId="3"/>
    <cellStyle name="Normal 3" xfId="4"/>
    <cellStyle name="Percent" xfId="5" builtinId="5"/>
  </cellStyles>
  <dxfs count="27">
    <dxf>
      <font>
        <b/>
        <i val="0"/>
      </font>
      <fill>
        <patternFill>
          <bgColor theme="5" tint="0.59996337778862885"/>
        </patternFill>
      </fill>
    </dxf>
    <dxf>
      <fill>
        <patternFill>
          <bgColor theme="0" tint="-0.14996795556505021"/>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4248150</xdr:colOff>
      <xdr:row>5</xdr:row>
      <xdr:rowOff>161925</xdr:rowOff>
    </xdr:from>
    <xdr:to>
      <xdr:col>1</xdr:col>
      <xdr:colOff>5495925</xdr:colOff>
      <xdr:row>5</xdr:row>
      <xdr:rowOff>1409700</xdr:rowOff>
    </xdr:to>
    <xdr:pic>
      <xdr:nvPicPr>
        <xdr:cNvPr id="1149" name="Picture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57750" y="1343025"/>
          <a:ext cx="1247775" cy="1247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respond.census.gov/criticalfacility/login"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respond.census.gov/criticalfacility/login" TargetMode="External"/><Relationship Id="rId1" Type="http://schemas.openxmlformats.org/officeDocument/2006/relationships/hyperlink" Target="https://respond.census.gov/criticalfacility/login"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census.gov/epcd/www/naics.html" TargetMode="External"/><Relationship Id="rId1" Type="http://schemas.openxmlformats.org/officeDocument/2006/relationships/hyperlink" Target="http://fedgov.dnb.com/webfor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14"/>
  <sheetViews>
    <sheetView showGridLines="0" showRowColHeaders="0" tabSelected="1" zoomScaleNormal="100" workbookViewId="0"/>
  </sheetViews>
  <sheetFormatPr defaultRowHeight="15" x14ac:dyDescent="0.25"/>
  <cols>
    <col min="1" max="1" width="9.140625" style="10"/>
    <col min="2" max="2" width="145.42578125" style="10" customWidth="1"/>
    <col min="3" max="16384" width="9.140625" style="10"/>
  </cols>
  <sheetData>
    <row r="1" spans="2:2" ht="13.5" customHeight="1" thickBot="1" x14ac:dyDescent="0.3"/>
    <row r="2" spans="2:2" ht="13.5" customHeight="1" x14ac:dyDescent="0.25">
      <c r="B2" s="11" t="s">
        <v>0</v>
      </c>
    </row>
    <row r="3" spans="2:2" ht="13.5" customHeight="1" x14ac:dyDescent="0.25">
      <c r="B3" s="18" t="s">
        <v>1</v>
      </c>
    </row>
    <row r="4" spans="2:2" ht="13.5" customHeight="1" thickBot="1" x14ac:dyDescent="0.3">
      <c r="B4" s="18" t="s">
        <v>2641</v>
      </c>
    </row>
    <row r="5" spans="2:2" ht="39" customHeight="1" thickBot="1" x14ac:dyDescent="0.3">
      <c r="B5" s="13" t="s">
        <v>2</v>
      </c>
    </row>
    <row r="6" spans="2:2" ht="124.5" customHeight="1" thickBot="1" x14ac:dyDescent="0.3">
      <c r="B6" s="14"/>
    </row>
    <row r="7" spans="2:2" ht="13.5" customHeight="1" thickBot="1" x14ac:dyDescent="0.3">
      <c r="B7" s="17" t="s">
        <v>3</v>
      </c>
    </row>
    <row r="8" spans="2:2" ht="84.75" customHeight="1" thickBot="1" x14ac:dyDescent="0.3">
      <c r="B8" s="16" t="s">
        <v>4</v>
      </c>
    </row>
    <row r="9" spans="2:2" ht="13.5" customHeight="1" thickBot="1" x14ac:dyDescent="0.3">
      <c r="B9" s="17" t="s">
        <v>5</v>
      </c>
    </row>
    <row r="10" spans="2:2" ht="112.5" customHeight="1" thickBot="1" x14ac:dyDescent="0.3">
      <c r="B10" s="16" t="s">
        <v>6</v>
      </c>
    </row>
    <row r="11" spans="2:2" ht="13.5" customHeight="1" thickBot="1" x14ac:dyDescent="0.3">
      <c r="B11" s="17" t="s">
        <v>7</v>
      </c>
    </row>
    <row r="12" spans="2:2" ht="60.75" customHeight="1" thickBot="1" x14ac:dyDescent="0.3">
      <c r="B12" s="16" t="s">
        <v>8</v>
      </c>
    </row>
    <row r="13" spans="2:2" ht="12.75" customHeight="1" x14ac:dyDescent="0.25">
      <c r="B13" s="15"/>
    </row>
    <row r="14" spans="2:2" ht="12.75" customHeight="1" thickBot="1" x14ac:dyDescent="0.3">
      <c r="B14" s="12" t="s">
        <v>9</v>
      </c>
    </row>
  </sheetData>
  <hyperlinks>
    <hyperlink ref="B2" location="'Table of Contents'!A1" display="Next Page"/>
  </hyperlinks>
  <printOptions horizontalCentered="1"/>
  <pageMargins left="0.25" right="0.25" top="0.75" bottom="0.75" header="0.3" footer="0.3"/>
  <pageSetup scale="99" orientation="landscape"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6"/>
  <sheetViews>
    <sheetView showGridLines="0" showRowColHeaders="0" workbookViewId="0"/>
  </sheetViews>
  <sheetFormatPr defaultRowHeight="12.75" x14ac:dyDescent="0.25"/>
  <cols>
    <col min="1" max="1" width="9.140625" style="49"/>
    <col min="2" max="2" width="45.7109375" style="19" customWidth="1"/>
    <col min="3" max="4" width="12.85546875" style="19" customWidth="1"/>
    <col min="5" max="5" width="50" style="19" customWidth="1"/>
    <col min="6" max="7" width="13.7109375" style="19" customWidth="1"/>
    <col min="8" max="8" width="29.85546875" style="19" customWidth="1"/>
    <col min="9" max="16384" width="9.140625" style="19"/>
  </cols>
  <sheetData>
    <row r="1" spans="1:8" ht="13.5" thickBot="1" x14ac:dyDescent="0.3"/>
    <row r="2" spans="1:8" x14ac:dyDescent="0.25">
      <c r="B2" s="23" t="s">
        <v>10</v>
      </c>
      <c r="C2" s="405" t="s">
        <v>11</v>
      </c>
      <c r="D2" s="405"/>
      <c r="E2" s="405"/>
      <c r="F2" s="405"/>
      <c r="G2" s="405"/>
      <c r="H2" s="26" t="s">
        <v>0</v>
      </c>
    </row>
    <row r="3" spans="1:8" x14ac:dyDescent="0.25">
      <c r="B3" s="52" t="s">
        <v>234</v>
      </c>
      <c r="C3" s="57"/>
      <c r="D3" s="57"/>
      <c r="E3" s="57"/>
      <c r="F3" s="57"/>
      <c r="G3" s="57"/>
      <c r="H3" s="58"/>
    </row>
    <row r="4" spans="1:8" ht="60" customHeight="1" x14ac:dyDescent="0.25">
      <c r="B4" s="546" t="s">
        <v>235</v>
      </c>
      <c r="C4" s="534"/>
      <c r="D4" s="534"/>
      <c r="E4" s="534"/>
      <c r="F4" s="534"/>
      <c r="G4" s="534"/>
      <c r="H4" s="547"/>
    </row>
    <row r="5" spans="1:8" ht="13.5" thickBot="1" x14ac:dyDescent="0.3">
      <c r="B5" s="97" t="s">
        <v>39</v>
      </c>
      <c r="C5" s="63"/>
      <c r="D5" s="63"/>
      <c r="E5" s="63"/>
      <c r="F5" s="63"/>
      <c r="G5" s="63"/>
      <c r="H5" s="65"/>
    </row>
    <row r="6" spans="1:8" ht="15" customHeight="1" x14ac:dyDescent="0.25">
      <c r="B6" s="381" t="s">
        <v>236</v>
      </c>
      <c r="C6" s="382"/>
      <c r="D6" s="382"/>
      <c r="E6" s="382"/>
      <c r="F6" s="382"/>
      <c r="G6" s="382"/>
      <c r="H6" s="383"/>
    </row>
    <row r="7" spans="1:8" ht="25.5" customHeight="1" x14ac:dyDescent="0.25">
      <c r="B7" s="91"/>
      <c r="C7" s="88" t="s">
        <v>237</v>
      </c>
      <c r="D7" s="89" t="s">
        <v>238</v>
      </c>
      <c r="E7" s="75" t="s">
        <v>239</v>
      </c>
      <c r="F7" s="88" t="s">
        <v>240</v>
      </c>
      <c r="G7" s="88" t="s">
        <v>241</v>
      </c>
      <c r="H7" s="92" t="s">
        <v>242</v>
      </c>
    </row>
    <row r="8" spans="1:8" x14ac:dyDescent="0.25">
      <c r="A8" s="49">
        <f>'3a'!I6</f>
        <v>0</v>
      </c>
      <c r="B8" s="93" t="s">
        <v>243</v>
      </c>
      <c r="C8" s="317"/>
      <c r="D8" s="317"/>
      <c r="E8" s="317"/>
      <c r="F8" s="317"/>
      <c r="G8" s="317"/>
      <c r="H8" s="318"/>
    </row>
    <row r="9" spans="1:8" x14ac:dyDescent="0.25">
      <c r="B9" s="91" t="s">
        <v>244</v>
      </c>
      <c r="C9" s="317"/>
      <c r="D9" s="317"/>
      <c r="E9" s="317"/>
      <c r="F9" s="317"/>
      <c r="G9" s="317"/>
      <c r="H9" s="318"/>
    </row>
    <row r="10" spans="1:8" x14ac:dyDescent="0.25">
      <c r="B10" s="96" t="s">
        <v>245</v>
      </c>
      <c r="C10" s="317"/>
      <c r="D10" s="317"/>
      <c r="E10" s="317"/>
      <c r="F10" s="317"/>
      <c r="G10" s="317"/>
      <c r="H10" s="318"/>
    </row>
    <row r="11" spans="1:8" x14ac:dyDescent="0.25">
      <c r="B11" s="96" t="s">
        <v>246</v>
      </c>
      <c r="C11" s="317"/>
      <c r="D11" s="317"/>
      <c r="E11" s="317"/>
      <c r="F11" s="317"/>
      <c r="G11" s="317"/>
      <c r="H11" s="318"/>
    </row>
    <row r="12" spans="1:8" x14ac:dyDescent="0.25">
      <c r="B12" s="96" t="s">
        <v>247</v>
      </c>
      <c r="C12" s="317"/>
      <c r="D12" s="317"/>
      <c r="E12" s="317"/>
      <c r="F12" s="317"/>
      <c r="G12" s="317"/>
      <c r="H12" s="318"/>
    </row>
    <row r="13" spans="1:8" ht="13.5" thickBot="1" x14ac:dyDescent="0.3">
      <c r="B13" s="95" t="s">
        <v>248</v>
      </c>
      <c r="C13" s="317"/>
      <c r="D13" s="317"/>
      <c r="E13" s="317"/>
      <c r="F13" s="317"/>
      <c r="G13" s="317"/>
      <c r="H13" s="318"/>
    </row>
    <row r="14" spans="1:8" ht="15" customHeight="1" x14ac:dyDescent="0.25">
      <c r="B14" s="381" t="s">
        <v>249</v>
      </c>
      <c r="C14" s="382"/>
      <c r="D14" s="382"/>
      <c r="E14" s="382"/>
      <c r="F14" s="382"/>
      <c r="G14" s="382"/>
      <c r="H14" s="383"/>
    </row>
    <row r="15" spans="1:8" ht="25.5" x14ac:dyDescent="0.25">
      <c r="B15" s="91"/>
      <c r="C15" s="88" t="s">
        <v>237</v>
      </c>
      <c r="D15" s="89" t="s">
        <v>238</v>
      </c>
      <c r="E15" s="75" t="s">
        <v>239</v>
      </c>
      <c r="F15" s="88" t="s">
        <v>240</v>
      </c>
      <c r="G15" s="88" t="s">
        <v>241</v>
      </c>
      <c r="H15" s="92" t="s">
        <v>242</v>
      </c>
    </row>
    <row r="16" spans="1:8" x14ac:dyDescent="0.25">
      <c r="A16" s="49">
        <f>'3a'!I7</f>
        <v>0</v>
      </c>
      <c r="B16" s="93" t="s">
        <v>250</v>
      </c>
      <c r="C16" s="317"/>
      <c r="D16" s="317"/>
      <c r="E16" s="317"/>
      <c r="F16" s="317"/>
      <c r="G16" s="317"/>
      <c r="H16" s="318"/>
    </row>
    <row r="17" spans="2:8" x14ac:dyDescent="0.25">
      <c r="B17" s="93" t="s">
        <v>251</v>
      </c>
      <c r="C17" s="317"/>
      <c r="D17" s="317"/>
      <c r="E17" s="317"/>
      <c r="F17" s="317"/>
      <c r="G17" s="317"/>
      <c r="H17" s="318"/>
    </row>
    <row r="18" spans="2:8" x14ac:dyDescent="0.25">
      <c r="B18" s="93" t="s">
        <v>252</v>
      </c>
      <c r="C18" s="317"/>
      <c r="D18" s="317"/>
      <c r="E18" s="317"/>
      <c r="F18" s="317"/>
      <c r="G18" s="317"/>
      <c r="H18" s="318"/>
    </row>
    <row r="19" spans="2:8" x14ac:dyDescent="0.25">
      <c r="B19" s="93" t="s">
        <v>253</v>
      </c>
      <c r="C19" s="317"/>
      <c r="D19" s="317"/>
      <c r="E19" s="317"/>
      <c r="F19" s="317"/>
      <c r="G19" s="317"/>
      <c r="H19" s="318"/>
    </row>
    <row r="20" spans="2:8" x14ac:dyDescent="0.25">
      <c r="B20" s="93" t="s">
        <v>254</v>
      </c>
      <c r="C20" s="317"/>
      <c r="D20" s="317"/>
      <c r="E20" s="317"/>
      <c r="F20" s="317"/>
      <c r="G20" s="317"/>
      <c r="H20" s="318"/>
    </row>
    <row r="21" spans="2:8" x14ac:dyDescent="0.25">
      <c r="B21" s="93" t="s">
        <v>255</v>
      </c>
      <c r="C21" s="317"/>
      <c r="D21" s="317"/>
      <c r="E21" s="317"/>
      <c r="F21" s="317"/>
      <c r="G21" s="317"/>
      <c r="H21" s="318"/>
    </row>
    <row r="22" spans="2:8" x14ac:dyDescent="0.25">
      <c r="B22" s="93" t="s">
        <v>256</v>
      </c>
      <c r="C22" s="317"/>
      <c r="D22" s="317"/>
      <c r="E22" s="317"/>
      <c r="F22" s="317"/>
      <c r="G22" s="317"/>
      <c r="H22" s="318"/>
    </row>
    <row r="23" spans="2:8" x14ac:dyDescent="0.25">
      <c r="B23" s="93" t="s">
        <v>257</v>
      </c>
      <c r="C23" s="317"/>
      <c r="D23" s="317"/>
      <c r="E23" s="317"/>
      <c r="F23" s="317"/>
      <c r="G23" s="317"/>
      <c r="H23" s="318"/>
    </row>
    <row r="24" spans="2:8" x14ac:dyDescent="0.25">
      <c r="B24" s="93" t="s">
        <v>258</v>
      </c>
      <c r="C24" s="317"/>
      <c r="D24" s="317"/>
      <c r="E24" s="317"/>
      <c r="F24" s="317"/>
      <c r="G24" s="317"/>
      <c r="H24" s="318"/>
    </row>
    <row r="25" spans="2:8" x14ac:dyDescent="0.25">
      <c r="B25" s="93" t="s">
        <v>259</v>
      </c>
      <c r="C25" s="317"/>
      <c r="D25" s="317"/>
      <c r="E25" s="317"/>
      <c r="F25" s="317"/>
      <c r="G25" s="317"/>
      <c r="H25" s="318"/>
    </row>
    <row r="26" spans="2:8" x14ac:dyDescent="0.25">
      <c r="B26" s="93" t="s">
        <v>260</v>
      </c>
      <c r="C26" s="317"/>
      <c r="D26" s="317"/>
      <c r="E26" s="317"/>
      <c r="F26" s="317"/>
      <c r="G26" s="317"/>
      <c r="H26" s="318"/>
    </row>
    <row r="27" spans="2:8" x14ac:dyDescent="0.25">
      <c r="B27" s="93" t="s">
        <v>261</v>
      </c>
      <c r="C27" s="317"/>
      <c r="D27" s="317"/>
      <c r="E27" s="317"/>
      <c r="F27" s="317"/>
      <c r="G27" s="317"/>
      <c r="H27" s="318"/>
    </row>
    <row r="28" spans="2:8" x14ac:dyDescent="0.25">
      <c r="B28" s="93" t="s">
        <v>262</v>
      </c>
      <c r="C28" s="317"/>
      <c r="D28" s="317"/>
      <c r="E28" s="317"/>
      <c r="F28" s="317"/>
      <c r="G28" s="317"/>
      <c r="H28" s="318"/>
    </row>
    <row r="29" spans="2:8" x14ac:dyDescent="0.25">
      <c r="B29" s="93" t="s">
        <v>263</v>
      </c>
      <c r="C29" s="317"/>
      <c r="D29" s="317"/>
      <c r="E29" s="317"/>
      <c r="F29" s="317"/>
      <c r="G29" s="317"/>
      <c r="H29" s="318"/>
    </row>
    <row r="30" spans="2:8" x14ac:dyDescent="0.25">
      <c r="B30" s="93" t="s">
        <v>264</v>
      </c>
      <c r="C30" s="317"/>
      <c r="D30" s="317"/>
      <c r="E30" s="317"/>
      <c r="F30" s="317"/>
      <c r="G30" s="317"/>
      <c r="H30" s="318"/>
    </row>
    <row r="31" spans="2:8" x14ac:dyDescent="0.25">
      <c r="B31" s="93" t="s">
        <v>265</v>
      </c>
      <c r="C31" s="317"/>
      <c r="D31" s="317"/>
      <c r="E31" s="317"/>
      <c r="F31" s="317"/>
      <c r="G31" s="317"/>
      <c r="H31" s="318"/>
    </row>
    <row r="32" spans="2:8" ht="13.5" thickBot="1" x14ac:dyDescent="0.3">
      <c r="B32" s="95" t="s">
        <v>266</v>
      </c>
      <c r="C32" s="317"/>
      <c r="D32" s="317"/>
      <c r="E32" s="317"/>
      <c r="F32" s="317"/>
      <c r="G32" s="317"/>
      <c r="H32" s="318"/>
    </row>
    <row r="33" spans="1:8" ht="15" customHeight="1" x14ac:dyDescent="0.25">
      <c r="B33" s="381" t="s">
        <v>267</v>
      </c>
      <c r="C33" s="382"/>
      <c r="D33" s="382"/>
      <c r="E33" s="382"/>
      <c r="F33" s="382"/>
      <c r="G33" s="382"/>
      <c r="H33" s="383"/>
    </row>
    <row r="34" spans="1:8" ht="25.5" x14ac:dyDescent="0.25">
      <c r="B34" s="91"/>
      <c r="C34" s="88" t="s">
        <v>237</v>
      </c>
      <c r="D34" s="89" t="s">
        <v>238</v>
      </c>
      <c r="E34" s="75" t="s">
        <v>239</v>
      </c>
      <c r="F34" s="88" t="s">
        <v>240</v>
      </c>
      <c r="G34" s="88" t="s">
        <v>241</v>
      </c>
      <c r="H34" s="92" t="s">
        <v>242</v>
      </c>
    </row>
    <row r="35" spans="1:8" x14ac:dyDescent="0.25">
      <c r="A35" s="49">
        <f>'3a'!I8</f>
        <v>0</v>
      </c>
      <c r="B35" s="93" t="s">
        <v>268</v>
      </c>
      <c r="C35" s="317"/>
      <c r="D35" s="317"/>
      <c r="E35" s="317"/>
      <c r="F35" s="317"/>
      <c r="G35" s="317"/>
      <c r="H35" s="318"/>
    </row>
    <row r="36" spans="1:8" x14ac:dyDescent="0.25">
      <c r="B36" s="93" t="s">
        <v>269</v>
      </c>
      <c r="C36" s="317"/>
      <c r="D36" s="317"/>
      <c r="E36" s="317"/>
      <c r="F36" s="317"/>
      <c r="G36" s="317"/>
      <c r="H36" s="318"/>
    </row>
    <row r="37" spans="1:8" x14ac:dyDescent="0.25">
      <c r="B37" s="93" t="s">
        <v>270</v>
      </c>
      <c r="C37" s="317"/>
      <c r="D37" s="317"/>
      <c r="E37" s="317"/>
      <c r="F37" s="317"/>
      <c r="G37" s="317"/>
      <c r="H37" s="318"/>
    </row>
    <row r="38" spans="1:8" x14ac:dyDescent="0.25">
      <c r="B38" s="93" t="s">
        <v>271</v>
      </c>
      <c r="C38" s="317"/>
      <c r="D38" s="317"/>
      <c r="E38" s="317"/>
      <c r="F38" s="317"/>
      <c r="G38" s="317"/>
      <c r="H38" s="318"/>
    </row>
    <row r="39" spans="1:8" x14ac:dyDescent="0.25">
      <c r="B39" s="93" t="s">
        <v>272</v>
      </c>
      <c r="C39" s="317"/>
      <c r="D39" s="317"/>
      <c r="E39" s="317"/>
      <c r="F39" s="317"/>
      <c r="G39" s="317"/>
      <c r="H39" s="318"/>
    </row>
    <row r="40" spans="1:8" x14ac:dyDescent="0.25">
      <c r="B40" s="93" t="s">
        <v>273</v>
      </c>
      <c r="C40" s="317"/>
      <c r="D40" s="317"/>
      <c r="E40" s="317"/>
      <c r="F40" s="317"/>
      <c r="G40" s="317"/>
      <c r="H40" s="318"/>
    </row>
    <row r="41" spans="1:8" ht="25.5" customHeight="1" x14ac:dyDescent="0.25">
      <c r="B41" s="94" t="s">
        <v>274</v>
      </c>
      <c r="C41" s="317"/>
      <c r="D41" s="317"/>
      <c r="E41" s="317"/>
      <c r="F41" s="317"/>
      <c r="G41" s="317"/>
      <c r="H41" s="318"/>
    </row>
    <row r="42" spans="1:8" x14ac:dyDescent="0.25">
      <c r="B42" s="93" t="s">
        <v>275</v>
      </c>
      <c r="C42" s="317"/>
      <c r="D42" s="317"/>
      <c r="E42" s="317"/>
      <c r="F42" s="317"/>
      <c r="G42" s="317"/>
      <c r="H42" s="318"/>
    </row>
    <row r="43" spans="1:8" ht="13.5" thickBot="1" x14ac:dyDescent="0.3">
      <c r="B43" s="95" t="s">
        <v>276</v>
      </c>
      <c r="C43" s="317"/>
      <c r="D43" s="317"/>
      <c r="E43" s="317"/>
      <c r="F43" s="317"/>
      <c r="G43" s="317"/>
      <c r="H43" s="318"/>
    </row>
    <row r="44" spans="1:8" ht="30" customHeight="1" x14ac:dyDescent="0.25">
      <c r="B44" s="90" t="s">
        <v>94</v>
      </c>
      <c r="C44" s="537"/>
      <c r="D44" s="538"/>
      <c r="E44" s="538"/>
      <c r="F44" s="538"/>
      <c r="G44" s="538"/>
      <c r="H44" s="539"/>
    </row>
    <row r="45" spans="1:8" x14ac:dyDescent="0.25">
      <c r="B45" s="36"/>
      <c r="C45" s="28"/>
      <c r="D45" s="28"/>
      <c r="E45" s="28"/>
      <c r="F45" s="28"/>
      <c r="G45" s="28"/>
      <c r="H45" s="29"/>
    </row>
    <row r="46" spans="1:8" ht="13.5" thickBot="1" x14ac:dyDescent="0.3">
      <c r="B46" s="390" t="s">
        <v>9</v>
      </c>
      <c r="C46" s="391"/>
      <c r="D46" s="391"/>
      <c r="E46" s="391"/>
      <c r="F46" s="391"/>
      <c r="G46" s="391"/>
      <c r="H46" s="392"/>
    </row>
  </sheetData>
  <sheetProtection password="C288" sheet="1"/>
  <mergeCells count="7">
    <mergeCell ref="C2:G2"/>
    <mergeCell ref="B4:H4"/>
    <mergeCell ref="B46:H46"/>
    <mergeCell ref="C44:H44"/>
    <mergeCell ref="B6:H6"/>
    <mergeCell ref="B14:H14"/>
    <mergeCell ref="B33:H33"/>
  </mergeCells>
  <conditionalFormatting sqref="C8:H13">
    <cfRule type="expression" dxfId="26" priority="3" stopIfTrue="1">
      <formula>$A$8="Yes"</formula>
    </cfRule>
  </conditionalFormatting>
  <conditionalFormatting sqref="C16:H32">
    <cfRule type="expression" dxfId="25" priority="2" stopIfTrue="1">
      <formula>$A$16="Yes"</formula>
    </cfRule>
  </conditionalFormatting>
  <conditionalFormatting sqref="C35:H43">
    <cfRule type="expression" dxfId="24" priority="1" stopIfTrue="1">
      <formula>$A$35="Yes"</formula>
    </cfRule>
  </conditionalFormatting>
  <dataValidations count="5">
    <dataValidation type="list" allowBlank="1" showInputMessage="1" showErrorMessage="1" sqref="C8:C13 C16:C32 C35:C43">
      <formula1>Participation</formula1>
    </dataValidation>
    <dataValidation type="list" allowBlank="1" showInputMessage="1" showErrorMessage="1" sqref="D8:D13 D16:D32 D35:D43">
      <formula1>YesNo</formula1>
    </dataValidation>
    <dataValidation type="list" allowBlank="1" showInputMessage="1" showErrorMessage="1" sqref="F8:F13 F16:F32 F35:F43">
      <formula1>EndUse</formula1>
    </dataValidation>
    <dataValidation type="list" allowBlank="1" showInputMessage="1" showErrorMessage="1" sqref="G8:G13 G16:G32 G35:G43">
      <formula1>ExportControl</formula1>
    </dataValidation>
    <dataValidation type="list" allowBlank="1" showInputMessage="1" showErrorMessage="1" sqref="H8:H13 H16:H32 H35:H43">
      <formula1>YesNoUnk</formula1>
    </dataValidation>
  </dataValidations>
  <hyperlinks>
    <hyperlink ref="B2" location="'3a'!A1" display="Previous Page"/>
    <hyperlink ref="C2:G2" location="'Table of Contents'!A1" display="Table of Contents"/>
    <hyperlink ref="H2" location="'3c'!A1" display="Next Page"/>
  </hyperlinks>
  <printOptions horizontalCentered="1"/>
  <pageMargins left="0.25" right="0.25" top="0.75" bottom="0.75" header="0.3" footer="0.3"/>
  <pageSetup scale="74" orientation="landscape"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5"/>
  <sheetViews>
    <sheetView showGridLines="0" showRowColHeaders="0" workbookViewId="0"/>
  </sheetViews>
  <sheetFormatPr defaultRowHeight="12.75" x14ac:dyDescent="0.25"/>
  <cols>
    <col min="1" max="1" width="9.140625" style="19"/>
    <col min="2" max="2" width="45.7109375" style="19" customWidth="1"/>
    <col min="3" max="4" width="12.85546875" style="19" customWidth="1"/>
    <col min="5" max="5" width="50" style="19" customWidth="1"/>
    <col min="6" max="7" width="13.7109375" style="19" customWidth="1"/>
    <col min="8" max="8" width="29.85546875" style="19" customWidth="1"/>
    <col min="9" max="16384" width="9.140625" style="19"/>
  </cols>
  <sheetData>
    <row r="1" spans="1:8" ht="13.5" thickBot="1" x14ac:dyDescent="0.3"/>
    <row r="2" spans="1:8" x14ac:dyDescent="0.25">
      <c r="A2" s="49"/>
      <c r="B2" s="23" t="s">
        <v>10</v>
      </c>
      <c r="C2" s="405" t="s">
        <v>11</v>
      </c>
      <c r="D2" s="405"/>
      <c r="E2" s="405"/>
      <c r="F2" s="405"/>
      <c r="G2" s="405"/>
      <c r="H2" s="26" t="s">
        <v>0</v>
      </c>
    </row>
    <row r="3" spans="1:8" x14ac:dyDescent="0.25">
      <c r="A3" s="49"/>
      <c r="B3" s="52" t="s">
        <v>277</v>
      </c>
      <c r="C3" s="57"/>
      <c r="D3" s="57"/>
      <c r="E3" s="57"/>
      <c r="F3" s="57"/>
      <c r="G3" s="57"/>
      <c r="H3" s="58"/>
    </row>
    <row r="4" spans="1:8" ht="60" customHeight="1" x14ac:dyDescent="0.25">
      <c r="A4" s="49"/>
      <c r="B4" s="546" t="s">
        <v>235</v>
      </c>
      <c r="C4" s="534"/>
      <c r="D4" s="534"/>
      <c r="E4" s="534"/>
      <c r="F4" s="534"/>
      <c r="G4" s="534"/>
      <c r="H4" s="547"/>
    </row>
    <row r="5" spans="1:8" ht="13.5" thickBot="1" x14ac:dyDescent="0.3">
      <c r="A5" s="49"/>
      <c r="B5" s="97" t="s">
        <v>39</v>
      </c>
      <c r="C5" s="63"/>
      <c r="D5" s="63"/>
      <c r="E5" s="63"/>
      <c r="F5" s="63"/>
      <c r="G5" s="63"/>
      <c r="H5" s="65"/>
    </row>
    <row r="6" spans="1:8" ht="15" customHeight="1" x14ac:dyDescent="0.25">
      <c r="A6" s="49"/>
      <c r="B6" s="381" t="s">
        <v>278</v>
      </c>
      <c r="C6" s="382"/>
      <c r="D6" s="382"/>
      <c r="E6" s="382"/>
      <c r="F6" s="382"/>
      <c r="G6" s="382"/>
      <c r="H6" s="383"/>
    </row>
    <row r="7" spans="1:8" ht="25.5" customHeight="1" x14ac:dyDescent="0.25">
      <c r="A7" s="49"/>
      <c r="B7" s="91"/>
      <c r="C7" s="88" t="s">
        <v>237</v>
      </c>
      <c r="D7" s="89" t="s">
        <v>238</v>
      </c>
      <c r="E7" s="75" t="s">
        <v>239</v>
      </c>
      <c r="F7" s="88" t="s">
        <v>240</v>
      </c>
      <c r="G7" s="88" t="s">
        <v>241</v>
      </c>
      <c r="H7" s="92" t="s">
        <v>242</v>
      </c>
    </row>
    <row r="8" spans="1:8" x14ac:dyDescent="0.25">
      <c r="A8" s="49">
        <f>'3a'!I9</f>
        <v>0</v>
      </c>
      <c r="B8" s="93" t="s">
        <v>279</v>
      </c>
      <c r="C8" s="317"/>
      <c r="D8" s="317"/>
      <c r="E8" s="317"/>
      <c r="F8" s="317"/>
      <c r="G8" s="317"/>
      <c r="H8" s="318"/>
    </row>
    <row r="9" spans="1:8" x14ac:dyDescent="0.25">
      <c r="A9" s="49"/>
      <c r="B9" s="93" t="s">
        <v>280</v>
      </c>
      <c r="C9" s="317"/>
      <c r="D9" s="317"/>
      <c r="E9" s="317"/>
      <c r="F9" s="317"/>
      <c r="G9" s="317"/>
      <c r="H9" s="318"/>
    </row>
    <row r="10" spans="1:8" x14ac:dyDescent="0.25">
      <c r="A10" s="49"/>
      <c r="B10" s="93" t="s">
        <v>281</v>
      </c>
      <c r="C10" s="317"/>
      <c r="D10" s="317"/>
      <c r="E10" s="317"/>
      <c r="F10" s="317"/>
      <c r="G10" s="317"/>
      <c r="H10" s="318"/>
    </row>
    <row r="11" spans="1:8" x14ac:dyDescent="0.25">
      <c r="A11" s="49"/>
      <c r="B11" s="93" t="s">
        <v>282</v>
      </c>
      <c r="C11" s="317"/>
      <c r="D11" s="317"/>
      <c r="E11" s="317"/>
      <c r="F11" s="317"/>
      <c r="G11" s="317"/>
      <c r="H11" s="318"/>
    </row>
    <row r="12" spans="1:8" x14ac:dyDescent="0.25">
      <c r="A12" s="49"/>
      <c r="B12" s="93" t="s">
        <v>283</v>
      </c>
      <c r="C12" s="317"/>
      <c r="D12" s="317"/>
      <c r="E12" s="317"/>
      <c r="F12" s="317"/>
      <c r="G12" s="317"/>
      <c r="H12" s="318"/>
    </row>
    <row r="13" spans="1:8" x14ac:dyDescent="0.25">
      <c r="A13" s="49"/>
      <c r="B13" s="93" t="s">
        <v>284</v>
      </c>
      <c r="C13" s="317"/>
      <c r="D13" s="317"/>
      <c r="E13" s="317"/>
      <c r="F13" s="317"/>
      <c r="G13" s="317"/>
      <c r="H13" s="318"/>
    </row>
    <row r="14" spans="1:8" x14ac:dyDescent="0.25">
      <c r="A14" s="49"/>
      <c r="B14" s="93" t="s">
        <v>285</v>
      </c>
      <c r="C14" s="317"/>
      <c r="D14" s="317"/>
      <c r="E14" s="317"/>
      <c r="F14" s="317"/>
      <c r="G14" s="317"/>
      <c r="H14" s="318"/>
    </row>
    <row r="15" spans="1:8" x14ac:dyDescent="0.25">
      <c r="A15" s="49"/>
      <c r="B15" s="93" t="s">
        <v>286</v>
      </c>
      <c r="C15" s="317"/>
      <c r="D15" s="317"/>
      <c r="E15" s="317"/>
      <c r="F15" s="317"/>
      <c r="G15" s="317"/>
      <c r="H15" s="318"/>
    </row>
    <row r="16" spans="1:8" x14ac:dyDescent="0.25">
      <c r="A16" s="49"/>
      <c r="B16" s="93" t="s">
        <v>287</v>
      </c>
      <c r="C16" s="317"/>
      <c r="D16" s="317"/>
      <c r="E16" s="317"/>
      <c r="F16" s="317"/>
      <c r="G16" s="317"/>
      <c r="H16" s="318"/>
    </row>
    <row r="17" spans="1:8" x14ac:dyDescent="0.25">
      <c r="A17" s="49"/>
      <c r="B17" s="93" t="s">
        <v>288</v>
      </c>
      <c r="C17" s="317"/>
      <c r="D17" s="317"/>
      <c r="E17" s="317"/>
      <c r="F17" s="317"/>
      <c r="G17" s="317"/>
      <c r="H17" s="318"/>
    </row>
    <row r="18" spans="1:8" ht="13.5" thickBot="1" x14ac:dyDescent="0.3">
      <c r="A18" s="49"/>
      <c r="B18" s="93" t="s">
        <v>289</v>
      </c>
      <c r="C18" s="317"/>
      <c r="D18" s="317"/>
      <c r="E18" s="317"/>
      <c r="F18" s="317"/>
      <c r="G18" s="317"/>
      <c r="H18" s="318"/>
    </row>
    <row r="19" spans="1:8" ht="15" customHeight="1" x14ac:dyDescent="0.25">
      <c r="A19" s="49"/>
      <c r="B19" s="381" t="s">
        <v>290</v>
      </c>
      <c r="C19" s="382"/>
      <c r="D19" s="382"/>
      <c r="E19" s="382"/>
      <c r="F19" s="382"/>
      <c r="G19" s="382"/>
      <c r="H19" s="383"/>
    </row>
    <row r="20" spans="1:8" ht="25.5" customHeight="1" x14ac:dyDescent="0.25">
      <c r="A20" s="49"/>
      <c r="B20" s="91"/>
      <c r="C20" s="88" t="s">
        <v>237</v>
      </c>
      <c r="D20" s="89" t="s">
        <v>238</v>
      </c>
      <c r="E20" s="75" t="s">
        <v>239</v>
      </c>
      <c r="F20" s="88" t="s">
        <v>240</v>
      </c>
      <c r="G20" s="88" t="s">
        <v>241</v>
      </c>
      <c r="H20" s="92" t="s">
        <v>242</v>
      </c>
    </row>
    <row r="21" spans="1:8" x14ac:dyDescent="0.25">
      <c r="A21" s="49">
        <f>'3a'!I10</f>
        <v>0</v>
      </c>
      <c r="B21" s="93" t="s">
        <v>291</v>
      </c>
      <c r="C21" s="317"/>
      <c r="D21" s="317"/>
      <c r="E21" s="317"/>
      <c r="F21" s="317"/>
      <c r="G21" s="317"/>
      <c r="H21" s="318"/>
    </row>
    <row r="22" spans="1:8" x14ac:dyDescent="0.25">
      <c r="A22" s="49"/>
      <c r="B22" s="93" t="s">
        <v>292</v>
      </c>
      <c r="C22" s="317"/>
      <c r="D22" s="317"/>
      <c r="E22" s="317"/>
      <c r="F22" s="317"/>
      <c r="G22" s="317"/>
      <c r="H22" s="318"/>
    </row>
    <row r="23" spans="1:8" x14ac:dyDescent="0.25">
      <c r="A23" s="49"/>
      <c r="B23" s="93" t="s">
        <v>293</v>
      </c>
      <c r="C23" s="317"/>
      <c r="D23" s="317"/>
      <c r="E23" s="317"/>
      <c r="F23" s="317"/>
      <c r="G23" s="317"/>
      <c r="H23" s="318"/>
    </row>
    <row r="24" spans="1:8" ht="13.5" thickBot="1" x14ac:dyDescent="0.3">
      <c r="A24" s="49"/>
      <c r="B24" s="93" t="s">
        <v>294</v>
      </c>
      <c r="C24" s="317"/>
      <c r="D24" s="317"/>
      <c r="E24" s="317"/>
      <c r="F24" s="317"/>
      <c r="G24" s="317"/>
      <c r="H24" s="318"/>
    </row>
    <row r="25" spans="1:8" ht="15" customHeight="1" x14ac:dyDescent="0.25">
      <c r="A25" s="49"/>
      <c r="B25" s="381" t="s">
        <v>295</v>
      </c>
      <c r="C25" s="382"/>
      <c r="D25" s="382"/>
      <c r="E25" s="382"/>
      <c r="F25" s="382"/>
      <c r="G25" s="382"/>
      <c r="H25" s="383"/>
    </row>
    <row r="26" spans="1:8" ht="25.5" customHeight="1" x14ac:dyDescent="0.25">
      <c r="A26" s="49"/>
      <c r="B26" s="91"/>
      <c r="C26" s="88" t="s">
        <v>237</v>
      </c>
      <c r="D26" s="89" t="s">
        <v>238</v>
      </c>
      <c r="E26" s="75" t="s">
        <v>239</v>
      </c>
      <c r="F26" s="88" t="s">
        <v>240</v>
      </c>
      <c r="G26" s="88" t="s">
        <v>241</v>
      </c>
      <c r="H26" s="92" t="s">
        <v>242</v>
      </c>
    </row>
    <row r="27" spans="1:8" x14ac:dyDescent="0.25">
      <c r="A27" s="49">
        <f>'3a'!I11</f>
        <v>0</v>
      </c>
      <c r="B27" s="93" t="s">
        <v>296</v>
      </c>
      <c r="C27" s="317"/>
      <c r="D27" s="317"/>
      <c r="E27" s="317"/>
      <c r="F27" s="317"/>
      <c r="G27" s="317"/>
      <c r="H27" s="318"/>
    </row>
    <row r="28" spans="1:8" x14ac:dyDescent="0.25">
      <c r="A28" s="49"/>
      <c r="B28" s="93" t="s">
        <v>297</v>
      </c>
      <c r="C28" s="317"/>
      <c r="D28" s="317"/>
      <c r="E28" s="317"/>
      <c r="F28" s="317"/>
      <c r="G28" s="317"/>
      <c r="H28" s="318"/>
    </row>
    <row r="29" spans="1:8" x14ac:dyDescent="0.25">
      <c r="A29" s="49"/>
      <c r="B29" s="93" t="s">
        <v>298</v>
      </c>
      <c r="C29" s="317"/>
      <c r="D29" s="317"/>
      <c r="E29" s="317"/>
      <c r="F29" s="317"/>
      <c r="G29" s="317"/>
      <c r="H29" s="318"/>
    </row>
    <row r="30" spans="1:8" x14ac:dyDescent="0.25">
      <c r="A30" s="49"/>
      <c r="B30" s="93" t="s">
        <v>299</v>
      </c>
      <c r="C30" s="317"/>
      <c r="D30" s="317"/>
      <c r="E30" s="317"/>
      <c r="F30" s="317"/>
      <c r="G30" s="317"/>
      <c r="H30" s="318"/>
    </row>
    <row r="31" spans="1:8" x14ac:dyDescent="0.25">
      <c r="A31" s="49"/>
      <c r="B31" s="93" t="s">
        <v>300</v>
      </c>
      <c r="C31" s="317"/>
      <c r="D31" s="317"/>
      <c r="E31" s="317"/>
      <c r="F31" s="317"/>
      <c r="G31" s="317"/>
      <c r="H31" s="318"/>
    </row>
    <row r="32" spans="1:8" x14ac:dyDescent="0.25">
      <c r="A32" s="49"/>
      <c r="B32" s="93" t="s">
        <v>301</v>
      </c>
      <c r="C32" s="317"/>
      <c r="D32" s="317"/>
      <c r="E32" s="317"/>
      <c r="F32" s="317"/>
      <c r="G32" s="317"/>
      <c r="H32" s="318"/>
    </row>
    <row r="33" spans="1:8" ht="13.5" thickBot="1" x14ac:dyDescent="0.3">
      <c r="A33" s="49"/>
      <c r="B33" s="93" t="s">
        <v>302</v>
      </c>
      <c r="C33" s="317"/>
      <c r="D33" s="317"/>
      <c r="E33" s="317"/>
      <c r="F33" s="317"/>
      <c r="G33" s="317"/>
      <c r="H33" s="318"/>
    </row>
    <row r="34" spans="1:8" ht="15" customHeight="1" x14ac:dyDescent="0.25">
      <c r="A34" s="49"/>
      <c r="B34" s="381" t="s">
        <v>303</v>
      </c>
      <c r="C34" s="382"/>
      <c r="D34" s="382"/>
      <c r="E34" s="382"/>
      <c r="F34" s="382"/>
      <c r="G34" s="382"/>
      <c r="H34" s="383"/>
    </row>
    <row r="35" spans="1:8" ht="25.5" customHeight="1" x14ac:dyDescent="0.25">
      <c r="A35" s="49"/>
      <c r="B35" s="91"/>
      <c r="C35" s="88" t="s">
        <v>237</v>
      </c>
      <c r="D35" s="89" t="s">
        <v>238</v>
      </c>
      <c r="E35" s="75" t="s">
        <v>239</v>
      </c>
      <c r="F35" s="88" t="s">
        <v>240</v>
      </c>
      <c r="G35" s="88" t="s">
        <v>241</v>
      </c>
      <c r="H35" s="92" t="s">
        <v>242</v>
      </c>
    </row>
    <row r="36" spans="1:8" x14ac:dyDescent="0.25">
      <c r="A36" s="49">
        <f>'3a'!I12</f>
        <v>0</v>
      </c>
      <c r="B36" s="93" t="s">
        <v>304</v>
      </c>
      <c r="C36" s="317"/>
      <c r="D36" s="317"/>
      <c r="E36" s="317"/>
      <c r="F36" s="317"/>
      <c r="G36" s="317"/>
      <c r="H36" s="318"/>
    </row>
    <row r="37" spans="1:8" x14ac:dyDescent="0.25">
      <c r="A37" s="49"/>
      <c r="B37" s="93" t="s">
        <v>305</v>
      </c>
      <c r="C37" s="317"/>
      <c r="D37" s="317"/>
      <c r="E37" s="317"/>
      <c r="F37" s="317"/>
      <c r="G37" s="317"/>
      <c r="H37" s="318"/>
    </row>
    <row r="38" spans="1:8" x14ac:dyDescent="0.25">
      <c r="A38" s="49"/>
      <c r="B38" s="93" t="s">
        <v>306</v>
      </c>
      <c r="C38" s="317"/>
      <c r="D38" s="317"/>
      <c r="E38" s="317"/>
      <c r="F38" s="317"/>
      <c r="G38" s="317"/>
      <c r="H38" s="318"/>
    </row>
    <row r="39" spans="1:8" x14ac:dyDescent="0.25">
      <c r="A39" s="49"/>
      <c r="B39" s="93" t="s">
        <v>307</v>
      </c>
      <c r="C39" s="317"/>
      <c r="D39" s="317"/>
      <c r="E39" s="317"/>
      <c r="F39" s="317"/>
      <c r="G39" s="317"/>
      <c r="H39" s="318"/>
    </row>
    <row r="40" spans="1:8" ht="13.5" thickBot="1" x14ac:dyDescent="0.3">
      <c r="A40" s="49"/>
      <c r="B40" s="93" t="s">
        <v>308</v>
      </c>
      <c r="C40" s="317"/>
      <c r="D40" s="317"/>
      <c r="E40" s="317"/>
      <c r="F40" s="317"/>
      <c r="G40" s="317"/>
      <c r="H40" s="318"/>
    </row>
    <row r="41" spans="1:8" ht="15" customHeight="1" x14ac:dyDescent="0.25">
      <c r="A41" s="49"/>
      <c r="B41" s="381" t="s">
        <v>309</v>
      </c>
      <c r="C41" s="382"/>
      <c r="D41" s="382"/>
      <c r="E41" s="382"/>
      <c r="F41" s="382"/>
      <c r="G41" s="382"/>
      <c r="H41" s="383"/>
    </row>
    <row r="42" spans="1:8" ht="25.5" customHeight="1" x14ac:dyDescent="0.25">
      <c r="A42" s="49"/>
      <c r="B42" s="91"/>
      <c r="C42" s="88" t="s">
        <v>237</v>
      </c>
      <c r="D42" s="89" t="s">
        <v>238</v>
      </c>
      <c r="E42" s="75" t="s">
        <v>239</v>
      </c>
      <c r="F42" s="88" t="s">
        <v>240</v>
      </c>
      <c r="G42" s="88" t="s">
        <v>241</v>
      </c>
      <c r="H42" s="92" t="s">
        <v>242</v>
      </c>
    </row>
    <row r="43" spans="1:8" x14ac:dyDescent="0.25">
      <c r="A43" s="49">
        <f>'3a'!I13</f>
        <v>0</v>
      </c>
      <c r="B43" s="93" t="s">
        <v>310</v>
      </c>
      <c r="C43" s="317"/>
      <c r="D43" s="317"/>
      <c r="E43" s="317"/>
      <c r="F43" s="317"/>
      <c r="G43" s="317"/>
      <c r="H43" s="318"/>
    </row>
    <row r="44" spans="1:8" x14ac:dyDescent="0.25">
      <c r="A44" s="49"/>
      <c r="B44" s="93" t="s">
        <v>311</v>
      </c>
      <c r="C44" s="317"/>
      <c r="D44" s="317"/>
      <c r="E44" s="317"/>
      <c r="F44" s="317"/>
      <c r="G44" s="317"/>
      <c r="H44" s="318"/>
    </row>
    <row r="45" spans="1:8" x14ac:dyDescent="0.25">
      <c r="A45" s="49"/>
      <c r="B45" s="93" t="s">
        <v>312</v>
      </c>
      <c r="C45" s="317"/>
      <c r="D45" s="317"/>
      <c r="E45" s="317"/>
      <c r="F45" s="317"/>
      <c r="G45" s="317"/>
      <c r="H45" s="318"/>
    </row>
    <row r="46" spans="1:8" x14ac:dyDescent="0.25">
      <c r="A46" s="49"/>
      <c r="B46" s="93" t="s">
        <v>313</v>
      </c>
      <c r="C46" s="317"/>
      <c r="D46" s="317"/>
      <c r="E46" s="317"/>
      <c r="F46" s="317"/>
      <c r="G46" s="317"/>
      <c r="H46" s="318"/>
    </row>
    <row r="47" spans="1:8" x14ac:dyDescent="0.25">
      <c r="A47" s="49"/>
      <c r="B47" s="93" t="s">
        <v>314</v>
      </c>
      <c r="C47" s="317"/>
      <c r="D47" s="317"/>
      <c r="E47" s="317"/>
      <c r="F47" s="317"/>
      <c r="G47" s="317"/>
      <c r="H47" s="318"/>
    </row>
    <row r="48" spans="1:8" ht="13.5" thickBot="1" x14ac:dyDescent="0.3">
      <c r="A48" s="49"/>
      <c r="B48" s="93" t="s">
        <v>315</v>
      </c>
      <c r="C48" s="317"/>
      <c r="D48" s="317"/>
      <c r="E48" s="317"/>
      <c r="F48" s="317"/>
      <c r="G48" s="317"/>
      <c r="H48" s="318"/>
    </row>
    <row r="49" spans="1:8" ht="15" customHeight="1" x14ac:dyDescent="0.25">
      <c r="A49" s="49"/>
      <c r="B49" s="381" t="s">
        <v>316</v>
      </c>
      <c r="C49" s="382"/>
      <c r="D49" s="382"/>
      <c r="E49" s="382"/>
      <c r="F49" s="382"/>
      <c r="G49" s="382"/>
      <c r="H49" s="383"/>
    </row>
    <row r="50" spans="1:8" ht="25.5" customHeight="1" x14ac:dyDescent="0.25">
      <c r="A50" s="49"/>
      <c r="B50" s="91"/>
      <c r="C50" s="88" t="s">
        <v>237</v>
      </c>
      <c r="D50" s="89" t="s">
        <v>238</v>
      </c>
      <c r="E50" s="75" t="s">
        <v>239</v>
      </c>
      <c r="F50" s="88" t="s">
        <v>240</v>
      </c>
      <c r="G50" s="88" t="s">
        <v>241</v>
      </c>
      <c r="H50" s="92" t="s">
        <v>242</v>
      </c>
    </row>
    <row r="51" spans="1:8" x14ac:dyDescent="0.25">
      <c r="A51" s="49">
        <f>'3a'!I14</f>
        <v>0</v>
      </c>
      <c r="B51" s="93" t="s">
        <v>317</v>
      </c>
      <c r="C51" s="317"/>
      <c r="D51" s="317"/>
      <c r="E51" s="317"/>
      <c r="F51" s="317"/>
      <c r="G51" s="317"/>
      <c r="H51" s="318"/>
    </row>
    <row r="52" spans="1:8" x14ac:dyDescent="0.25">
      <c r="A52" s="49"/>
      <c r="B52" s="93" t="s">
        <v>318</v>
      </c>
      <c r="C52" s="317"/>
      <c r="D52" s="317"/>
      <c r="E52" s="317"/>
      <c r="F52" s="317"/>
      <c r="G52" s="317"/>
      <c r="H52" s="318"/>
    </row>
    <row r="53" spans="1:8" x14ac:dyDescent="0.25">
      <c r="A53" s="49"/>
      <c r="B53" s="93" t="s">
        <v>319</v>
      </c>
      <c r="C53" s="317"/>
      <c r="D53" s="317"/>
      <c r="E53" s="317"/>
      <c r="F53" s="317"/>
      <c r="G53" s="317"/>
      <c r="H53" s="318"/>
    </row>
    <row r="54" spans="1:8" x14ac:dyDescent="0.25">
      <c r="A54" s="49"/>
      <c r="B54" s="93" t="s">
        <v>320</v>
      </c>
      <c r="C54" s="317"/>
      <c r="D54" s="317"/>
      <c r="E54" s="317"/>
      <c r="F54" s="317"/>
      <c r="G54" s="317"/>
      <c r="H54" s="318"/>
    </row>
    <row r="55" spans="1:8" x14ac:dyDescent="0.25">
      <c r="A55" s="49"/>
      <c r="B55" s="93" t="s">
        <v>321</v>
      </c>
      <c r="C55" s="317"/>
      <c r="D55" s="317"/>
      <c r="E55" s="317"/>
      <c r="F55" s="317"/>
      <c r="G55" s="317"/>
      <c r="H55" s="318"/>
    </row>
    <row r="56" spans="1:8" ht="13.5" thickBot="1" x14ac:dyDescent="0.3">
      <c r="A56" s="49"/>
      <c r="B56" s="93" t="s">
        <v>322</v>
      </c>
      <c r="C56" s="317"/>
      <c r="D56" s="317"/>
      <c r="E56" s="317"/>
      <c r="F56" s="317"/>
      <c r="G56" s="317"/>
      <c r="H56" s="318"/>
    </row>
    <row r="57" spans="1:8" ht="15" customHeight="1" x14ac:dyDescent="0.25">
      <c r="A57" s="49"/>
      <c r="B57" s="381" t="s">
        <v>323</v>
      </c>
      <c r="C57" s="382"/>
      <c r="D57" s="382"/>
      <c r="E57" s="382"/>
      <c r="F57" s="382"/>
      <c r="G57" s="382"/>
      <c r="H57" s="383"/>
    </row>
    <row r="58" spans="1:8" ht="25.5" customHeight="1" x14ac:dyDescent="0.25">
      <c r="A58" s="49"/>
      <c r="B58" s="91"/>
      <c r="C58" s="88" t="s">
        <v>237</v>
      </c>
      <c r="D58" s="89" t="s">
        <v>238</v>
      </c>
      <c r="E58" s="75" t="s">
        <v>239</v>
      </c>
      <c r="F58" s="88" t="s">
        <v>240</v>
      </c>
      <c r="G58" s="88" t="s">
        <v>241</v>
      </c>
      <c r="H58" s="92" t="s">
        <v>242</v>
      </c>
    </row>
    <row r="59" spans="1:8" ht="25.5" customHeight="1" x14ac:dyDescent="0.25">
      <c r="A59" s="49">
        <f>'3a'!I15</f>
        <v>0</v>
      </c>
      <c r="B59" s="94" t="s">
        <v>324</v>
      </c>
      <c r="C59" s="317"/>
      <c r="D59" s="317"/>
      <c r="E59" s="317"/>
      <c r="F59" s="317"/>
      <c r="G59" s="317"/>
      <c r="H59" s="318"/>
    </row>
    <row r="60" spans="1:8" ht="25.5" customHeight="1" x14ac:dyDescent="0.25">
      <c r="A60" s="49"/>
      <c r="B60" s="94" t="s">
        <v>325</v>
      </c>
      <c r="C60" s="317"/>
      <c r="D60" s="317"/>
      <c r="E60" s="317"/>
      <c r="F60" s="317"/>
      <c r="G60" s="317"/>
      <c r="H60" s="318"/>
    </row>
    <row r="61" spans="1:8" ht="25.5" customHeight="1" x14ac:dyDescent="0.25">
      <c r="A61" s="49"/>
      <c r="B61" s="94" t="s">
        <v>326</v>
      </c>
      <c r="C61" s="317"/>
      <c r="D61" s="317"/>
      <c r="E61" s="317"/>
      <c r="F61" s="317"/>
      <c r="G61" s="317"/>
      <c r="H61" s="318"/>
    </row>
    <row r="62" spans="1:8" ht="13.5" thickBot="1" x14ac:dyDescent="0.3">
      <c r="A62" s="49"/>
      <c r="B62" s="94" t="s">
        <v>327</v>
      </c>
      <c r="C62" s="317"/>
      <c r="D62" s="317"/>
      <c r="E62" s="317"/>
      <c r="F62" s="317"/>
      <c r="G62" s="317"/>
      <c r="H62" s="318"/>
    </row>
    <row r="63" spans="1:8" ht="30" customHeight="1" x14ac:dyDescent="0.25">
      <c r="A63" s="49"/>
      <c r="B63" s="90" t="s">
        <v>94</v>
      </c>
      <c r="C63" s="537"/>
      <c r="D63" s="538"/>
      <c r="E63" s="538"/>
      <c r="F63" s="538"/>
      <c r="G63" s="538"/>
      <c r="H63" s="539"/>
    </row>
    <row r="64" spans="1:8" x14ac:dyDescent="0.25">
      <c r="A64" s="49"/>
      <c r="B64" s="36"/>
      <c r="C64" s="28"/>
      <c r="D64" s="28"/>
      <c r="E64" s="28"/>
      <c r="F64" s="28"/>
      <c r="G64" s="28"/>
      <c r="H64" s="29"/>
    </row>
    <row r="65" spans="1:8" ht="13.5" thickBot="1" x14ac:dyDescent="0.3">
      <c r="A65" s="49"/>
      <c r="B65" s="390" t="s">
        <v>9</v>
      </c>
      <c r="C65" s="391"/>
      <c r="D65" s="391"/>
      <c r="E65" s="391"/>
      <c r="F65" s="391"/>
      <c r="G65" s="391"/>
      <c r="H65" s="392"/>
    </row>
  </sheetData>
  <sheetProtection password="C288" sheet="1"/>
  <mergeCells count="11">
    <mergeCell ref="B41:H41"/>
    <mergeCell ref="B49:H49"/>
    <mergeCell ref="B57:H57"/>
    <mergeCell ref="C63:H63"/>
    <mergeCell ref="B65:H65"/>
    <mergeCell ref="B34:H34"/>
    <mergeCell ref="C2:G2"/>
    <mergeCell ref="B4:H4"/>
    <mergeCell ref="B6:H6"/>
    <mergeCell ref="B19:H19"/>
    <mergeCell ref="B25:H25"/>
  </mergeCells>
  <conditionalFormatting sqref="C8:H18">
    <cfRule type="expression" dxfId="23" priority="7" stopIfTrue="1">
      <formula>$A$8="Yes"</formula>
    </cfRule>
  </conditionalFormatting>
  <conditionalFormatting sqref="C21:H24">
    <cfRule type="expression" dxfId="22" priority="6" stopIfTrue="1">
      <formula>$A$21="Yes"</formula>
    </cfRule>
  </conditionalFormatting>
  <conditionalFormatting sqref="C27:H33">
    <cfRule type="expression" dxfId="21" priority="5" stopIfTrue="1">
      <formula>$A$27="Yes"</formula>
    </cfRule>
  </conditionalFormatting>
  <conditionalFormatting sqref="C36:H40">
    <cfRule type="expression" dxfId="20" priority="4" stopIfTrue="1">
      <formula>$A$36="Yes"</formula>
    </cfRule>
  </conditionalFormatting>
  <conditionalFormatting sqref="C43:H48">
    <cfRule type="expression" dxfId="19" priority="3" stopIfTrue="1">
      <formula>$A$43="Yes"</formula>
    </cfRule>
  </conditionalFormatting>
  <conditionalFormatting sqref="C51:H56">
    <cfRule type="expression" dxfId="18" priority="2" stopIfTrue="1">
      <formula>$A$51="Yes"</formula>
    </cfRule>
  </conditionalFormatting>
  <conditionalFormatting sqref="C59:H62">
    <cfRule type="expression" dxfId="17" priority="1" stopIfTrue="1">
      <formula>$A$59="Yes"</formula>
    </cfRule>
  </conditionalFormatting>
  <dataValidations count="5">
    <dataValidation type="list" allowBlank="1" showInputMessage="1" showErrorMessage="1" sqref="C8:C18 C21:C24 C27:C33 C36:C40 C43:C48 C51:C56 C59:C62">
      <formula1>Participation</formula1>
    </dataValidation>
    <dataValidation type="list" allowBlank="1" showInputMessage="1" showErrorMessage="1" sqref="D8:D18 D21:D24 D27:D33 D36:D40 D43:D48 D51:D56 D59:D62">
      <formula1>YesNo</formula1>
    </dataValidation>
    <dataValidation type="list" allowBlank="1" showInputMessage="1" showErrorMessage="1" sqref="F8:F18 F21:F24 F27:F33 F36:F40 F43:F48 F51:F56 F59:F62">
      <formula1>EndUse</formula1>
    </dataValidation>
    <dataValidation type="list" allowBlank="1" showInputMessage="1" showErrorMessage="1" sqref="G8:G18 G21:G24 G27:G33 G36:G40 G43:G48 G51:G56 G59:G62">
      <formula1>ExportControl</formula1>
    </dataValidation>
    <dataValidation type="list" allowBlank="1" showInputMessage="1" showErrorMessage="1" sqref="H8:H18 H21:H24 H27:H33 H36:H40 H43:H48 H51:H56 H59:H62">
      <formula1>YesNoUnk</formula1>
    </dataValidation>
  </dataValidations>
  <hyperlinks>
    <hyperlink ref="B2" location="'3b'!A1" display="Previous Page"/>
    <hyperlink ref="C2:G2" location="'Table of Contents'!A1" display="Table of Contents"/>
    <hyperlink ref="H2" location="'3d'!A1" display="Next Page"/>
  </hyperlinks>
  <printOptions horizontalCentered="1"/>
  <pageMargins left="0.25" right="0.25" top="0.75" bottom="0.75" header="0.3" footer="0.3"/>
  <pageSetup scale="50" orientation="landscape"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5"/>
  <sheetViews>
    <sheetView showGridLines="0" showRowColHeaders="0" workbookViewId="0"/>
  </sheetViews>
  <sheetFormatPr defaultRowHeight="12.75" x14ac:dyDescent="0.25"/>
  <cols>
    <col min="1" max="1" width="9.140625" style="19"/>
    <col min="2" max="2" width="45.7109375" style="19" customWidth="1"/>
    <col min="3" max="4" width="12.85546875" style="19" customWidth="1"/>
    <col min="5" max="5" width="50" style="19" customWidth="1"/>
    <col min="6" max="7" width="13.7109375" style="19" customWidth="1"/>
    <col min="8" max="8" width="29.85546875" style="19" customWidth="1"/>
    <col min="9" max="16384" width="9.140625" style="19"/>
  </cols>
  <sheetData>
    <row r="1" spans="1:8" ht="13.5" thickBot="1" x14ac:dyDescent="0.3"/>
    <row r="2" spans="1:8" x14ac:dyDescent="0.25">
      <c r="A2" s="49"/>
      <c r="B2" s="23" t="s">
        <v>10</v>
      </c>
      <c r="C2" s="405" t="s">
        <v>11</v>
      </c>
      <c r="D2" s="405"/>
      <c r="E2" s="405"/>
      <c r="F2" s="405"/>
      <c r="G2" s="405"/>
      <c r="H2" s="26" t="s">
        <v>0</v>
      </c>
    </row>
    <row r="3" spans="1:8" x14ac:dyDescent="0.25">
      <c r="A3" s="49"/>
      <c r="B3" s="52" t="s">
        <v>328</v>
      </c>
      <c r="C3" s="57"/>
      <c r="D3" s="57"/>
      <c r="E3" s="57"/>
      <c r="F3" s="57"/>
      <c r="G3" s="57"/>
      <c r="H3" s="58"/>
    </row>
    <row r="4" spans="1:8" ht="60" customHeight="1" x14ac:dyDescent="0.25">
      <c r="A4" s="49"/>
      <c r="B4" s="546" t="s">
        <v>235</v>
      </c>
      <c r="C4" s="534"/>
      <c r="D4" s="534"/>
      <c r="E4" s="534"/>
      <c r="F4" s="534"/>
      <c r="G4" s="534"/>
      <c r="H4" s="547"/>
    </row>
    <row r="5" spans="1:8" ht="13.5" thickBot="1" x14ac:dyDescent="0.3">
      <c r="A5" s="49"/>
      <c r="B5" s="97" t="s">
        <v>39</v>
      </c>
      <c r="C5" s="63"/>
      <c r="D5" s="63"/>
      <c r="E5" s="63"/>
      <c r="F5" s="63"/>
      <c r="G5" s="63"/>
      <c r="H5" s="65"/>
    </row>
    <row r="6" spans="1:8" ht="15" customHeight="1" x14ac:dyDescent="0.25">
      <c r="A6" s="49"/>
      <c r="B6" s="381" t="s">
        <v>329</v>
      </c>
      <c r="C6" s="382"/>
      <c r="D6" s="382"/>
      <c r="E6" s="382"/>
      <c r="F6" s="382"/>
      <c r="G6" s="382"/>
      <c r="H6" s="383"/>
    </row>
    <row r="7" spans="1:8" ht="25.5" customHeight="1" x14ac:dyDescent="0.25">
      <c r="A7" s="49"/>
      <c r="B7" s="91"/>
      <c r="C7" s="88" t="s">
        <v>237</v>
      </c>
      <c r="D7" s="89" t="s">
        <v>238</v>
      </c>
      <c r="E7" s="75" t="s">
        <v>239</v>
      </c>
      <c r="F7" s="88" t="s">
        <v>240</v>
      </c>
      <c r="G7" s="88" t="s">
        <v>241</v>
      </c>
      <c r="H7" s="92" t="s">
        <v>242</v>
      </c>
    </row>
    <row r="8" spans="1:8" x14ac:dyDescent="0.25">
      <c r="A8" s="49">
        <f>'3a'!I16</f>
        <v>0</v>
      </c>
      <c r="B8" s="93" t="s">
        <v>330</v>
      </c>
      <c r="C8" s="317"/>
      <c r="D8" s="317"/>
      <c r="E8" s="317"/>
      <c r="F8" s="317"/>
      <c r="G8" s="317"/>
      <c r="H8" s="318"/>
    </row>
    <row r="9" spans="1:8" s="41" customFormat="1" ht="24.75" customHeight="1" x14ac:dyDescent="0.25">
      <c r="A9" s="99"/>
      <c r="B9" s="100" t="s">
        <v>331</v>
      </c>
      <c r="C9" s="317"/>
      <c r="D9" s="317"/>
      <c r="E9" s="317"/>
      <c r="F9" s="317"/>
      <c r="G9" s="317"/>
      <c r="H9" s="318"/>
    </row>
    <row r="10" spans="1:8" x14ac:dyDescent="0.25">
      <c r="A10" s="49"/>
      <c r="B10" s="93" t="s">
        <v>332</v>
      </c>
      <c r="C10" s="317"/>
      <c r="D10" s="317"/>
      <c r="E10" s="317"/>
      <c r="F10" s="317"/>
      <c r="G10" s="317"/>
      <c r="H10" s="318"/>
    </row>
    <row r="11" spans="1:8" x14ac:dyDescent="0.25">
      <c r="A11" s="49"/>
      <c r="B11" s="93" t="s">
        <v>333</v>
      </c>
      <c r="C11" s="317"/>
      <c r="D11" s="317"/>
      <c r="E11" s="317"/>
      <c r="F11" s="317"/>
      <c r="G11" s="317"/>
      <c r="H11" s="318"/>
    </row>
    <row r="12" spans="1:8" s="41" customFormat="1" ht="24.75" customHeight="1" x14ac:dyDescent="0.25">
      <c r="A12" s="99"/>
      <c r="B12" s="100" t="s">
        <v>334</v>
      </c>
      <c r="C12" s="317"/>
      <c r="D12" s="317"/>
      <c r="E12" s="317"/>
      <c r="F12" s="317"/>
      <c r="G12" s="317"/>
      <c r="H12" s="318"/>
    </row>
    <row r="13" spans="1:8" ht="13.5" thickBot="1" x14ac:dyDescent="0.3">
      <c r="A13" s="49"/>
      <c r="B13" s="93" t="s">
        <v>335</v>
      </c>
      <c r="C13" s="317"/>
      <c r="D13" s="317"/>
      <c r="E13" s="317"/>
      <c r="F13" s="317"/>
      <c r="G13" s="317"/>
      <c r="H13" s="318"/>
    </row>
    <row r="14" spans="1:8" ht="15" customHeight="1" x14ac:dyDescent="0.25">
      <c r="A14" s="49"/>
      <c r="B14" s="381" t="s">
        <v>336</v>
      </c>
      <c r="C14" s="382"/>
      <c r="D14" s="382"/>
      <c r="E14" s="382"/>
      <c r="F14" s="382"/>
      <c r="G14" s="382"/>
      <c r="H14" s="383"/>
    </row>
    <row r="15" spans="1:8" ht="25.5" customHeight="1" x14ac:dyDescent="0.25">
      <c r="A15" s="49"/>
      <c r="B15" s="91"/>
      <c r="C15" s="88" t="s">
        <v>237</v>
      </c>
      <c r="D15" s="89" t="s">
        <v>238</v>
      </c>
      <c r="E15" s="75" t="s">
        <v>239</v>
      </c>
      <c r="F15" s="88" t="s">
        <v>240</v>
      </c>
      <c r="G15" s="88" t="s">
        <v>241</v>
      </c>
      <c r="H15" s="92" t="s">
        <v>242</v>
      </c>
    </row>
    <row r="16" spans="1:8" x14ac:dyDescent="0.25">
      <c r="A16" s="49">
        <f>'3a'!I17</f>
        <v>0</v>
      </c>
      <c r="B16" s="93" t="s">
        <v>337</v>
      </c>
      <c r="C16" s="317"/>
      <c r="D16" s="317"/>
      <c r="E16" s="317"/>
      <c r="F16" s="317"/>
      <c r="G16" s="317"/>
      <c r="H16" s="318"/>
    </row>
    <row r="17" spans="1:8" x14ac:dyDescent="0.25">
      <c r="A17" s="49"/>
      <c r="B17" s="93" t="s">
        <v>338</v>
      </c>
      <c r="C17" s="317"/>
      <c r="D17" s="317"/>
      <c r="E17" s="317"/>
      <c r="F17" s="317"/>
      <c r="G17" s="317"/>
      <c r="H17" s="318"/>
    </row>
    <row r="18" spans="1:8" x14ac:dyDescent="0.25">
      <c r="A18" s="49"/>
      <c r="B18" s="93" t="s">
        <v>339</v>
      </c>
      <c r="C18" s="317"/>
      <c r="D18" s="317"/>
      <c r="E18" s="317"/>
      <c r="F18" s="317"/>
      <c r="G18" s="317"/>
      <c r="H18" s="318"/>
    </row>
    <row r="19" spans="1:8" x14ac:dyDescent="0.25">
      <c r="A19" s="49"/>
      <c r="B19" s="93" t="s">
        <v>340</v>
      </c>
      <c r="C19" s="317"/>
      <c r="D19" s="317"/>
      <c r="E19" s="317"/>
      <c r="F19" s="317"/>
      <c r="G19" s="317"/>
      <c r="H19" s="318"/>
    </row>
    <row r="20" spans="1:8" x14ac:dyDescent="0.25">
      <c r="A20" s="49"/>
      <c r="B20" s="93" t="s">
        <v>341</v>
      </c>
      <c r="C20" s="317"/>
      <c r="D20" s="317"/>
      <c r="E20" s="317"/>
      <c r="F20" s="317"/>
      <c r="G20" s="317"/>
      <c r="H20" s="318"/>
    </row>
    <row r="21" spans="1:8" ht="13.5" thickBot="1" x14ac:dyDescent="0.3">
      <c r="A21" s="49"/>
      <c r="B21" s="93" t="s">
        <v>342</v>
      </c>
      <c r="C21" s="317"/>
      <c r="D21" s="317"/>
      <c r="E21" s="317"/>
      <c r="F21" s="317"/>
      <c r="G21" s="317"/>
      <c r="H21" s="318"/>
    </row>
    <row r="22" spans="1:8" ht="15" customHeight="1" x14ac:dyDescent="0.25">
      <c r="A22" s="49"/>
      <c r="B22" s="381" t="s">
        <v>343</v>
      </c>
      <c r="C22" s="382"/>
      <c r="D22" s="382"/>
      <c r="E22" s="382"/>
      <c r="F22" s="382"/>
      <c r="G22" s="382"/>
      <c r="H22" s="383"/>
    </row>
    <row r="23" spans="1:8" ht="25.5" customHeight="1" x14ac:dyDescent="0.25">
      <c r="A23" s="49"/>
      <c r="B23" s="91"/>
      <c r="C23" s="88" t="s">
        <v>237</v>
      </c>
      <c r="D23" s="89" t="s">
        <v>238</v>
      </c>
      <c r="E23" s="75" t="s">
        <v>239</v>
      </c>
      <c r="F23" s="88" t="s">
        <v>240</v>
      </c>
      <c r="G23" s="88" t="s">
        <v>241</v>
      </c>
      <c r="H23" s="92" t="s">
        <v>242</v>
      </c>
    </row>
    <row r="24" spans="1:8" x14ac:dyDescent="0.25">
      <c r="A24" s="49">
        <f>'3a'!I18</f>
        <v>0</v>
      </c>
      <c r="B24" s="93" t="s">
        <v>344</v>
      </c>
      <c r="C24" s="317"/>
      <c r="D24" s="317"/>
      <c r="E24" s="317"/>
      <c r="F24" s="317"/>
      <c r="G24" s="317"/>
      <c r="H24" s="318"/>
    </row>
    <row r="25" spans="1:8" x14ac:dyDescent="0.25">
      <c r="A25" s="49"/>
      <c r="B25" s="93" t="s">
        <v>345</v>
      </c>
      <c r="C25" s="317"/>
      <c r="D25" s="317"/>
      <c r="E25" s="317"/>
      <c r="F25" s="317"/>
      <c r="G25" s="317"/>
      <c r="H25" s="318"/>
    </row>
    <row r="26" spans="1:8" x14ac:dyDescent="0.25">
      <c r="A26" s="49"/>
      <c r="B26" s="93" t="s">
        <v>346</v>
      </c>
      <c r="C26" s="317"/>
      <c r="D26" s="317"/>
      <c r="E26" s="317"/>
      <c r="F26" s="317"/>
      <c r="G26" s="317"/>
      <c r="H26" s="318"/>
    </row>
    <row r="27" spans="1:8" x14ac:dyDescent="0.25">
      <c r="A27" s="49"/>
      <c r="B27" s="93" t="s">
        <v>347</v>
      </c>
      <c r="C27" s="317"/>
      <c r="D27" s="317"/>
      <c r="E27" s="317"/>
      <c r="F27" s="317"/>
      <c r="G27" s="317"/>
      <c r="H27" s="318"/>
    </row>
    <row r="28" spans="1:8" ht="13.5" thickBot="1" x14ac:dyDescent="0.3">
      <c r="A28" s="49"/>
      <c r="B28" s="93" t="s">
        <v>348</v>
      </c>
      <c r="C28" s="317"/>
      <c r="D28" s="317"/>
      <c r="E28" s="317"/>
      <c r="F28" s="317"/>
      <c r="G28" s="317"/>
      <c r="H28" s="318"/>
    </row>
    <row r="29" spans="1:8" ht="15" customHeight="1" x14ac:dyDescent="0.25">
      <c r="A29" s="49"/>
      <c r="B29" s="381" t="s">
        <v>349</v>
      </c>
      <c r="C29" s="382"/>
      <c r="D29" s="382"/>
      <c r="E29" s="382"/>
      <c r="F29" s="382"/>
      <c r="G29" s="382"/>
      <c r="H29" s="383"/>
    </row>
    <row r="30" spans="1:8" ht="25.5" customHeight="1" x14ac:dyDescent="0.25">
      <c r="A30" s="49"/>
      <c r="B30" s="91"/>
      <c r="C30" s="88" t="s">
        <v>237</v>
      </c>
      <c r="D30" s="89" t="s">
        <v>238</v>
      </c>
      <c r="E30" s="75" t="s">
        <v>239</v>
      </c>
      <c r="F30" s="88" t="s">
        <v>240</v>
      </c>
      <c r="G30" s="88" t="s">
        <v>241</v>
      </c>
      <c r="H30" s="92" t="s">
        <v>242</v>
      </c>
    </row>
    <row r="31" spans="1:8" x14ac:dyDescent="0.25">
      <c r="A31" s="49">
        <f>'3a'!I19</f>
        <v>0</v>
      </c>
      <c r="B31" s="93" t="s">
        <v>350</v>
      </c>
      <c r="C31" s="317"/>
      <c r="D31" s="317"/>
      <c r="E31" s="317"/>
      <c r="F31" s="317"/>
      <c r="G31" s="317"/>
      <c r="H31" s="318"/>
    </row>
    <row r="32" spans="1:8" x14ac:dyDescent="0.25">
      <c r="A32" s="49"/>
      <c r="B32" s="93" t="s">
        <v>351</v>
      </c>
      <c r="C32" s="317"/>
      <c r="D32" s="317"/>
      <c r="E32" s="317"/>
      <c r="F32" s="317"/>
      <c r="G32" s="317"/>
      <c r="H32" s="318"/>
    </row>
    <row r="33" spans="1:8" x14ac:dyDescent="0.25">
      <c r="A33" s="49"/>
      <c r="B33" s="93" t="s">
        <v>352</v>
      </c>
      <c r="C33" s="317"/>
      <c r="D33" s="317"/>
      <c r="E33" s="317"/>
      <c r="F33" s="317"/>
      <c r="G33" s="317"/>
      <c r="H33" s="318"/>
    </row>
    <row r="34" spans="1:8" x14ac:dyDescent="0.25">
      <c r="A34" s="49"/>
      <c r="B34" s="93" t="s">
        <v>353</v>
      </c>
      <c r="C34" s="317"/>
      <c r="D34" s="317"/>
      <c r="E34" s="317"/>
      <c r="F34" s="317"/>
      <c r="G34" s="317"/>
      <c r="H34" s="318"/>
    </row>
    <row r="35" spans="1:8" x14ac:dyDescent="0.25">
      <c r="A35" s="49"/>
      <c r="B35" s="93" t="s">
        <v>354</v>
      </c>
      <c r="C35" s="317"/>
      <c r="D35" s="317"/>
      <c r="E35" s="317"/>
      <c r="F35" s="317"/>
      <c r="G35" s="317"/>
      <c r="H35" s="318"/>
    </row>
    <row r="36" spans="1:8" x14ac:dyDescent="0.25">
      <c r="A36" s="49"/>
      <c r="B36" s="93" t="s">
        <v>355</v>
      </c>
      <c r="C36" s="317"/>
      <c r="D36" s="317"/>
      <c r="E36" s="317"/>
      <c r="F36" s="317"/>
      <c r="G36" s="317"/>
      <c r="H36" s="318"/>
    </row>
    <row r="37" spans="1:8" ht="13.5" thickBot="1" x14ac:dyDescent="0.3">
      <c r="A37" s="49"/>
      <c r="B37" s="93" t="s">
        <v>356</v>
      </c>
      <c r="C37" s="317"/>
      <c r="D37" s="317"/>
      <c r="E37" s="317"/>
      <c r="F37" s="317"/>
      <c r="G37" s="317"/>
      <c r="H37" s="318"/>
    </row>
    <row r="38" spans="1:8" ht="15" customHeight="1" x14ac:dyDescent="0.25">
      <c r="A38" s="49"/>
      <c r="B38" s="381" t="s">
        <v>357</v>
      </c>
      <c r="C38" s="382"/>
      <c r="D38" s="382"/>
      <c r="E38" s="382"/>
      <c r="F38" s="382"/>
      <c r="G38" s="382"/>
      <c r="H38" s="383"/>
    </row>
    <row r="39" spans="1:8" ht="25.5" customHeight="1" x14ac:dyDescent="0.25">
      <c r="A39" s="49"/>
      <c r="B39" s="91"/>
      <c r="C39" s="88" t="s">
        <v>237</v>
      </c>
      <c r="D39" s="89" t="s">
        <v>238</v>
      </c>
      <c r="E39" s="75" t="s">
        <v>239</v>
      </c>
      <c r="F39" s="88" t="s">
        <v>240</v>
      </c>
      <c r="G39" s="88" t="s">
        <v>241</v>
      </c>
      <c r="H39" s="92" t="s">
        <v>242</v>
      </c>
    </row>
    <row r="40" spans="1:8" x14ac:dyDescent="0.25">
      <c r="A40" s="49">
        <f>'3a'!I20</f>
        <v>0</v>
      </c>
      <c r="B40" s="93" t="s">
        <v>358</v>
      </c>
      <c r="C40" s="317"/>
      <c r="D40" s="317"/>
      <c r="E40" s="317"/>
      <c r="F40" s="317"/>
      <c r="G40" s="317"/>
      <c r="H40" s="318"/>
    </row>
    <row r="41" spans="1:8" x14ac:dyDescent="0.25">
      <c r="A41" s="49"/>
      <c r="B41" s="93" t="s">
        <v>359</v>
      </c>
      <c r="C41" s="317"/>
      <c r="D41" s="317"/>
      <c r="E41" s="317"/>
      <c r="F41" s="317"/>
      <c r="G41" s="317"/>
      <c r="H41" s="318"/>
    </row>
    <row r="42" spans="1:8" x14ac:dyDescent="0.25">
      <c r="A42" s="49"/>
      <c r="B42" s="93" t="s">
        <v>360</v>
      </c>
      <c r="C42" s="317"/>
      <c r="D42" s="317"/>
      <c r="E42" s="317"/>
      <c r="F42" s="317"/>
      <c r="G42" s="317"/>
      <c r="H42" s="318"/>
    </row>
    <row r="43" spans="1:8" x14ac:dyDescent="0.25">
      <c r="A43" s="49"/>
      <c r="B43" s="93" t="s">
        <v>361</v>
      </c>
      <c r="C43" s="317"/>
      <c r="D43" s="317"/>
      <c r="E43" s="317"/>
      <c r="F43" s="317"/>
      <c r="G43" s="317"/>
      <c r="H43" s="318"/>
    </row>
    <row r="44" spans="1:8" x14ac:dyDescent="0.25">
      <c r="A44" s="49"/>
      <c r="B44" s="93" t="s">
        <v>362</v>
      </c>
      <c r="C44" s="317"/>
      <c r="D44" s="317"/>
      <c r="E44" s="317"/>
      <c r="F44" s="317"/>
      <c r="G44" s="317"/>
      <c r="H44" s="318"/>
    </row>
    <row r="45" spans="1:8" x14ac:dyDescent="0.25">
      <c r="A45" s="49"/>
      <c r="B45" s="93" t="s">
        <v>363</v>
      </c>
      <c r="C45" s="317"/>
      <c r="D45" s="317"/>
      <c r="E45" s="317"/>
      <c r="F45" s="317"/>
      <c r="G45" s="317"/>
      <c r="H45" s="318"/>
    </row>
    <row r="46" spans="1:8" x14ac:dyDescent="0.25">
      <c r="A46" s="49"/>
      <c r="B46" s="93" t="s">
        <v>364</v>
      </c>
      <c r="C46" s="317"/>
      <c r="D46" s="317"/>
      <c r="E46" s="317"/>
      <c r="F46" s="317"/>
      <c r="G46" s="317"/>
      <c r="H46" s="318"/>
    </row>
    <row r="47" spans="1:8" x14ac:dyDescent="0.25">
      <c r="A47" s="49"/>
      <c r="B47" s="93" t="s">
        <v>365</v>
      </c>
      <c r="C47" s="317"/>
      <c r="D47" s="317"/>
      <c r="E47" s="317"/>
      <c r="F47" s="317"/>
      <c r="G47" s="317"/>
      <c r="H47" s="318"/>
    </row>
    <row r="48" spans="1:8" x14ac:dyDescent="0.25">
      <c r="A48" s="49"/>
      <c r="B48" s="93" t="s">
        <v>366</v>
      </c>
      <c r="C48" s="317"/>
      <c r="D48" s="317"/>
      <c r="E48" s="317"/>
      <c r="F48" s="317"/>
      <c r="G48" s="317"/>
      <c r="H48" s="318"/>
    </row>
    <row r="49" spans="1:8" x14ac:dyDescent="0.25">
      <c r="A49" s="49"/>
      <c r="B49" s="93" t="s">
        <v>367</v>
      </c>
      <c r="C49" s="317"/>
      <c r="D49" s="317"/>
      <c r="E49" s="317"/>
      <c r="F49" s="317"/>
      <c r="G49" s="317"/>
      <c r="H49" s="318"/>
    </row>
    <row r="50" spans="1:8" x14ac:dyDescent="0.25">
      <c r="A50" s="49"/>
      <c r="B50" s="93" t="s">
        <v>368</v>
      </c>
      <c r="C50" s="317"/>
      <c r="D50" s="317"/>
      <c r="E50" s="317"/>
      <c r="F50" s="317"/>
      <c r="G50" s="317"/>
      <c r="H50" s="318"/>
    </row>
    <row r="51" spans="1:8" x14ac:dyDescent="0.25">
      <c r="A51" s="49"/>
      <c r="B51" s="93" t="s">
        <v>369</v>
      </c>
      <c r="C51" s="317"/>
      <c r="D51" s="317"/>
      <c r="E51" s="317"/>
      <c r="F51" s="317"/>
      <c r="G51" s="317"/>
      <c r="H51" s="318"/>
    </row>
    <row r="52" spans="1:8" s="41" customFormat="1" ht="25.5" customHeight="1" thickBot="1" x14ac:dyDescent="0.3">
      <c r="A52" s="99"/>
      <c r="B52" s="100" t="s">
        <v>370</v>
      </c>
      <c r="C52" s="317"/>
      <c r="D52" s="317"/>
      <c r="E52" s="317"/>
      <c r="F52" s="317"/>
      <c r="G52" s="317"/>
      <c r="H52" s="318"/>
    </row>
    <row r="53" spans="1:8" ht="30" customHeight="1" x14ac:dyDescent="0.25">
      <c r="A53" s="49"/>
      <c r="B53" s="90" t="s">
        <v>94</v>
      </c>
      <c r="C53" s="537"/>
      <c r="D53" s="538"/>
      <c r="E53" s="538"/>
      <c r="F53" s="538"/>
      <c r="G53" s="538"/>
      <c r="H53" s="539"/>
    </row>
    <row r="54" spans="1:8" x14ac:dyDescent="0.25">
      <c r="A54" s="49"/>
      <c r="B54" s="36"/>
      <c r="C54" s="28"/>
      <c r="D54" s="28"/>
      <c r="E54" s="28"/>
      <c r="F54" s="28"/>
      <c r="G54" s="28"/>
      <c r="H54" s="29"/>
    </row>
    <row r="55" spans="1:8" ht="13.5" thickBot="1" x14ac:dyDescent="0.3">
      <c r="A55" s="49"/>
      <c r="B55" s="390" t="s">
        <v>9</v>
      </c>
      <c r="C55" s="391"/>
      <c r="D55" s="391"/>
      <c r="E55" s="391"/>
      <c r="F55" s="391"/>
      <c r="G55" s="391"/>
      <c r="H55" s="392"/>
    </row>
  </sheetData>
  <sheetProtection password="C288" sheet="1"/>
  <mergeCells count="9">
    <mergeCell ref="C2:G2"/>
    <mergeCell ref="B4:H4"/>
    <mergeCell ref="B6:H6"/>
    <mergeCell ref="C53:H53"/>
    <mergeCell ref="B55:H55"/>
    <mergeCell ref="B14:H14"/>
    <mergeCell ref="B22:H22"/>
    <mergeCell ref="B29:H29"/>
    <mergeCell ref="B38:H38"/>
  </mergeCells>
  <conditionalFormatting sqref="C8:H13">
    <cfRule type="expression" dxfId="16" priority="5" stopIfTrue="1">
      <formula>$A$8="Yes"</formula>
    </cfRule>
  </conditionalFormatting>
  <conditionalFormatting sqref="C16:H21">
    <cfRule type="expression" dxfId="15" priority="4" stopIfTrue="1">
      <formula>$A$16="Yes"</formula>
    </cfRule>
  </conditionalFormatting>
  <conditionalFormatting sqref="C24:H28">
    <cfRule type="expression" dxfId="14" priority="3" stopIfTrue="1">
      <formula>$A$24="Yes"</formula>
    </cfRule>
  </conditionalFormatting>
  <conditionalFormatting sqref="C31:H37">
    <cfRule type="expression" dxfId="13" priority="2" stopIfTrue="1">
      <formula>$A$31="Yes"</formula>
    </cfRule>
  </conditionalFormatting>
  <conditionalFormatting sqref="C40:H52">
    <cfRule type="expression" dxfId="12" priority="1" stopIfTrue="1">
      <formula>$A$40="Yes"</formula>
    </cfRule>
  </conditionalFormatting>
  <dataValidations count="5">
    <dataValidation type="list" allowBlank="1" showInputMessage="1" showErrorMessage="1" sqref="C8:C13 C16:C21 C24:C28 C31:C37 C40:C52">
      <formula1>Participation</formula1>
    </dataValidation>
    <dataValidation type="list" allowBlank="1" showInputMessage="1" showErrorMessage="1" sqref="D40:D52 D31:D37 D24:D28 D8:D13">
      <formula1>YesNo</formula1>
    </dataValidation>
    <dataValidation type="list" allowBlank="1" showInputMessage="1" showErrorMessage="1" sqref="F8:F13 F16:F21 F24:F28 F31:F37 F40:F52">
      <formula1>EndUse</formula1>
    </dataValidation>
    <dataValidation type="list" allowBlank="1" showInputMessage="1" showErrorMessage="1" sqref="G40:G52 G31:G37 G24:G28 G16:G21 G8:G13">
      <formula1>ExportControl</formula1>
    </dataValidation>
    <dataValidation type="list" allowBlank="1" showInputMessage="1" showErrorMessage="1" sqref="H8:H13 H16:H21 H24:H28 H31:H37 H40:H52">
      <formula1>YesNoUnk</formula1>
    </dataValidation>
  </dataValidations>
  <hyperlinks>
    <hyperlink ref="B2" location="'3c'!A1" display="Previous Page"/>
    <hyperlink ref="C2:G2" location="'Table of Contents'!A1" display="Table of Contents"/>
    <hyperlink ref="H2" location="'3e'!A1" display="Next Page"/>
  </hyperlinks>
  <printOptions horizontalCentered="1"/>
  <pageMargins left="0.25" right="0.25" top="0.75" bottom="0.75" header="0.3" footer="0.3"/>
  <pageSetup scale="60" orientation="landscape"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71"/>
  <sheetViews>
    <sheetView showGridLines="0" showRowColHeaders="0" workbookViewId="0"/>
  </sheetViews>
  <sheetFormatPr defaultRowHeight="12.75" x14ac:dyDescent="0.25"/>
  <cols>
    <col min="1" max="1" width="9.140625" style="19"/>
    <col min="2" max="2" width="45.7109375" style="19" customWidth="1"/>
    <col min="3" max="4" width="12.85546875" style="19" customWidth="1"/>
    <col min="5" max="5" width="50" style="19" customWidth="1"/>
    <col min="6" max="7" width="13.7109375" style="19" customWidth="1"/>
    <col min="8" max="8" width="29.85546875" style="19" customWidth="1"/>
    <col min="9" max="16384" width="9.140625" style="19"/>
  </cols>
  <sheetData>
    <row r="1" spans="1:8" ht="13.5" thickBot="1" x14ac:dyDescent="0.3"/>
    <row r="2" spans="1:8" x14ac:dyDescent="0.25">
      <c r="A2" s="49"/>
      <c r="B2" s="23" t="s">
        <v>10</v>
      </c>
      <c r="C2" s="405" t="s">
        <v>11</v>
      </c>
      <c r="D2" s="405"/>
      <c r="E2" s="405"/>
      <c r="F2" s="405"/>
      <c r="G2" s="405"/>
      <c r="H2" s="26" t="s">
        <v>0</v>
      </c>
    </row>
    <row r="3" spans="1:8" x14ac:dyDescent="0.25">
      <c r="A3" s="49"/>
      <c r="B3" s="52" t="s">
        <v>371</v>
      </c>
      <c r="C3" s="57"/>
      <c r="D3" s="57"/>
      <c r="E3" s="57"/>
      <c r="F3" s="57"/>
      <c r="G3" s="57"/>
      <c r="H3" s="58"/>
    </row>
    <row r="4" spans="1:8" ht="60" customHeight="1" x14ac:dyDescent="0.25">
      <c r="A4" s="49"/>
      <c r="B4" s="546" t="s">
        <v>235</v>
      </c>
      <c r="C4" s="534"/>
      <c r="D4" s="534"/>
      <c r="E4" s="534"/>
      <c r="F4" s="534"/>
      <c r="G4" s="534"/>
      <c r="H4" s="547"/>
    </row>
    <row r="5" spans="1:8" ht="13.5" thickBot="1" x14ac:dyDescent="0.3">
      <c r="A5" s="49"/>
      <c r="B5" s="97" t="s">
        <v>39</v>
      </c>
      <c r="C5" s="63"/>
      <c r="D5" s="63"/>
      <c r="E5" s="63"/>
      <c r="F5" s="63"/>
      <c r="G5" s="63"/>
      <c r="H5" s="65"/>
    </row>
    <row r="6" spans="1:8" ht="15" customHeight="1" x14ac:dyDescent="0.25">
      <c r="A6" s="49"/>
      <c r="B6" s="381" t="s">
        <v>372</v>
      </c>
      <c r="C6" s="382"/>
      <c r="D6" s="382"/>
      <c r="E6" s="382"/>
      <c r="F6" s="382"/>
      <c r="G6" s="382"/>
      <c r="H6" s="383"/>
    </row>
    <row r="7" spans="1:8" ht="25.5" customHeight="1" x14ac:dyDescent="0.25">
      <c r="A7" s="49"/>
      <c r="B7" s="91"/>
      <c r="C7" s="88" t="s">
        <v>237</v>
      </c>
      <c r="D7" s="89" t="s">
        <v>238</v>
      </c>
      <c r="E7" s="75" t="s">
        <v>239</v>
      </c>
      <c r="F7" s="88" t="s">
        <v>240</v>
      </c>
      <c r="G7" s="88" t="s">
        <v>241</v>
      </c>
      <c r="H7" s="92" t="s">
        <v>242</v>
      </c>
    </row>
    <row r="8" spans="1:8" x14ac:dyDescent="0.25">
      <c r="A8" s="49">
        <f>'3a'!I21</f>
        <v>0</v>
      </c>
      <c r="B8" s="93" t="s">
        <v>373</v>
      </c>
      <c r="C8" s="317"/>
      <c r="D8" s="317"/>
      <c r="E8" s="317"/>
      <c r="F8" s="317"/>
      <c r="G8" s="317"/>
      <c r="H8" s="318"/>
    </row>
    <row r="9" spans="1:8" x14ac:dyDescent="0.25">
      <c r="A9" s="49"/>
      <c r="B9" s="93" t="s">
        <v>374</v>
      </c>
      <c r="C9" s="317"/>
      <c r="D9" s="317"/>
      <c r="E9" s="317"/>
      <c r="F9" s="317"/>
      <c r="G9" s="317"/>
      <c r="H9" s="318"/>
    </row>
    <row r="10" spans="1:8" x14ac:dyDescent="0.25">
      <c r="A10" s="49"/>
      <c r="B10" s="93" t="s">
        <v>375</v>
      </c>
      <c r="C10" s="317"/>
      <c r="D10" s="317"/>
      <c r="E10" s="317"/>
      <c r="F10" s="317"/>
      <c r="G10" s="317"/>
      <c r="H10" s="318"/>
    </row>
    <row r="11" spans="1:8" x14ac:dyDescent="0.25">
      <c r="A11" s="49"/>
      <c r="B11" s="93" t="s">
        <v>376</v>
      </c>
      <c r="C11" s="317"/>
      <c r="D11" s="317"/>
      <c r="E11" s="317"/>
      <c r="F11" s="317"/>
      <c r="G11" s="317"/>
      <c r="H11" s="318"/>
    </row>
    <row r="12" spans="1:8" x14ac:dyDescent="0.25">
      <c r="A12" s="49"/>
      <c r="B12" s="93" t="s">
        <v>377</v>
      </c>
      <c r="C12" s="317"/>
      <c r="D12" s="317"/>
      <c r="E12" s="317"/>
      <c r="F12" s="317"/>
      <c r="G12" s="317"/>
      <c r="H12" s="318"/>
    </row>
    <row r="13" spans="1:8" x14ac:dyDescent="0.25">
      <c r="A13" s="49"/>
      <c r="B13" s="93" t="s">
        <v>378</v>
      </c>
      <c r="C13" s="317"/>
      <c r="D13" s="317"/>
      <c r="E13" s="317"/>
      <c r="F13" s="317"/>
      <c r="G13" s="317"/>
      <c r="H13" s="318"/>
    </row>
    <row r="14" spans="1:8" x14ac:dyDescent="0.25">
      <c r="A14" s="49"/>
      <c r="B14" s="93" t="s">
        <v>379</v>
      </c>
      <c r="C14" s="317"/>
      <c r="D14" s="317"/>
      <c r="E14" s="317"/>
      <c r="F14" s="317"/>
      <c r="G14" s="317"/>
      <c r="H14" s="318"/>
    </row>
    <row r="15" spans="1:8" x14ac:dyDescent="0.25">
      <c r="A15" s="49"/>
      <c r="B15" s="93" t="s">
        <v>380</v>
      </c>
      <c r="C15" s="317"/>
      <c r="D15" s="317"/>
      <c r="E15" s="317"/>
      <c r="F15" s="317"/>
      <c r="G15" s="317"/>
      <c r="H15" s="318"/>
    </row>
    <row r="16" spans="1:8" ht="13.5" thickBot="1" x14ac:dyDescent="0.3">
      <c r="A16" s="49"/>
      <c r="B16" s="93" t="s">
        <v>381</v>
      </c>
      <c r="C16" s="317"/>
      <c r="D16" s="317"/>
      <c r="E16" s="317"/>
      <c r="F16" s="317"/>
      <c r="G16" s="317"/>
      <c r="H16" s="318"/>
    </row>
    <row r="17" spans="1:8" ht="15" customHeight="1" x14ac:dyDescent="0.25">
      <c r="A17" s="49"/>
      <c r="B17" s="381" t="s">
        <v>382</v>
      </c>
      <c r="C17" s="382"/>
      <c r="D17" s="382"/>
      <c r="E17" s="382"/>
      <c r="F17" s="382"/>
      <c r="G17" s="382"/>
      <c r="H17" s="383"/>
    </row>
    <row r="18" spans="1:8" ht="25.5" customHeight="1" x14ac:dyDescent="0.25">
      <c r="A18" s="49"/>
      <c r="B18" s="91"/>
      <c r="C18" s="88" t="s">
        <v>237</v>
      </c>
      <c r="D18" s="89" t="s">
        <v>238</v>
      </c>
      <c r="E18" s="75" t="s">
        <v>239</v>
      </c>
      <c r="F18" s="88" t="s">
        <v>240</v>
      </c>
      <c r="G18" s="88" t="s">
        <v>241</v>
      </c>
      <c r="H18" s="92" t="s">
        <v>242</v>
      </c>
    </row>
    <row r="19" spans="1:8" x14ac:dyDescent="0.25">
      <c r="A19" s="49">
        <f>'3a'!I22</f>
        <v>0</v>
      </c>
      <c r="B19" s="93" t="s">
        <v>383</v>
      </c>
      <c r="C19" s="317"/>
      <c r="D19" s="317"/>
      <c r="E19" s="317"/>
      <c r="F19" s="317"/>
      <c r="G19" s="317"/>
      <c r="H19" s="318"/>
    </row>
    <row r="20" spans="1:8" x14ac:dyDescent="0.25">
      <c r="A20" s="49"/>
      <c r="B20" s="93" t="s">
        <v>384</v>
      </c>
      <c r="C20" s="317"/>
      <c r="D20" s="317"/>
      <c r="E20" s="317"/>
      <c r="F20" s="317"/>
      <c r="G20" s="317"/>
      <c r="H20" s="318"/>
    </row>
    <row r="21" spans="1:8" s="41" customFormat="1" ht="25.5" customHeight="1" x14ac:dyDescent="0.25">
      <c r="A21" s="99"/>
      <c r="B21" s="100" t="s">
        <v>385</v>
      </c>
      <c r="C21" s="317"/>
      <c r="D21" s="317"/>
      <c r="E21" s="317"/>
      <c r="F21" s="317"/>
      <c r="G21" s="317"/>
      <c r="H21" s="318"/>
    </row>
    <row r="22" spans="1:8" x14ac:dyDescent="0.25">
      <c r="A22" s="49"/>
      <c r="B22" s="93" t="s">
        <v>386</v>
      </c>
      <c r="C22" s="317"/>
      <c r="D22" s="317"/>
      <c r="E22" s="317"/>
      <c r="F22" s="317"/>
      <c r="G22" s="317"/>
      <c r="H22" s="318"/>
    </row>
    <row r="23" spans="1:8" s="41" customFormat="1" ht="25.5" customHeight="1" x14ac:dyDescent="0.25">
      <c r="A23" s="99"/>
      <c r="B23" s="100" t="s">
        <v>387</v>
      </c>
      <c r="C23" s="317"/>
      <c r="D23" s="317"/>
      <c r="E23" s="317"/>
      <c r="F23" s="317"/>
      <c r="G23" s="317"/>
      <c r="H23" s="318"/>
    </row>
    <row r="24" spans="1:8" x14ac:dyDescent="0.25">
      <c r="A24" s="49"/>
      <c r="B24" s="93" t="s">
        <v>388</v>
      </c>
      <c r="C24" s="317"/>
      <c r="D24" s="317"/>
      <c r="E24" s="317"/>
      <c r="F24" s="317"/>
      <c r="G24" s="317"/>
      <c r="H24" s="318"/>
    </row>
    <row r="25" spans="1:8" x14ac:dyDescent="0.25">
      <c r="A25" s="49"/>
      <c r="B25" s="93" t="s">
        <v>389</v>
      </c>
      <c r="C25" s="317"/>
      <c r="D25" s="317"/>
      <c r="E25" s="317"/>
      <c r="F25" s="317"/>
      <c r="G25" s="317"/>
      <c r="H25" s="318"/>
    </row>
    <row r="26" spans="1:8" ht="13.5" thickBot="1" x14ac:dyDescent="0.3">
      <c r="A26" s="49"/>
      <c r="B26" s="93" t="s">
        <v>390</v>
      </c>
      <c r="C26" s="317"/>
      <c r="D26" s="317"/>
      <c r="E26" s="317"/>
      <c r="F26" s="317"/>
      <c r="G26" s="317"/>
      <c r="H26" s="318"/>
    </row>
    <row r="27" spans="1:8" ht="15" customHeight="1" x14ac:dyDescent="0.25">
      <c r="A27" s="49"/>
      <c r="B27" s="381" t="s">
        <v>391</v>
      </c>
      <c r="C27" s="382"/>
      <c r="D27" s="382"/>
      <c r="E27" s="382"/>
      <c r="F27" s="382"/>
      <c r="G27" s="382"/>
      <c r="H27" s="383"/>
    </row>
    <row r="28" spans="1:8" ht="25.5" customHeight="1" x14ac:dyDescent="0.25">
      <c r="A28" s="49"/>
      <c r="B28" s="91"/>
      <c r="C28" s="88" t="s">
        <v>237</v>
      </c>
      <c r="D28" s="89" t="s">
        <v>238</v>
      </c>
      <c r="E28" s="75" t="s">
        <v>239</v>
      </c>
      <c r="F28" s="88" t="s">
        <v>240</v>
      </c>
      <c r="G28" s="88" t="s">
        <v>241</v>
      </c>
      <c r="H28" s="92" t="s">
        <v>242</v>
      </c>
    </row>
    <row r="29" spans="1:8" x14ac:dyDescent="0.25">
      <c r="A29" s="49">
        <f>'3a'!I23</f>
        <v>0</v>
      </c>
      <c r="B29" s="93" t="s">
        <v>392</v>
      </c>
      <c r="C29" s="317"/>
      <c r="D29" s="317"/>
      <c r="E29" s="317"/>
      <c r="F29" s="317"/>
      <c r="G29" s="317"/>
      <c r="H29" s="318"/>
    </row>
    <row r="30" spans="1:8" x14ac:dyDescent="0.25">
      <c r="A30" s="49"/>
      <c r="B30" s="93" t="s">
        <v>393</v>
      </c>
      <c r="C30" s="317"/>
      <c r="D30" s="317"/>
      <c r="E30" s="317"/>
      <c r="F30" s="317"/>
      <c r="G30" s="317"/>
      <c r="H30" s="318"/>
    </row>
    <row r="31" spans="1:8" x14ac:dyDescent="0.25">
      <c r="A31" s="49"/>
      <c r="B31" s="93" t="s">
        <v>394</v>
      </c>
      <c r="C31" s="317"/>
      <c r="D31" s="317"/>
      <c r="E31" s="317"/>
      <c r="F31" s="317"/>
      <c r="G31" s="317"/>
      <c r="H31" s="318"/>
    </row>
    <row r="32" spans="1:8" s="41" customFormat="1" ht="25.5" customHeight="1" x14ac:dyDescent="0.25">
      <c r="A32" s="99"/>
      <c r="B32" s="100" t="s">
        <v>395</v>
      </c>
      <c r="C32" s="317"/>
      <c r="D32" s="317"/>
      <c r="E32" s="317"/>
      <c r="F32" s="317"/>
      <c r="G32" s="317"/>
      <c r="H32" s="318"/>
    </row>
    <row r="33" spans="1:8" x14ac:dyDescent="0.25">
      <c r="A33" s="49"/>
      <c r="B33" s="93" t="s">
        <v>396</v>
      </c>
      <c r="C33" s="317"/>
      <c r="D33" s="317"/>
      <c r="E33" s="317"/>
      <c r="F33" s="317"/>
      <c r="G33" s="317"/>
      <c r="H33" s="318"/>
    </row>
    <row r="34" spans="1:8" x14ac:dyDescent="0.25">
      <c r="A34" s="49"/>
      <c r="B34" s="93" t="s">
        <v>397</v>
      </c>
      <c r="C34" s="317"/>
      <c r="D34" s="317"/>
      <c r="E34" s="317"/>
      <c r="F34" s="317"/>
      <c r="G34" s="317"/>
      <c r="H34" s="318"/>
    </row>
    <row r="35" spans="1:8" ht="13.5" thickBot="1" x14ac:dyDescent="0.3">
      <c r="A35" s="49"/>
      <c r="B35" s="93" t="s">
        <v>398</v>
      </c>
      <c r="C35" s="317"/>
      <c r="D35" s="317"/>
      <c r="E35" s="317"/>
      <c r="F35" s="317"/>
      <c r="G35" s="317"/>
      <c r="H35" s="318"/>
    </row>
    <row r="36" spans="1:8" ht="15" customHeight="1" x14ac:dyDescent="0.25">
      <c r="A36" s="49"/>
      <c r="B36" s="381" t="s">
        <v>399</v>
      </c>
      <c r="C36" s="382"/>
      <c r="D36" s="382"/>
      <c r="E36" s="382"/>
      <c r="F36" s="382"/>
      <c r="G36" s="382"/>
      <c r="H36" s="383"/>
    </row>
    <row r="37" spans="1:8" ht="25.5" customHeight="1" x14ac:dyDescent="0.25">
      <c r="A37" s="49"/>
      <c r="B37" s="91"/>
      <c r="C37" s="88" t="s">
        <v>237</v>
      </c>
      <c r="D37" s="89" t="s">
        <v>238</v>
      </c>
      <c r="E37" s="75" t="s">
        <v>239</v>
      </c>
      <c r="F37" s="88" t="s">
        <v>240</v>
      </c>
      <c r="G37" s="88" t="s">
        <v>241</v>
      </c>
      <c r="H37" s="92" t="s">
        <v>242</v>
      </c>
    </row>
    <row r="38" spans="1:8" x14ac:dyDescent="0.25">
      <c r="A38" s="49">
        <f>'3a'!I24</f>
        <v>0</v>
      </c>
      <c r="B38" s="93" t="s">
        <v>400</v>
      </c>
      <c r="C38" s="317"/>
      <c r="D38" s="317"/>
      <c r="E38" s="317"/>
      <c r="F38" s="317"/>
      <c r="G38" s="317"/>
      <c r="H38" s="318"/>
    </row>
    <row r="39" spans="1:8" ht="25.5" customHeight="1" x14ac:dyDescent="0.25">
      <c r="A39" s="49"/>
      <c r="B39" s="100" t="s">
        <v>401</v>
      </c>
      <c r="C39" s="317"/>
      <c r="D39" s="317"/>
      <c r="E39" s="317"/>
      <c r="F39" s="317"/>
      <c r="G39" s="317"/>
      <c r="H39" s="318"/>
    </row>
    <row r="40" spans="1:8" x14ac:dyDescent="0.25">
      <c r="A40" s="49"/>
      <c r="B40" s="93" t="s">
        <v>402</v>
      </c>
      <c r="C40" s="317"/>
      <c r="D40" s="317"/>
      <c r="E40" s="317"/>
      <c r="F40" s="317"/>
      <c r="G40" s="317"/>
      <c r="H40" s="318"/>
    </row>
    <row r="41" spans="1:8" x14ac:dyDescent="0.25">
      <c r="A41" s="49"/>
      <c r="B41" s="93" t="s">
        <v>403</v>
      </c>
      <c r="C41" s="317"/>
      <c r="D41" s="317"/>
      <c r="E41" s="317"/>
      <c r="F41" s="317"/>
      <c r="G41" s="317"/>
      <c r="H41" s="318"/>
    </row>
    <row r="42" spans="1:8" ht="13.5" thickBot="1" x14ac:dyDescent="0.3">
      <c r="A42" s="49"/>
      <c r="B42" s="93" t="s">
        <v>404</v>
      </c>
      <c r="C42" s="317"/>
      <c r="D42" s="317"/>
      <c r="E42" s="317"/>
      <c r="F42" s="317"/>
      <c r="G42" s="317"/>
      <c r="H42" s="318"/>
    </row>
    <row r="43" spans="1:8" ht="15" customHeight="1" x14ac:dyDescent="0.25">
      <c r="A43" s="49"/>
      <c r="B43" s="381" t="s">
        <v>405</v>
      </c>
      <c r="C43" s="382"/>
      <c r="D43" s="382"/>
      <c r="E43" s="382"/>
      <c r="F43" s="382"/>
      <c r="G43" s="382"/>
      <c r="H43" s="383"/>
    </row>
    <row r="44" spans="1:8" ht="25.5" customHeight="1" x14ac:dyDescent="0.25">
      <c r="A44" s="49"/>
      <c r="B44" s="91"/>
      <c r="C44" s="88" t="s">
        <v>237</v>
      </c>
      <c r="D44" s="89" t="s">
        <v>238</v>
      </c>
      <c r="E44" s="75" t="s">
        <v>239</v>
      </c>
      <c r="F44" s="88" t="s">
        <v>240</v>
      </c>
      <c r="G44" s="88" t="s">
        <v>241</v>
      </c>
      <c r="H44" s="92" t="s">
        <v>242</v>
      </c>
    </row>
    <row r="45" spans="1:8" x14ac:dyDescent="0.25">
      <c r="A45" s="49">
        <f>'3a'!I25</f>
        <v>0</v>
      </c>
      <c r="B45" s="93" t="s">
        <v>406</v>
      </c>
      <c r="C45" s="317"/>
      <c r="D45" s="317"/>
      <c r="E45" s="317"/>
      <c r="F45" s="317"/>
      <c r="G45" s="317"/>
      <c r="H45" s="318"/>
    </row>
    <row r="46" spans="1:8" x14ac:dyDescent="0.25">
      <c r="A46" s="49"/>
      <c r="B46" s="93" t="s">
        <v>407</v>
      </c>
      <c r="C46" s="317"/>
      <c r="D46" s="317"/>
      <c r="E46" s="317"/>
      <c r="F46" s="317"/>
      <c r="G46" s="317"/>
      <c r="H46" s="318"/>
    </row>
    <row r="47" spans="1:8" x14ac:dyDescent="0.25">
      <c r="A47" s="49"/>
      <c r="B47" s="93" t="s">
        <v>408</v>
      </c>
      <c r="C47" s="317"/>
      <c r="D47" s="317"/>
      <c r="E47" s="317"/>
      <c r="F47" s="317"/>
      <c r="G47" s="317"/>
      <c r="H47" s="318"/>
    </row>
    <row r="48" spans="1:8" x14ac:dyDescent="0.25">
      <c r="A48" s="49"/>
      <c r="B48" s="93" t="s">
        <v>409</v>
      </c>
      <c r="C48" s="317"/>
      <c r="D48" s="317"/>
      <c r="E48" s="317"/>
      <c r="F48" s="317"/>
      <c r="G48" s="317"/>
      <c r="H48" s="318"/>
    </row>
    <row r="49" spans="1:8" x14ac:dyDescent="0.25">
      <c r="A49" s="49"/>
      <c r="B49" s="93" t="s">
        <v>410</v>
      </c>
      <c r="C49" s="317"/>
      <c r="D49" s="317"/>
      <c r="E49" s="317"/>
      <c r="F49" s="317"/>
      <c r="G49" s="317"/>
      <c r="H49" s="318"/>
    </row>
    <row r="50" spans="1:8" x14ac:dyDescent="0.25">
      <c r="A50" s="49"/>
      <c r="B50" s="93" t="s">
        <v>411</v>
      </c>
      <c r="C50" s="317"/>
      <c r="D50" s="317"/>
      <c r="E50" s="317"/>
      <c r="F50" s="317"/>
      <c r="G50" s="317"/>
      <c r="H50" s="318"/>
    </row>
    <row r="51" spans="1:8" ht="13.5" thickBot="1" x14ac:dyDescent="0.3">
      <c r="A51" s="49"/>
      <c r="B51" s="93" t="s">
        <v>412</v>
      </c>
      <c r="C51" s="317"/>
      <c r="D51" s="317"/>
      <c r="E51" s="317"/>
      <c r="F51" s="317"/>
      <c r="G51" s="317"/>
      <c r="H51" s="318"/>
    </row>
    <row r="52" spans="1:8" ht="15" customHeight="1" x14ac:dyDescent="0.25">
      <c r="A52" s="49"/>
      <c r="B52" s="381" t="s">
        <v>413</v>
      </c>
      <c r="C52" s="382"/>
      <c r="D52" s="382"/>
      <c r="E52" s="382"/>
      <c r="F52" s="382"/>
      <c r="G52" s="382"/>
      <c r="H52" s="383"/>
    </row>
    <row r="53" spans="1:8" ht="25.5" customHeight="1" x14ac:dyDescent="0.25">
      <c r="A53" s="49"/>
      <c r="B53" s="91"/>
      <c r="C53" s="88" t="s">
        <v>237</v>
      </c>
      <c r="D53" s="89" t="s">
        <v>238</v>
      </c>
      <c r="E53" s="75" t="s">
        <v>239</v>
      </c>
      <c r="F53" s="88" t="s">
        <v>240</v>
      </c>
      <c r="G53" s="88" t="s">
        <v>241</v>
      </c>
      <c r="H53" s="92" t="s">
        <v>242</v>
      </c>
    </row>
    <row r="54" spans="1:8" x14ac:dyDescent="0.25">
      <c r="A54" s="49">
        <f>'3a'!I26</f>
        <v>0</v>
      </c>
      <c r="B54" s="93" t="s">
        <v>414</v>
      </c>
      <c r="C54" s="317"/>
      <c r="D54" s="317"/>
      <c r="E54" s="317"/>
      <c r="F54" s="317"/>
      <c r="G54" s="317"/>
      <c r="H54" s="318"/>
    </row>
    <row r="55" spans="1:8" x14ac:dyDescent="0.25">
      <c r="A55" s="49"/>
      <c r="B55" s="93" t="s">
        <v>415</v>
      </c>
      <c r="C55" s="317"/>
      <c r="D55" s="317"/>
      <c r="E55" s="317"/>
      <c r="F55" s="317"/>
      <c r="G55" s="317"/>
      <c r="H55" s="318"/>
    </row>
    <row r="56" spans="1:8" x14ac:dyDescent="0.25">
      <c r="A56" s="49"/>
      <c r="B56" s="93" t="s">
        <v>416</v>
      </c>
      <c r="C56" s="317"/>
      <c r="D56" s="317"/>
      <c r="E56" s="317"/>
      <c r="F56" s="317"/>
      <c r="G56" s="317"/>
      <c r="H56" s="318"/>
    </row>
    <row r="57" spans="1:8" x14ac:dyDescent="0.25">
      <c r="A57" s="49"/>
      <c r="B57" s="93" t="s">
        <v>417</v>
      </c>
      <c r="C57" s="317"/>
      <c r="D57" s="317"/>
      <c r="E57" s="317"/>
      <c r="F57" s="317"/>
      <c r="G57" s="317"/>
      <c r="H57" s="318"/>
    </row>
    <row r="58" spans="1:8" x14ac:dyDescent="0.25">
      <c r="A58" s="49"/>
      <c r="B58" s="93" t="s">
        <v>418</v>
      </c>
      <c r="C58" s="317"/>
      <c r="D58" s="317"/>
      <c r="E58" s="317"/>
      <c r="F58" s="317"/>
      <c r="G58" s="317"/>
      <c r="H58" s="318"/>
    </row>
    <row r="59" spans="1:8" ht="13.5" thickBot="1" x14ac:dyDescent="0.3">
      <c r="A59" s="49"/>
      <c r="B59" s="93" t="s">
        <v>419</v>
      </c>
      <c r="C59" s="317"/>
      <c r="D59" s="317"/>
      <c r="E59" s="317"/>
      <c r="F59" s="317"/>
      <c r="G59" s="317"/>
      <c r="H59" s="318"/>
    </row>
    <row r="60" spans="1:8" ht="15" customHeight="1" x14ac:dyDescent="0.25">
      <c r="A60" s="49"/>
      <c r="B60" s="381" t="s">
        <v>420</v>
      </c>
      <c r="C60" s="382"/>
      <c r="D60" s="382"/>
      <c r="E60" s="382"/>
      <c r="F60" s="382"/>
      <c r="G60" s="382"/>
      <c r="H60" s="383"/>
    </row>
    <row r="61" spans="1:8" ht="25.5" customHeight="1" x14ac:dyDescent="0.25">
      <c r="A61" s="49"/>
      <c r="B61" s="91"/>
      <c r="C61" s="88" t="s">
        <v>237</v>
      </c>
      <c r="D61" s="89" t="s">
        <v>238</v>
      </c>
      <c r="E61" s="75" t="s">
        <v>239</v>
      </c>
      <c r="F61" s="88" t="s">
        <v>240</v>
      </c>
      <c r="G61" s="88" t="s">
        <v>241</v>
      </c>
      <c r="H61" s="92" t="s">
        <v>242</v>
      </c>
    </row>
    <row r="62" spans="1:8" x14ac:dyDescent="0.25">
      <c r="A62" s="49">
        <f>'3a'!I27</f>
        <v>0</v>
      </c>
      <c r="B62" s="93" t="s">
        <v>421</v>
      </c>
      <c r="C62" s="317"/>
      <c r="D62" s="317"/>
      <c r="E62" s="317"/>
      <c r="F62" s="317"/>
      <c r="G62" s="317"/>
      <c r="H62" s="318"/>
    </row>
    <row r="63" spans="1:8" x14ac:dyDescent="0.25">
      <c r="A63" s="49"/>
      <c r="B63" s="93" t="s">
        <v>422</v>
      </c>
      <c r="C63" s="317"/>
      <c r="D63" s="317"/>
      <c r="E63" s="317"/>
      <c r="F63" s="317"/>
      <c r="G63" s="317"/>
      <c r="H63" s="318"/>
    </row>
    <row r="64" spans="1:8" x14ac:dyDescent="0.25">
      <c r="A64" s="49"/>
      <c r="B64" s="93" t="s">
        <v>423</v>
      </c>
      <c r="C64" s="317"/>
      <c r="D64" s="317"/>
      <c r="E64" s="317"/>
      <c r="F64" s="317"/>
      <c r="G64" s="317"/>
      <c r="H64" s="318"/>
    </row>
    <row r="65" spans="1:8" x14ac:dyDescent="0.25">
      <c r="A65" s="49"/>
      <c r="B65" s="93" t="s">
        <v>424</v>
      </c>
      <c r="C65" s="317"/>
      <c r="D65" s="317"/>
      <c r="E65" s="317"/>
      <c r="F65" s="317"/>
      <c r="G65" s="317"/>
      <c r="H65" s="318"/>
    </row>
    <row r="66" spans="1:8" x14ac:dyDescent="0.25">
      <c r="A66" s="49"/>
      <c r="B66" s="93" t="s">
        <v>425</v>
      </c>
      <c r="C66" s="317"/>
      <c r="D66" s="317"/>
      <c r="E66" s="317"/>
      <c r="F66" s="317"/>
      <c r="G66" s="317"/>
      <c r="H66" s="318"/>
    </row>
    <row r="67" spans="1:8" x14ac:dyDescent="0.25">
      <c r="A67" s="49"/>
      <c r="B67" s="93" t="s">
        <v>426</v>
      </c>
      <c r="C67" s="317"/>
      <c r="D67" s="317"/>
      <c r="E67" s="317"/>
      <c r="F67" s="317"/>
      <c r="G67" s="317"/>
      <c r="H67" s="318"/>
    </row>
    <row r="68" spans="1:8" ht="13.5" thickBot="1" x14ac:dyDescent="0.3">
      <c r="A68" s="49"/>
      <c r="B68" s="93" t="s">
        <v>427</v>
      </c>
      <c r="C68" s="317"/>
      <c r="D68" s="317"/>
      <c r="E68" s="317"/>
      <c r="F68" s="317"/>
      <c r="G68" s="317"/>
      <c r="H68" s="318"/>
    </row>
    <row r="69" spans="1:8" ht="30" customHeight="1" x14ac:dyDescent="0.25">
      <c r="A69" s="49"/>
      <c r="B69" s="90" t="s">
        <v>94</v>
      </c>
      <c r="C69" s="537"/>
      <c r="D69" s="538"/>
      <c r="E69" s="538"/>
      <c r="F69" s="538"/>
      <c r="G69" s="538"/>
      <c r="H69" s="539"/>
    </row>
    <row r="70" spans="1:8" x14ac:dyDescent="0.25">
      <c r="A70" s="49"/>
      <c r="B70" s="36"/>
      <c r="C70" s="28"/>
      <c r="D70" s="28"/>
      <c r="E70" s="28"/>
      <c r="F70" s="28"/>
      <c r="G70" s="28"/>
      <c r="H70" s="29"/>
    </row>
    <row r="71" spans="1:8" ht="13.5" thickBot="1" x14ac:dyDescent="0.3">
      <c r="A71" s="49"/>
      <c r="B71" s="390" t="s">
        <v>9</v>
      </c>
      <c r="C71" s="391"/>
      <c r="D71" s="391"/>
      <c r="E71" s="391"/>
      <c r="F71" s="391"/>
      <c r="G71" s="391"/>
      <c r="H71" s="392"/>
    </row>
  </sheetData>
  <sheetProtection password="C288" sheet="1"/>
  <mergeCells count="11">
    <mergeCell ref="C2:G2"/>
    <mergeCell ref="B4:H4"/>
    <mergeCell ref="B6:H6"/>
    <mergeCell ref="C69:H69"/>
    <mergeCell ref="B71:H71"/>
    <mergeCell ref="B17:H17"/>
    <mergeCell ref="B27:H27"/>
    <mergeCell ref="B36:H36"/>
    <mergeCell ref="B43:H43"/>
    <mergeCell ref="B52:H52"/>
    <mergeCell ref="B60:H60"/>
  </mergeCells>
  <conditionalFormatting sqref="C8:H16">
    <cfRule type="expression" dxfId="11" priority="7" stopIfTrue="1">
      <formula>$A$8="Yes"</formula>
    </cfRule>
  </conditionalFormatting>
  <conditionalFormatting sqref="C19:H26">
    <cfRule type="expression" dxfId="10" priority="6" stopIfTrue="1">
      <formula>$A$19="Yes"</formula>
    </cfRule>
  </conditionalFormatting>
  <conditionalFormatting sqref="C29:H35">
    <cfRule type="expression" dxfId="9" priority="5" stopIfTrue="1">
      <formula>$A$29="Yes"</formula>
    </cfRule>
  </conditionalFormatting>
  <conditionalFormatting sqref="C38:H42">
    <cfRule type="expression" dxfId="8" priority="4" stopIfTrue="1">
      <formula>$A$38="Yes"</formula>
    </cfRule>
  </conditionalFormatting>
  <conditionalFormatting sqref="C45:H51">
    <cfRule type="expression" dxfId="7" priority="3" stopIfTrue="1">
      <formula>$A$45="Yes"</formula>
    </cfRule>
  </conditionalFormatting>
  <conditionalFormatting sqref="C54:H59">
    <cfRule type="expression" dxfId="6" priority="2" stopIfTrue="1">
      <formula>$A$54="Yes"</formula>
    </cfRule>
  </conditionalFormatting>
  <conditionalFormatting sqref="C62:H68">
    <cfRule type="expression" dxfId="5" priority="1" stopIfTrue="1">
      <formula>$A$62="Yes"</formula>
    </cfRule>
  </conditionalFormatting>
  <dataValidations count="5">
    <dataValidation type="list" allowBlank="1" showInputMessage="1" showErrorMessage="1" sqref="C8:C16 C19:C26 C29:C35 C38:C42 C45:C51 C54:C59 C61:C68 C61">
      <formula1>Participation</formula1>
    </dataValidation>
    <dataValidation type="list" allowBlank="1" showInputMessage="1" showErrorMessage="1" sqref="D62:D68 D54:D59 D45:D51 D38:D42 D29:D35 D19:D26">
      <formula1>YesNo</formula1>
    </dataValidation>
    <dataValidation type="list" allowBlank="1" showInputMessage="1" showErrorMessage="1" sqref="F19:F26 F29:F35 F38:F42 F46:F51 F45 F54:F59 F62:F68">
      <formula1>EndUse</formula1>
    </dataValidation>
    <dataValidation type="list" allowBlank="1" showInputMessage="1" showErrorMessage="1" sqref="G62:G68 G54:G59 G45:G51 G38:G42 G29:G35 G19:G26 G9:G15 G16 G8">
      <formula1>ExportControl</formula1>
    </dataValidation>
    <dataValidation type="list" allowBlank="1" showInputMessage="1" showErrorMessage="1" sqref="H8:H16 H19:H26 H29:H35 H38:H42 H45:H51 H54:H59 H62:H68">
      <formula1>YesNoUnk</formula1>
    </dataValidation>
  </dataValidations>
  <hyperlinks>
    <hyperlink ref="B2" location="'3d'!A1" display="Previous Page"/>
    <hyperlink ref="C2:G2" location="'Table of Contents'!A1" display="Table of Contents"/>
    <hyperlink ref="H2" location="'3f'!A1" display="Next Page"/>
  </hyperlinks>
  <printOptions horizontalCentered="1"/>
  <pageMargins left="0.25" right="0.25" top="0.75" bottom="0.75" header="0.3" footer="0.3"/>
  <pageSetup scale="47" orientation="landscape" verticalDpi="12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63"/>
  <sheetViews>
    <sheetView showGridLines="0" showRowColHeaders="0" workbookViewId="0"/>
  </sheetViews>
  <sheetFormatPr defaultRowHeight="12.75" x14ac:dyDescent="0.25"/>
  <cols>
    <col min="1" max="1" width="9.140625" style="19"/>
    <col min="2" max="2" width="45.7109375" style="19" customWidth="1"/>
    <col min="3" max="4" width="12.85546875" style="19" customWidth="1"/>
    <col min="5" max="5" width="50" style="19" customWidth="1"/>
    <col min="6" max="7" width="13.7109375" style="19" customWidth="1"/>
    <col min="8" max="8" width="29.85546875" style="19" customWidth="1"/>
    <col min="9" max="16384" width="9.140625" style="19"/>
  </cols>
  <sheetData>
    <row r="1" spans="1:8" ht="13.5" thickBot="1" x14ac:dyDescent="0.3"/>
    <row r="2" spans="1:8" x14ac:dyDescent="0.25">
      <c r="A2" s="49"/>
      <c r="B2" s="23" t="s">
        <v>10</v>
      </c>
      <c r="C2" s="405" t="s">
        <v>11</v>
      </c>
      <c r="D2" s="405"/>
      <c r="E2" s="405"/>
      <c r="F2" s="405"/>
      <c r="G2" s="405"/>
      <c r="H2" s="26" t="s">
        <v>0</v>
      </c>
    </row>
    <row r="3" spans="1:8" x14ac:dyDescent="0.25">
      <c r="A3" s="49"/>
      <c r="B3" s="52" t="s">
        <v>428</v>
      </c>
      <c r="C3" s="57"/>
      <c r="D3" s="57"/>
      <c r="E3" s="57"/>
      <c r="F3" s="57"/>
      <c r="G3" s="57"/>
      <c r="H3" s="58"/>
    </row>
    <row r="4" spans="1:8" ht="60" customHeight="1" x14ac:dyDescent="0.25">
      <c r="A4" s="49"/>
      <c r="B4" s="546" t="s">
        <v>235</v>
      </c>
      <c r="C4" s="534"/>
      <c r="D4" s="534"/>
      <c r="E4" s="534"/>
      <c r="F4" s="534"/>
      <c r="G4" s="534"/>
      <c r="H4" s="547"/>
    </row>
    <row r="5" spans="1:8" ht="13.5" thickBot="1" x14ac:dyDescent="0.3">
      <c r="A5" s="49"/>
      <c r="B5" s="97" t="s">
        <v>39</v>
      </c>
      <c r="C5" s="63"/>
      <c r="D5" s="63"/>
      <c r="E5" s="63"/>
      <c r="F5" s="63"/>
      <c r="G5" s="63"/>
      <c r="H5" s="65"/>
    </row>
    <row r="6" spans="1:8" ht="15" customHeight="1" x14ac:dyDescent="0.25">
      <c r="A6" s="49"/>
      <c r="B6" s="381" t="s">
        <v>429</v>
      </c>
      <c r="C6" s="382"/>
      <c r="D6" s="382"/>
      <c r="E6" s="382"/>
      <c r="F6" s="382"/>
      <c r="G6" s="382"/>
      <c r="H6" s="383"/>
    </row>
    <row r="7" spans="1:8" ht="25.5" customHeight="1" x14ac:dyDescent="0.25">
      <c r="A7" s="49"/>
      <c r="B7" s="91"/>
      <c r="C7" s="88" t="s">
        <v>237</v>
      </c>
      <c r="D7" s="89" t="s">
        <v>238</v>
      </c>
      <c r="E7" s="75" t="s">
        <v>239</v>
      </c>
      <c r="F7" s="88" t="s">
        <v>240</v>
      </c>
      <c r="G7" s="88" t="s">
        <v>241</v>
      </c>
      <c r="H7" s="92" t="s">
        <v>242</v>
      </c>
    </row>
    <row r="8" spans="1:8" x14ac:dyDescent="0.25">
      <c r="A8" s="49">
        <f>'3a'!I28</f>
        <v>0</v>
      </c>
      <c r="B8" s="93" t="s">
        <v>430</v>
      </c>
      <c r="C8" s="317"/>
      <c r="D8" s="317"/>
      <c r="E8" s="317"/>
      <c r="F8" s="317"/>
      <c r="G8" s="317"/>
      <c r="H8" s="318"/>
    </row>
    <row r="9" spans="1:8" x14ac:dyDescent="0.25">
      <c r="A9" s="49"/>
      <c r="B9" s="93" t="s">
        <v>431</v>
      </c>
      <c r="C9" s="317"/>
      <c r="D9" s="317"/>
      <c r="E9" s="317"/>
      <c r="F9" s="317"/>
      <c r="G9" s="317"/>
      <c r="H9" s="318"/>
    </row>
    <row r="10" spans="1:8" x14ac:dyDescent="0.25">
      <c r="A10" s="49"/>
      <c r="B10" s="93" t="s">
        <v>432</v>
      </c>
      <c r="C10" s="317"/>
      <c r="D10" s="317"/>
      <c r="E10" s="317"/>
      <c r="F10" s="317"/>
      <c r="G10" s="317"/>
      <c r="H10" s="318"/>
    </row>
    <row r="11" spans="1:8" s="40" customFormat="1" ht="25.5" customHeight="1" x14ac:dyDescent="0.25">
      <c r="A11" s="98"/>
      <c r="B11" s="94" t="s">
        <v>433</v>
      </c>
      <c r="C11" s="317"/>
      <c r="D11" s="317"/>
      <c r="E11" s="317"/>
      <c r="F11" s="317"/>
      <c r="G11" s="317"/>
      <c r="H11" s="318"/>
    </row>
    <row r="12" spans="1:8" x14ac:dyDescent="0.25">
      <c r="A12" s="49"/>
      <c r="B12" s="93" t="s">
        <v>434</v>
      </c>
      <c r="C12" s="317"/>
      <c r="D12" s="317"/>
      <c r="E12" s="317"/>
      <c r="F12" s="317"/>
      <c r="G12" s="317"/>
      <c r="H12" s="318"/>
    </row>
    <row r="13" spans="1:8" x14ac:dyDescent="0.25">
      <c r="A13" s="49"/>
      <c r="B13" s="93" t="s">
        <v>435</v>
      </c>
      <c r="C13" s="317"/>
      <c r="D13" s="317"/>
      <c r="E13" s="317"/>
      <c r="F13" s="317"/>
      <c r="G13" s="317"/>
      <c r="H13" s="318"/>
    </row>
    <row r="14" spans="1:8" x14ac:dyDescent="0.25">
      <c r="A14" s="49"/>
      <c r="B14" s="93" t="s">
        <v>436</v>
      </c>
      <c r="C14" s="317"/>
      <c r="D14" s="317"/>
      <c r="E14" s="317"/>
      <c r="F14" s="317"/>
      <c r="G14" s="317"/>
      <c r="H14" s="318"/>
    </row>
    <row r="15" spans="1:8" x14ac:dyDescent="0.25">
      <c r="A15" s="49"/>
      <c r="B15" s="93" t="s">
        <v>437</v>
      </c>
      <c r="C15" s="317"/>
      <c r="D15" s="317"/>
      <c r="E15" s="317"/>
      <c r="F15" s="317"/>
      <c r="G15" s="317"/>
      <c r="H15" s="318"/>
    </row>
    <row r="16" spans="1:8" x14ac:dyDescent="0.25">
      <c r="A16" s="49"/>
      <c r="B16" s="93" t="s">
        <v>438</v>
      </c>
      <c r="C16" s="317"/>
      <c r="D16" s="317"/>
      <c r="E16" s="317"/>
      <c r="F16" s="317"/>
      <c r="G16" s="317"/>
      <c r="H16" s="318"/>
    </row>
    <row r="17" spans="1:8" ht="13.5" thickBot="1" x14ac:dyDescent="0.3">
      <c r="A17" s="49"/>
      <c r="B17" s="93" t="s">
        <v>439</v>
      </c>
      <c r="C17" s="317"/>
      <c r="D17" s="317"/>
      <c r="E17" s="317"/>
      <c r="F17" s="317"/>
      <c r="G17" s="317"/>
      <c r="H17" s="318"/>
    </row>
    <row r="18" spans="1:8" ht="15" customHeight="1" x14ac:dyDescent="0.25">
      <c r="A18" s="49"/>
      <c r="B18" s="381" t="s">
        <v>440</v>
      </c>
      <c r="C18" s="382"/>
      <c r="D18" s="382"/>
      <c r="E18" s="382"/>
      <c r="F18" s="382"/>
      <c r="G18" s="382"/>
      <c r="H18" s="383"/>
    </row>
    <row r="19" spans="1:8" ht="25.5" customHeight="1" x14ac:dyDescent="0.25">
      <c r="A19" s="49"/>
      <c r="B19" s="91"/>
      <c r="C19" s="88" t="s">
        <v>237</v>
      </c>
      <c r="D19" s="89" t="s">
        <v>238</v>
      </c>
      <c r="E19" s="75" t="s">
        <v>239</v>
      </c>
      <c r="F19" s="88" t="s">
        <v>240</v>
      </c>
      <c r="G19" s="88" t="s">
        <v>241</v>
      </c>
      <c r="H19" s="92" t="s">
        <v>242</v>
      </c>
    </row>
    <row r="20" spans="1:8" x14ac:dyDescent="0.25">
      <c r="A20" s="49">
        <f>'3a'!I29</f>
        <v>0</v>
      </c>
      <c r="B20" s="93" t="s">
        <v>441</v>
      </c>
      <c r="C20" s="317"/>
      <c r="D20" s="317"/>
      <c r="E20" s="317"/>
      <c r="F20" s="317"/>
      <c r="G20" s="317"/>
      <c r="H20" s="318"/>
    </row>
    <row r="21" spans="1:8" x14ac:dyDescent="0.25">
      <c r="A21" s="49"/>
      <c r="B21" s="93" t="s">
        <v>442</v>
      </c>
      <c r="C21" s="317"/>
      <c r="D21" s="317"/>
      <c r="E21" s="317"/>
      <c r="F21" s="317"/>
      <c r="G21" s="317"/>
      <c r="H21" s="318"/>
    </row>
    <row r="22" spans="1:8" x14ac:dyDescent="0.25">
      <c r="A22" s="49"/>
      <c r="B22" s="93" t="s">
        <v>443</v>
      </c>
      <c r="C22" s="317"/>
      <c r="D22" s="317"/>
      <c r="E22" s="317"/>
      <c r="F22" s="317"/>
      <c r="G22" s="317"/>
      <c r="H22" s="318"/>
    </row>
    <row r="23" spans="1:8" x14ac:dyDescent="0.25">
      <c r="A23" s="49"/>
      <c r="B23" s="93" t="s">
        <v>444</v>
      </c>
      <c r="C23" s="317"/>
      <c r="D23" s="317"/>
      <c r="E23" s="317"/>
      <c r="F23" s="317"/>
      <c r="G23" s="317"/>
      <c r="H23" s="318"/>
    </row>
    <row r="24" spans="1:8" x14ac:dyDescent="0.25">
      <c r="A24" s="49"/>
      <c r="B24" s="93" t="s">
        <v>445</v>
      </c>
      <c r="C24" s="317"/>
      <c r="D24" s="317"/>
      <c r="E24" s="317"/>
      <c r="F24" s="317"/>
      <c r="G24" s="317"/>
      <c r="H24" s="318"/>
    </row>
    <row r="25" spans="1:8" x14ac:dyDescent="0.25">
      <c r="A25" s="49"/>
      <c r="B25" s="93" t="s">
        <v>446</v>
      </c>
      <c r="C25" s="317"/>
      <c r="D25" s="317"/>
      <c r="E25" s="317"/>
      <c r="F25" s="317"/>
      <c r="G25" s="317"/>
      <c r="H25" s="318"/>
    </row>
    <row r="26" spans="1:8" x14ac:dyDescent="0.25">
      <c r="A26" s="49"/>
      <c r="B26" s="93" t="s">
        <v>447</v>
      </c>
      <c r="C26" s="317"/>
      <c r="D26" s="317"/>
      <c r="E26" s="317"/>
      <c r="F26" s="317"/>
      <c r="G26" s="317"/>
      <c r="H26" s="318"/>
    </row>
    <row r="27" spans="1:8" x14ac:dyDescent="0.25">
      <c r="A27" s="49"/>
      <c r="B27" s="93" t="s">
        <v>448</v>
      </c>
      <c r="C27" s="317"/>
      <c r="D27" s="317"/>
      <c r="E27" s="317"/>
      <c r="F27" s="317"/>
      <c r="G27" s="317"/>
      <c r="H27" s="318"/>
    </row>
    <row r="28" spans="1:8" x14ac:dyDescent="0.25">
      <c r="A28" s="49"/>
      <c r="B28" s="93" t="s">
        <v>449</v>
      </c>
      <c r="C28" s="317"/>
      <c r="D28" s="317"/>
      <c r="E28" s="317"/>
      <c r="F28" s="317"/>
      <c r="G28" s="317"/>
      <c r="H28" s="318"/>
    </row>
    <row r="29" spans="1:8" x14ac:dyDescent="0.25">
      <c r="A29" s="49"/>
      <c r="B29" s="93" t="s">
        <v>450</v>
      </c>
      <c r="C29" s="317"/>
      <c r="D29" s="317"/>
      <c r="E29" s="317"/>
      <c r="F29" s="317"/>
      <c r="G29" s="317"/>
      <c r="H29" s="318"/>
    </row>
    <row r="30" spans="1:8" x14ac:dyDescent="0.25">
      <c r="A30" s="49"/>
      <c r="B30" s="93" t="s">
        <v>451</v>
      </c>
      <c r="C30" s="317"/>
      <c r="D30" s="317"/>
      <c r="E30" s="317"/>
      <c r="F30" s="317"/>
      <c r="G30" s="317"/>
      <c r="H30" s="318"/>
    </row>
    <row r="31" spans="1:8" x14ac:dyDescent="0.25">
      <c r="A31" s="49"/>
      <c r="B31" s="93" t="s">
        <v>452</v>
      </c>
      <c r="C31" s="317"/>
      <c r="D31" s="317"/>
      <c r="E31" s="317"/>
      <c r="F31" s="317"/>
      <c r="G31" s="317"/>
      <c r="H31" s="318"/>
    </row>
    <row r="32" spans="1:8" ht="13.5" thickBot="1" x14ac:dyDescent="0.3">
      <c r="A32" s="49"/>
      <c r="B32" s="93" t="s">
        <v>453</v>
      </c>
      <c r="C32" s="317"/>
      <c r="D32" s="317"/>
      <c r="E32" s="317"/>
      <c r="F32" s="317"/>
      <c r="G32" s="317"/>
      <c r="H32" s="318"/>
    </row>
    <row r="33" spans="1:8" ht="15" customHeight="1" x14ac:dyDescent="0.25">
      <c r="A33" s="49"/>
      <c r="B33" s="381" t="s">
        <v>454</v>
      </c>
      <c r="C33" s="382"/>
      <c r="D33" s="382"/>
      <c r="E33" s="382"/>
      <c r="F33" s="382"/>
      <c r="G33" s="382"/>
      <c r="H33" s="383"/>
    </row>
    <row r="34" spans="1:8" ht="25.5" customHeight="1" x14ac:dyDescent="0.25">
      <c r="A34" s="49"/>
      <c r="B34" s="91"/>
      <c r="C34" s="88" t="s">
        <v>237</v>
      </c>
      <c r="D34" s="89" t="s">
        <v>238</v>
      </c>
      <c r="E34" s="75" t="s">
        <v>239</v>
      </c>
      <c r="F34" s="88" t="s">
        <v>240</v>
      </c>
      <c r="G34" s="88" t="s">
        <v>241</v>
      </c>
      <c r="H34" s="92" t="s">
        <v>242</v>
      </c>
    </row>
    <row r="35" spans="1:8" x14ac:dyDescent="0.25">
      <c r="A35" s="49">
        <f>'3a'!I30</f>
        <v>0</v>
      </c>
      <c r="B35" s="93" t="s">
        <v>455</v>
      </c>
      <c r="C35" s="317"/>
      <c r="D35" s="317"/>
      <c r="E35" s="317"/>
      <c r="F35" s="317"/>
      <c r="G35" s="317"/>
      <c r="H35" s="318"/>
    </row>
    <row r="36" spans="1:8" x14ac:dyDescent="0.25">
      <c r="A36" s="49"/>
      <c r="B36" s="93" t="s">
        <v>456</v>
      </c>
      <c r="C36" s="317"/>
      <c r="D36" s="317"/>
      <c r="E36" s="317"/>
      <c r="F36" s="317"/>
      <c r="G36" s="317"/>
      <c r="H36" s="318"/>
    </row>
    <row r="37" spans="1:8" x14ac:dyDescent="0.25">
      <c r="A37" s="49"/>
      <c r="B37" s="93" t="s">
        <v>457</v>
      </c>
      <c r="C37" s="317"/>
      <c r="D37" s="317"/>
      <c r="E37" s="317"/>
      <c r="F37" s="317"/>
      <c r="G37" s="317"/>
      <c r="H37" s="318"/>
    </row>
    <row r="38" spans="1:8" x14ac:dyDescent="0.25">
      <c r="A38" s="49"/>
      <c r="B38" s="93" t="s">
        <v>458</v>
      </c>
      <c r="C38" s="317"/>
      <c r="D38" s="317"/>
      <c r="E38" s="317"/>
      <c r="F38" s="317"/>
      <c r="G38" s="317"/>
      <c r="H38" s="318"/>
    </row>
    <row r="39" spans="1:8" x14ac:dyDescent="0.25">
      <c r="A39" s="49"/>
      <c r="B39" s="93" t="s">
        <v>459</v>
      </c>
      <c r="C39" s="317"/>
      <c r="D39" s="317"/>
      <c r="E39" s="317"/>
      <c r="F39" s="317"/>
      <c r="G39" s="317"/>
      <c r="H39" s="318"/>
    </row>
    <row r="40" spans="1:8" x14ac:dyDescent="0.25">
      <c r="A40" s="49"/>
      <c r="B40" s="93" t="s">
        <v>460</v>
      </c>
      <c r="C40" s="317"/>
      <c r="D40" s="317"/>
      <c r="E40" s="317"/>
      <c r="F40" s="317"/>
      <c r="G40" s="317"/>
      <c r="H40" s="318"/>
    </row>
    <row r="41" spans="1:8" x14ac:dyDescent="0.25">
      <c r="A41" s="49"/>
      <c r="B41" s="93" t="s">
        <v>461</v>
      </c>
      <c r="C41" s="317"/>
      <c r="D41" s="317"/>
      <c r="E41" s="317"/>
      <c r="F41" s="317"/>
      <c r="G41" s="317"/>
      <c r="H41" s="318"/>
    </row>
    <row r="42" spans="1:8" x14ac:dyDescent="0.25">
      <c r="A42" s="49"/>
      <c r="B42" s="93" t="s">
        <v>462</v>
      </c>
      <c r="C42" s="317"/>
      <c r="D42" s="317"/>
      <c r="E42" s="317"/>
      <c r="F42" s="317"/>
      <c r="G42" s="317"/>
      <c r="H42" s="318"/>
    </row>
    <row r="43" spans="1:8" x14ac:dyDescent="0.25">
      <c r="A43" s="49"/>
      <c r="B43" s="93" t="s">
        <v>463</v>
      </c>
      <c r="C43" s="317"/>
      <c r="D43" s="317"/>
      <c r="E43" s="317"/>
      <c r="F43" s="317"/>
      <c r="G43" s="317"/>
      <c r="H43" s="318"/>
    </row>
    <row r="44" spans="1:8" x14ac:dyDescent="0.25">
      <c r="A44" s="49"/>
      <c r="B44" s="93" t="s">
        <v>464</v>
      </c>
      <c r="C44" s="317"/>
      <c r="D44" s="317"/>
      <c r="E44" s="317"/>
      <c r="F44" s="317"/>
      <c r="G44" s="317"/>
      <c r="H44" s="318"/>
    </row>
    <row r="45" spans="1:8" x14ac:dyDescent="0.25">
      <c r="A45" s="49"/>
      <c r="B45" s="93" t="s">
        <v>465</v>
      </c>
      <c r="C45" s="317"/>
      <c r="D45" s="317"/>
      <c r="E45" s="317"/>
      <c r="F45" s="317"/>
      <c r="G45" s="317"/>
      <c r="H45" s="318"/>
    </row>
    <row r="46" spans="1:8" x14ac:dyDescent="0.25">
      <c r="A46" s="49"/>
      <c r="B46" s="93" t="s">
        <v>466</v>
      </c>
      <c r="C46" s="317"/>
      <c r="D46" s="317"/>
      <c r="E46" s="317"/>
      <c r="F46" s="317"/>
      <c r="G46" s="317"/>
      <c r="H46" s="318"/>
    </row>
    <row r="47" spans="1:8" x14ac:dyDescent="0.25">
      <c r="A47" s="49"/>
      <c r="B47" s="93" t="s">
        <v>467</v>
      </c>
      <c r="C47" s="317"/>
      <c r="D47" s="317"/>
      <c r="E47" s="317"/>
      <c r="F47" s="317"/>
      <c r="G47" s="317"/>
      <c r="H47" s="318"/>
    </row>
    <row r="48" spans="1:8" x14ac:dyDescent="0.25">
      <c r="A48" s="49"/>
      <c r="B48" s="93" t="s">
        <v>468</v>
      </c>
      <c r="C48" s="317"/>
      <c r="D48" s="317"/>
      <c r="E48" s="317"/>
      <c r="F48" s="317"/>
      <c r="G48" s="317"/>
      <c r="H48" s="318"/>
    </row>
    <row r="49" spans="1:8" x14ac:dyDescent="0.25">
      <c r="A49" s="49"/>
      <c r="B49" s="93" t="s">
        <v>469</v>
      </c>
      <c r="C49" s="317"/>
      <c r="D49" s="317"/>
      <c r="E49" s="317"/>
      <c r="F49" s="317"/>
      <c r="G49" s="317"/>
      <c r="H49" s="318"/>
    </row>
    <row r="50" spans="1:8" x14ac:dyDescent="0.25">
      <c r="A50" s="49"/>
      <c r="B50" s="93" t="s">
        <v>470</v>
      </c>
      <c r="C50" s="317"/>
      <c r="D50" s="317"/>
      <c r="E50" s="317"/>
      <c r="F50" s="317"/>
      <c r="G50" s="317"/>
      <c r="H50" s="318"/>
    </row>
    <row r="51" spans="1:8" x14ac:dyDescent="0.25">
      <c r="A51" s="49"/>
      <c r="B51" s="93" t="s">
        <v>471</v>
      </c>
      <c r="C51" s="317"/>
      <c r="D51" s="317"/>
      <c r="E51" s="317"/>
      <c r="F51" s="317"/>
      <c r="G51" s="317"/>
      <c r="H51" s="318"/>
    </row>
    <row r="52" spans="1:8" x14ac:dyDescent="0.25">
      <c r="A52" s="49"/>
      <c r="B52" s="93" t="s">
        <v>472</v>
      </c>
      <c r="C52" s="317"/>
      <c r="D52" s="317"/>
      <c r="E52" s="317"/>
      <c r="F52" s="317"/>
      <c r="G52" s="317"/>
      <c r="H52" s="318"/>
    </row>
    <row r="53" spans="1:8" x14ac:dyDescent="0.25">
      <c r="A53" s="49"/>
      <c r="B53" s="93" t="s">
        <v>473</v>
      </c>
      <c r="C53" s="317"/>
      <c r="D53" s="317"/>
      <c r="E53" s="317"/>
      <c r="F53" s="317"/>
      <c r="G53" s="317"/>
      <c r="H53" s="318"/>
    </row>
    <row r="54" spans="1:8" x14ac:dyDescent="0.25">
      <c r="A54" s="49"/>
      <c r="B54" s="93" t="s">
        <v>474</v>
      </c>
      <c r="C54" s="317"/>
      <c r="D54" s="317"/>
      <c r="E54" s="317"/>
      <c r="F54" s="317"/>
      <c r="G54" s="317"/>
      <c r="H54" s="318"/>
    </row>
    <row r="55" spans="1:8" x14ac:dyDescent="0.25">
      <c r="A55" s="49"/>
      <c r="B55" s="93" t="s">
        <v>475</v>
      </c>
      <c r="C55" s="317"/>
      <c r="D55" s="317"/>
      <c r="E55" s="317"/>
      <c r="F55" s="317"/>
      <c r="G55" s="317"/>
      <c r="H55" s="318"/>
    </row>
    <row r="56" spans="1:8" x14ac:dyDescent="0.25">
      <c r="A56" s="49"/>
      <c r="B56" s="93" t="s">
        <v>476</v>
      </c>
      <c r="C56" s="317"/>
      <c r="D56" s="317"/>
      <c r="E56" s="317"/>
      <c r="F56" s="317"/>
      <c r="G56" s="317"/>
      <c r="H56" s="318"/>
    </row>
    <row r="57" spans="1:8" x14ac:dyDescent="0.25">
      <c r="A57" s="49"/>
      <c r="B57" s="93" t="s">
        <v>477</v>
      </c>
      <c r="C57" s="317"/>
      <c r="D57" s="317"/>
      <c r="E57" s="317"/>
      <c r="F57" s="317"/>
      <c r="G57" s="317"/>
      <c r="H57" s="318"/>
    </row>
    <row r="58" spans="1:8" x14ac:dyDescent="0.25">
      <c r="A58" s="49"/>
      <c r="B58" s="93" t="s">
        <v>478</v>
      </c>
      <c r="C58" s="317"/>
      <c r="D58" s="317"/>
      <c r="E58" s="317"/>
      <c r="F58" s="317"/>
      <c r="G58" s="317"/>
      <c r="H58" s="318"/>
    </row>
    <row r="59" spans="1:8" x14ac:dyDescent="0.25">
      <c r="A59" s="49"/>
      <c r="B59" s="93" t="s">
        <v>479</v>
      </c>
      <c r="C59" s="317"/>
      <c r="D59" s="317"/>
      <c r="E59" s="317"/>
      <c r="F59" s="317"/>
      <c r="G59" s="317"/>
      <c r="H59" s="318"/>
    </row>
    <row r="60" spans="1:8" ht="13.5" thickBot="1" x14ac:dyDescent="0.3">
      <c r="A60" s="49"/>
      <c r="B60" s="93" t="s">
        <v>480</v>
      </c>
      <c r="C60" s="317"/>
      <c r="D60" s="317"/>
      <c r="E60" s="317"/>
      <c r="F60" s="317"/>
      <c r="G60" s="317"/>
      <c r="H60" s="318"/>
    </row>
    <row r="61" spans="1:8" ht="30" customHeight="1" x14ac:dyDescent="0.25">
      <c r="A61" s="49"/>
      <c r="B61" s="90" t="s">
        <v>94</v>
      </c>
      <c r="C61" s="537"/>
      <c r="D61" s="538"/>
      <c r="E61" s="538"/>
      <c r="F61" s="538"/>
      <c r="G61" s="538"/>
      <c r="H61" s="539"/>
    </row>
    <row r="62" spans="1:8" x14ac:dyDescent="0.25">
      <c r="A62" s="49"/>
      <c r="B62" s="36"/>
      <c r="C62" s="28"/>
      <c r="D62" s="28"/>
      <c r="E62" s="28"/>
      <c r="F62" s="28"/>
      <c r="G62" s="28"/>
      <c r="H62" s="29"/>
    </row>
    <row r="63" spans="1:8" ht="13.5" thickBot="1" x14ac:dyDescent="0.3">
      <c r="A63" s="49"/>
      <c r="B63" s="390" t="s">
        <v>9</v>
      </c>
      <c r="C63" s="391"/>
      <c r="D63" s="391"/>
      <c r="E63" s="391"/>
      <c r="F63" s="391"/>
      <c r="G63" s="391"/>
      <c r="H63" s="392"/>
    </row>
  </sheetData>
  <sheetProtection password="C288" sheet="1"/>
  <mergeCells count="7">
    <mergeCell ref="C2:G2"/>
    <mergeCell ref="B4:H4"/>
    <mergeCell ref="B6:H6"/>
    <mergeCell ref="C61:H61"/>
    <mergeCell ref="B63:H63"/>
    <mergeCell ref="B18:H18"/>
    <mergeCell ref="B33:H33"/>
  </mergeCells>
  <conditionalFormatting sqref="C8:H17">
    <cfRule type="expression" dxfId="4" priority="3" stopIfTrue="1">
      <formula>$A$8="Yes"</formula>
    </cfRule>
  </conditionalFormatting>
  <conditionalFormatting sqref="C20:H32">
    <cfRule type="expression" dxfId="3" priority="2" stopIfTrue="1">
      <formula>$A$20="Yes"</formula>
    </cfRule>
  </conditionalFormatting>
  <conditionalFormatting sqref="C35:H60">
    <cfRule type="expression" dxfId="2" priority="1" stopIfTrue="1">
      <formula>$A$35="Yes"</formula>
    </cfRule>
  </conditionalFormatting>
  <dataValidations count="5">
    <dataValidation type="list" allowBlank="1" showInputMessage="1" showErrorMessage="1" sqref="C8:C17 C20:C32 C35:C60">
      <formula1>Participation</formula1>
    </dataValidation>
    <dataValidation type="list" allowBlank="1" showInputMessage="1" showErrorMessage="1" sqref="D35:D60 D20:D32 D8:D17">
      <formula1>YesNo</formula1>
    </dataValidation>
    <dataValidation type="list" allowBlank="1" showInputMessage="1" showErrorMessage="1" sqref="F8:F17 F20:F32 F35:F60">
      <formula1>EndUse</formula1>
    </dataValidation>
    <dataValidation type="list" allowBlank="1" showInputMessage="1" showErrorMessage="1" sqref="G35:G60 G20:G32 G8:G17">
      <formula1>ExportControl</formula1>
    </dataValidation>
    <dataValidation type="list" allowBlank="1" showInputMessage="1" showErrorMessage="1" sqref="H8:H17 H20:H32 H35:H60">
      <formula1>YesNoUnk</formula1>
    </dataValidation>
  </dataValidations>
  <hyperlinks>
    <hyperlink ref="B2" location="'3e'!A1" display="Previous Page"/>
    <hyperlink ref="C2:G2" location="'Table of Contents'!A1" display="Table of Contents"/>
    <hyperlink ref="H2" location="'3g'!A1" display="Next Page"/>
  </hyperlinks>
  <printOptions horizontalCentered="1"/>
  <pageMargins left="0.25" right="0.25" top="0.75" bottom="0.75" header="0.3" footer="0.3"/>
  <pageSetup scale="57" orientation="landscape"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9"/>
  <sheetViews>
    <sheetView showGridLines="0" showRowColHeaders="0" workbookViewId="0"/>
  </sheetViews>
  <sheetFormatPr defaultRowHeight="12.75" x14ac:dyDescent="0.25"/>
  <cols>
    <col min="1" max="1" width="9.140625" style="40"/>
    <col min="2" max="2" width="11.28515625" style="40" customWidth="1"/>
    <col min="3" max="3" width="32.28515625" style="40" customWidth="1"/>
    <col min="4" max="4" width="16" style="40" customWidth="1"/>
    <col min="5" max="5" width="11.42578125" style="40" customWidth="1"/>
    <col min="6" max="6" width="23.42578125" style="40" customWidth="1"/>
    <col min="7" max="7" width="3.140625" style="40" customWidth="1"/>
    <col min="8" max="8" width="10.85546875" style="40" customWidth="1"/>
    <col min="9" max="16384" width="9.140625" style="40"/>
  </cols>
  <sheetData>
    <row r="1" spans="2:8" ht="13.5" thickBot="1" x14ac:dyDescent="0.3"/>
    <row r="2" spans="2:8" x14ac:dyDescent="0.25">
      <c r="B2" s="548" t="s">
        <v>10</v>
      </c>
      <c r="C2" s="549"/>
      <c r="D2" s="550" t="s">
        <v>11</v>
      </c>
      <c r="E2" s="550"/>
      <c r="F2" s="102"/>
      <c r="G2" s="102"/>
      <c r="H2" s="103" t="s">
        <v>0</v>
      </c>
    </row>
    <row r="3" spans="2:8" ht="13.5" customHeight="1" x14ac:dyDescent="0.25">
      <c r="B3" s="554" t="s">
        <v>481</v>
      </c>
      <c r="C3" s="555"/>
      <c r="D3" s="555"/>
      <c r="E3" s="555"/>
      <c r="F3" s="555"/>
      <c r="G3" s="555"/>
      <c r="H3" s="556"/>
    </row>
    <row r="4" spans="2:8" ht="33" customHeight="1" x14ac:dyDescent="0.25">
      <c r="B4" s="557" t="s">
        <v>482</v>
      </c>
      <c r="C4" s="558"/>
      <c r="D4" s="558"/>
      <c r="E4" s="558"/>
      <c r="F4" s="475"/>
      <c r="G4" s="475"/>
      <c r="H4" s="476"/>
    </row>
    <row r="5" spans="2:8" ht="33" customHeight="1" x14ac:dyDescent="0.25">
      <c r="B5" s="559" t="s">
        <v>483</v>
      </c>
      <c r="C5" s="560"/>
      <c r="D5" s="560"/>
      <c r="E5" s="561"/>
      <c r="F5" s="475"/>
      <c r="G5" s="475"/>
      <c r="H5" s="476"/>
    </row>
    <row r="6" spans="2:8" ht="33" customHeight="1" thickBot="1" x14ac:dyDescent="0.3">
      <c r="B6" s="104" t="s">
        <v>484</v>
      </c>
      <c r="C6" s="562"/>
      <c r="D6" s="563"/>
      <c r="E6" s="563"/>
      <c r="F6" s="563"/>
      <c r="G6" s="563"/>
      <c r="H6" s="564"/>
    </row>
    <row r="7" spans="2:8" ht="27" customHeight="1" x14ac:dyDescent="0.25">
      <c r="B7" s="101" t="s">
        <v>94</v>
      </c>
      <c r="C7" s="537"/>
      <c r="D7" s="538"/>
      <c r="E7" s="538"/>
      <c r="F7" s="538"/>
      <c r="G7" s="538"/>
      <c r="H7" s="539"/>
    </row>
    <row r="8" spans="2:8" x14ac:dyDescent="0.25">
      <c r="B8" s="105"/>
      <c r="C8" s="34"/>
      <c r="D8" s="34"/>
      <c r="E8" s="34"/>
      <c r="F8" s="34"/>
      <c r="G8" s="34"/>
      <c r="H8" s="35"/>
    </row>
    <row r="9" spans="2:8" ht="13.5" customHeight="1" thickBot="1" x14ac:dyDescent="0.3">
      <c r="B9" s="551" t="s">
        <v>9</v>
      </c>
      <c r="C9" s="552"/>
      <c r="D9" s="552"/>
      <c r="E9" s="552"/>
      <c r="F9" s="552"/>
      <c r="G9" s="552"/>
      <c r="H9" s="553"/>
    </row>
  </sheetData>
  <sheetProtection password="C288" sheet="1"/>
  <mergeCells count="10">
    <mergeCell ref="B2:C2"/>
    <mergeCell ref="D2:E2"/>
    <mergeCell ref="B9:H9"/>
    <mergeCell ref="B3:H3"/>
    <mergeCell ref="B4:E4"/>
    <mergeCell ref="B5:E5"/>
    <mergeCell ref="C6:H6"/>
    <mergeCell ref="F4:H4"/>
    <mergeCell ref="F5:H5"/>
    <mergeCell ref="C7:H7"/>
  </mergeCells>
  <dataValidations count="2">
    <dataValidation type="list" allowBlank="1" showInputMessage="1" showErrorMessage="1" sqref="F4:H4">
      <formula1>PSLSort</formula1>
    </dataValidation>
    <dataValidation type="list" allowBlank="1" showInputMessage="1" showErrorMessage="1" sqref="F5:H5">
      <formula1>YesNo</formula1>
    </dataValidation>
  </dataValidations>
  <hyperlinks>
    <hyperlink ref="B2" location="'3f'!A1" display="Previous Page"/>
    <hyperlink ref="D2" location="'Table of Contents'!A1" display="Table of Contents"/>
    <hyperlink ref="H2" location="'4a'!A1" display="Next Page"/>
  </hyperlinks>
  <printOptions horizontalCentered="1"/>
  <pageMargins left="0.25" right="0.25" top="0.75" bottom="0.75" header="0.3" footer="0.3"/>
  <pageSetup orientation="landscape"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41"/>
  <sheetViews>
    <sheetView showGridLines="0" showRowColHeaders="0" workbookViewId="0"/>
  </sheetViews>
  <sheetFormatPr defaultRowHeight="12.75" x14ac:dyDescent="0.25"/>
  <cols>
    <col min="1" max="1" width="9.140625" style="19"/>
    <col min="2" max="2" width="3.42578125" style="19" customWidth="1"/>
    <col min="3" max="3" width="27.7109375" style="19" customWidth="1"/>
    <col min="4" max="4" width="33.140625" style="19" customWidth="1"/>
    <col min="5" max="5" width="17.5703125" style="19" customWidth="1"/>
    <col min="6" max="6" width="36.7109375" style="19" customWidth="1"/>
    <col min="7" max="16384" width="9.140625" style="19"/>
  </cols>
  <sheetData>
    <row r="1" spans="2:6" ht="13.5" thickBot="1" x14ac:dyDescent="0.3"/>
    <row r="2" spans="2:6" x14ac:dyDescent="0.25">
      <c r="B2" s="493" t="s">
        <v>10</v>
      </c>
      <c r="C2" s="494"/>
      <c r="D2" s="405" t="s">
        <v>11</v>
      </c>
      <c r="E2" s="405"/>
      <c r="F2" s="26" t="s">
        <v>0</v>
      </c>
    </row>
    <row r="3" spans="2:6" x14ac:dyDescent="0.25">
      <c r="B3" s="52" t="s">
        <v>485</v>
      </c>
      <c r="C3" s="57"/>
      <c r="D3" s="57"/>
      <c r="E3" s="57"/>
      <c r="F3" s="58"/>
    </row>
    <row r="4" spans="2:6" ht="45" customHeight="1" x14ac:dyDescent="0.25">
      <c r="B4" s="557" t="s">
        <v>486</v>
      </c>
      <c r="C4" s="558"/>
      <c r="D4" s="558"/>
      <c r="E4" s="558"/>
      <c r="F4" s="566"/>
    </row>
    <row r="5" spans="2:6" ht="30" customHeight="1" x14ac:dyDescent="0.25">
      <c r="B5" s="568" t="s">
        <v>34</v>
      </c>
      <c r="C5" s="567" t="s">
        <v>487</v>
      </c>
      <c r="D5" s="567"/>
      <c r="E5" s="109" t="s">
        <v>488</v>
      </c>
      <c r="F5" s="233" t="s">
        <v>2627</v>
      </c>
    </row>
    <row r="6" spans="2:6" x14ac:dyDescent="0.25">
      <c r="B6" s="441"/>
      <c r="C6" s="565" t="s">
        <v>489</v>
      </c>
      <c r="D6" s="471"/>
      <c r="E6" s="230"/>
      <c r="F6" s="327"/>
    </row>
    <row r="7" spans="2:6" x14ac:dyDescent="0.25">
      <c r="B7" s="441"/>
      <c r="C7" s="565" t="s">
        <v>490</v>
      </c>
      <c r="D7" s="471"/>
      <c r="E7" s="230"/>
      <c r="F7" s="327"/>
    </row>
    <row r="8" spans="2:6" x14ac:dyDescent="0.25">
      <c r="B8" s="441"/>
      <c r="C8" s="565" t="s">
        <v>491</v>
      </c>
      <c r="D8" s="471"/>
      <c r="E8" s="230"/>
      <c r="F8" s="327"/>
    </row>
    <row r="9" spans="2:6" x14ac:dyDescent="0.25">
      <c r="B9" s="441"/>
      <c r="C9" s="565" t="s">
        <v>492</v>
      </c>
      <c r="D9" s="471"/>
      <c r="E9" s="230"/>
      <c r="F9" s="327"/>
    </row>
    <row r="10" spans="2:6" x14ac:dyDescent="0.25">
      <c r="B10" s="441"/>
      <c r="C10" s="565" t="s">
        <v>493</v>
      </c>
      <c r="D10" s="471"/>
      <c r="E10" s="230"/>
      <c r="F10" s="327"/>
    </row>
    <row r="11" spans="2:6" x14ac:dyDescent="0.25">
      <c r="B11" s="441"/>
      <c r="C11" s="565" t="s">
        <v>494</v>
      </c>
      <c r="D11" s="471"/>
      <c r="E11" s="230"/>
      <c r="F11" s="327"/>
    </row>
    <row r="12" spans="2:6" x14ac:dyDescent="0.25">
      <c r="B12" s="441"/>
      <c r="C12" s="565" t="s">
        <v>495</v>
      </c>
      <c r="D12" s="471"/>
      <c r="E12" s="230"/>
      <c r="F12" s="327"/>
    </row>
    <row r="13" spans="2:6" x14ac:dyDescent="0.25">
      <c r="B13" s="441"/>
      <c r="C13" s="565" t="s">
        <v>496</v>
      </c>
      <c r="D13" s="471"/>
      <c r="E13" s="230"/>
      <c r="F13" s="327"/>
    </row>
    <row r="14" spans="2:6" x14ac:dyDescent="0.25">
      <c r="B14" s="441"/>
      <c r="C14" s="565" t="s">
        <v>497</v>
      </c>
      <c r="D14" s="471"/>
      <c r="E14" s="230"/>
      <c r="F14" s="327"/>
    </row>
    <row r="15" spans="2:6" x14ac:dyDescent="0.25">
      <c r="B15" s="441"/>
      <c r="C15" s="565" t="s">
        <v>498</v>
      </c>
      <c r="D15" s="471"/>
      <c r="E15" s="230"/>
      <c r="F15" s="327"/>
    </row>
    <row r="16" spans="2:6" x14ac:dyDescent="0.25">
      <c r="B16" s="441"/>
      <c r="C16" s="565" t="s">
        <v>499</v>
      </c>
      <c r="D16" s="450"/>
      <c r="E16" s="230"/>
      <c r="F16" s="327"/>
    </row>
    <row r="17" spans="2:6" x14ac:dyDescent="0.25">
      <c r="B17" s="441"/>
      <c r="C17" s="218" t="s">
        <v>500</v>
      </c>
      <c r="D17" s="235" t="s">
        <v>501</v>
      </c>
      <c r="E17" s="230"/>
      <c r="F17" s="327"/>
    </row>
    <row r="18" spans="2:6" x14ac:dyDescent="0.25">
      <c r="B18" s="441"/>
      <c r="C18" s="218" t="s">
        <v>500</v>
      </c>
      <c r="D18" s="235" t="s">
        <v>501</v>
      </c>
      <c r="E18" s="230"/>
      <c r="F18" s="327"/>
    </row>
    <row r="19" spans="2:6" x14ac:dyDescent="0.25">
      <c r="B19" s="441"/>
      <c r="C19" s="218" t="s">
        <v>500</v>
      </c>
      <c r="D19" s="235" t="s">
        <v>501</v>
      </c>
      <c r="E19" s="230"/>
      <c r="F19" s="327"/>
    </row>
    <row r="20" spans="2:6" x14ac:dyDescent="0.25">
      <c r="B20" s="441"/>
      <c r="C20" s="218" t="s">
        <v>500</v>
      </c>
      <c r="D20" s="235" t="s">
        <v>501</v>
      </c>
      <c r="E20" s="230"/>
      <c r="F20" s="327"/>
    </row>
    <row r="21" spans="2:6" x14ac:dyDescent="0.25">
      <c r="B21" s="441"/>
      <c r="C21" s="218" t="s">
        <v>500</v>
      </c>
      <c r="D21" s="235" t="s">
        <v>501</v>
      </c>
      <c r="E21" s="230"/>
      <c r="F21" s="327"/>
    </row>
    <row r="22" spans="2:6" x14ac:dyDescent="0.25">
      <c r="B22" s="441"/>
      <c r="C22" s="218" t="s">
        <v>500</v>
      </c>
      <c r="D22" s="235" t="s">
        <v>501</v>
      </c>
      <c r="E22" s="230"/>
      <c r="F22" s="327"/>
    </row>
    <row r="23" spans="2:6" x14ac:dyDescent="0.25">
      <c r="B23" s="441"/>
      <c r="C23" s="218" t="s">
        <v>500</v>
      </c>
      <c r="D23" s="235" t="s">
        <v>501</v>
      </c>
      <c r="E23" s="230"/>
      <c r="F23" s="327"/>
    </row>
    <row r="24" spans="2:6" x14ac:dyDescent="0.25">
      <c r="B24" s="441"/>
      <c r="C24" s="218" t="s">
        <v>500</v>
      </c>
      <c r="D24" s="235" t="s">
        <v>501</v>
      </c>
      <c r="E24" s="230"/>
      <c r="F24" s="327"/>
    </row>
    <row r="25" spans="2:6" x14ac:dyDescent="0.25">
      <c r="B25" s="441"/>
      <c r="C25" s="218" t="s">
        <v>500</v>
      </c>
      <c r="D25" s="235" t="s">
        <v>501</v>
      </c>
      <c r="E25" s="230"/>
      <c r="F25" s="327"/>
    </row>
    <row r="26" spans="2:6" x14ac:dyDescent="0.25">
      <c r="B26" s="441"/>
      <c r="C26" s="218" t="s">
        <v>500</v>
      </c>
      <c r="D26" s="235" t="s">
        <v>501</v>
      </c>
      <c r="E26" s="230"/>
      <c r="F26" s="327"/>
    </row>
    <row r="27" spans="2:6" x14ac:dyDescent="0.25">
      <c r="B27" s="441"/>
      <c r="C27" s="218" t="s">
        <v>502</v>
      </c>
      <c r="D27" s="235" t="s">
        <v>503</v>
      </c>
      <c r="E27" s="230"/>
      <c r="F27" s="327"/>
    </row>
    <row r="28" spans="2:6" x14ac:dyDescent="0.25">
      <c r="B28" s="441"/>
      <c r="C28" s="218" t="s">
        <v>502</v>
      </c>
      <c r="D28" s="235" t="s">
        <v>503</v>
      </c>
      <c r="E28" s="230"/>
      <c r="F28" s="327"/>
    </row>
    <row r="29" spans="2:6" ht="13.5" thickBot="1" x14ac:dyDescent="0.3">
      <c r="B29" s="442"/>
      <c r="C29" s="155" t="s">
        <v>502</v>
      </c>
      <c r="D29" s="236" t="s">
        <v>503</v>
      </c>
      <c r="E29" s="234"/>
      <c r="F29" s="328"/>
    </row>
    <row r="30" spans="2:6" ht="63.75" customHeight="1" x14ac:dyDescent="0.25">
      <c r="B30" s="440" t="s">
        <v>35</v>
      </c>
      <c r="C30" s="489" t="s">
        <v>504</v>
      </c>
      <c r="D30" s="577"/>
      <c r="E30" s="237"/>
      <c r="F30" s="111" t="s">
        <v>505</v>
      </c>
    </row>
    <row r="31" spans="2:6" ht="15" customHeight="1" x14ac:dyDescent="0.25">
      <c r="B31" s="441"/>
      <c r="C31" s="59" t="s">
        <v>506</v>
      </c>
      <c r="D31" s="59"/>
      <c r="E31" s="112"/>
      <c r="F31" s="61"/>
    </row>
    <row r="32" spans="2:6" ht="15" customHeight="1" x14ac:dyDescent="0.25">
      <c r="B32" s="441"/>
      <c r="C32" s="70" t="s">
        <v>117</v>
      </c>
      <c r="D32" s="109" t="s">
        <v>118</v>
      </c>
      <c r="E32" s="82" t="s">
        <v>507</v>
      </c>
      <c r="F32" s="69" t="s">
        <v>508</v>
      </c>
    </row>
    <row r="33" spans="2:6" x14ac:dyDescent="0.25">
      <c r="B33" s="484"/>
      <c r="C33" s="231"/>
      <c r="D33" s="231"/>
      <c r="E33" s="238"/>
      <c r="F33" s="239"/>
    </row>
    <row r="34" spans="2:6" ht="36" customHeight="1" x14ac:dyDescent="0.25">
      <c r="B34" s="441"/>
      <c r="C34" s="578" t="s">
        <v>509</v>
      </c>
      <c r="D34" s="578"/>
      <c r="E34" s="578"/>
      <c r="F34" s="579"/>
    </row>
    <row r="35" spans="2:6" x14ac:dyDescent="0.25">
      <c r="B35" s="441"/>
      <c r="C35" s="580" t="s">
        <v>510</v>
      </c>
      <c r="D35" s="580"/>
      <c r="E35" s="572" t="s">
        <v>511</v>
      </c>
      <c r="F35" s="574"/>
    </row>
    <row r="36" spans="2:6" ht="22.5" customHeight="1" x14ac:dyDescent="0.25">
      <c r="B36" s="441"/>
      <c r="C36" s="200">
        <v>2013</v>
      </c>
      <c r="D36" s="352"/>
      <c r="E36" s="501"/>
      <c r="F36" s="575"/>
    </row>
    <row r="37" spans="2:6" ht="22.5" customHeight="1" x14ac:dyDescent="0.25">
      <c r="B37" s="441"/>
      <c r="C37" s="200">
        <v>2014</v>
      </c>
      <c r="D37" s="352"/>
      <c r="E37" s="501"/>
      <c r="F37" s="575"/>
    </row>
    <row r="38" spans="2:6" ht="22.5" customHeight="1" thickBot="1" x14ac:dyDescent="0.3">
      <c r="B38" s="442"/>
      <c r="C38" s="107">
        <v>2015</v>
      </c>
      <c r="D38" s="353"/>
      <c r="E38" s="573"/>
      <c r="F38" s="576"/>
    </row>
    <row r="39" spans="2:6" ht="31.5" customHeight="1" x14ac:dyDescent="0.25">
      <c r="B39" s="516" t="s">
        <v>94</v>
      </c>
      <c r="C39" s="518"/>
      <c r="D39" s="569"/>
      <c r="E39" s="570"/>
      <c r="F39" s="571"/>
    </row>
    <row r="40" spans="2:6" x14ac:dyDescent="0.25">
      <c r="B40" s="36"/>
      <c r="C40" s="28"/>
      <c r="D40" s="77"/>
      <c r="E40" s="77"/>
      <c r="F40" s="106"/>
    </row>
    <row r="41" spans="2:6" ht="13.5" thickBot="1" x14ac:dyDescent="0.3">
      <c r="B41" s="390" t="s">
        <v>9</v>
      </c>
      <c r="C41" s="391"/>
      <c r="D41" s="391"/>
      <c r="E41" s="391"/>
      <c r="F41" s="392"/>
    </row>
  </sheetData>
  <sheetProtection password="C288" sheet="1"/>
  <mergeCells count="25">
    <mergeCell ref="B39:C39"/>
    <mergeCell ref="D39:F39"/>
    <mergeCell ref="B41:F41"/>
    <mergeCell ref="E35:E38"/>
    <mergeCell ref="F35:F38"/>
    <mergeCell ref="B30:B38"/>
    <mergeCell ref="C30:D30"/>
    <mergeCell ref="C34:F34"/>
    <mergeCell ref="C35:D35"/>
    <mergeCell ref="C16:D16"/>
    <mergeCell ref="D2:E2"/>
    <mergeCell ref="B2:C2"/>
    <mergeCell ref="B4:F4"/>
    <mergeCell ref="C5:D5"/>
    <mergeCell ref="B5:B29"/>
    <mergeCell ref="C6:D6"/>
    <mergeCell ref="C7:D7"/>
    <mergeCell ref="C8:D8"/>
    <mergeCell ref="C9:D9"/>
    <mergeCell ref="C10:D10"/>
    <mergeCell ref="C11:D11"/>
    <mergeCell ref="C12:D12"/>
    <mergeCell ref="C13:D13"/>
    <mergeCell ref="C14:D14"/>
    <mergeCell ref="C15:D15"/>
  </mergeCells>
  <conditionalFormatting sqref="C33:F33 D36:D38 F35:F38">
    <cfRule type="expression" dxfId="1" priority="1" stopIfTrue="1">
      <formula>OR($E$30="No", $E$30="Not Applicable")</formula>
    </cfRule>
  </conditionalFormatting>
  <dataValidations count="5">
    <dataValidation type="list" allowBlank="1" showInputMessage="1" showErrorMessage="1" sqref="E6:E29">
      <formula1>SupportType</formula1>
    </dataValidation>
    <dataValidation type="decimal" allowBlank="1" showInputMessage="1" showErrorMessage="1" sqref="F6:F29">
      <formula1>0</formula1>
      <formula2>1</formula2>
    </dataValidation>
    <dataValidation type="list" allowBlank="1" showInputMessage="1" showErrorMessage="1" sqref="E30">
      <formula1>YesNoNA</formula1>
    </dataValidation>
    <dataValidation type="list" allowBlank="1" showInputMessage="1" showErrorMessage="1" sqref="D17:D26">
      <formula1>OtherAgency</formula1>
    </dataValidation>
    <dataValidation type="decimal" allowBlank="1" showInputMessage="1" showErrorMessage="1" sqref="D36:D38">
      <formula1>-999999999</formula1>
      <formula2>999999999</formula2>
    </dataValidation>
  </dataValidations>
  <hyperlinks>
    <hyperlink ref="B2:C2" location="'3g'!A1" display="Previous Page"/>
    <hyperlink ref="D2:E2" location="'Table of Contents'!A1" display="Table of Contents"/>
    <hyperlink ref="F2" location="'4b'!A1" display="Next Page"/>
  </hyperlinks>
  <printOptions horizontalCentered="1"/>
  <pageMargins left="0.25" right="0.25" top="0.75" bottom="0.75" header="0.3" footer="0.3"/>
  <pageSetup scale="76" orientation="landscape"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245"/>
  <sheetViews>
    <sheetView showGridLines="0" showRowColHeaders="0" zoomScaleNormal="100" workbookViewId="0"/>
  </sheetViews>
  <sheetFormatPr defaultRowHeight="12.75" x14ac:dyDescent="0.25"/>
  <cols>
    <col min="1" max="1" width="9.140625" style="19"/>
    <col min="2" max="2" width="6.42578125" style="19" customWidth="1"/>
    <col min="3" max="3" width="32.42578125" style="19" customWidth="1"/>
    <col min="4" max="4" width="70" style="19" customWidth="1"/>
    <col min="5" max="5" width="25.42578125" style="19" customWidth="1"/>
    <col min="6" max="10" width="21.42578125" style="19" customWidth="1"/>
    <col min="11" max="16384" width="9.140625" style="19"/>
  </cols>
  <sheetData>
    <row r="1" spans="2:10" ht="13.5" thickBot="1" x14ac:dyDescent="0.3"/>
    <row r="2" spans="2:10" x14ac:dyDescent="0.25">
      <c r="B2" s="493" t="s">
        <v>10</v>
      </c>
      <c r="C2" s="494"/>
      <c r="D2" s="21"/>
      <c r="E2" s="24" t="s">
        <v>11</v>
      </c>
      <c r="F2" s="21"/>
      <c r="G2" s="21"/>
      <c r="H2" s="21"/>
      <c r="I2" s="21"/>
      <c r="J2" s="26" t="s">
        <v>0</v>
      </c>
    </row>
    <row r="3" spans="2:10" x14ac:dyDescent="0.25">
      <c r="B3" s="52" t="s">
        <v>512</v>
      </c>
      <c r="C3" s="57"/>
      <c r="D3" s="57"/>
      <c r="E3" s="57"/>
      <c r="F3" s="57"/>
      <c r="G3" s="57"/>
      <c r="H3" s="57"/>
      <c r="I3" s="57"/>
      <c r="J3" s="58"/>
    </row>
    <row r="4" spans="2:10" ht="21" customHeight="1" thickBot="1" x14ac:dyDescent="0.3">
      <c r="B4" s="118" t="s">
        <v>34</v>
      </c>
      <c r="C4" s="581" t="s">
        <v>513</v>
      </c>
      <c r="D4" s="463"/>
      <c r="E4" s="463"/>
      <c r="F4" s="582"/>
      <c r="G4" s="354"/>
      <c r="H4" s="583"/>
      <c r="I4" s="584"/>
      <c r="J4" s="585"/>
    </row>
    <row r="5" spans="2:10" ht="69.75" customHeight="1" x14ac:dyDescent="0.25">
      <c r="B5" s="440" t="s">
        <v>35</v>
      </c>
      <c r="C5" s="489" t="s">
        <v>2639</v>
      </c>
      <c r="D5" s="490"/>
      <c r="E5" s="496"/>
      <c r="F5" s="496"/>
      <c r="G5" s="496"/>
      <c r="H5" s="490"/>
      <c r="I5" s="490"/>
      <c r="J5" s="586"/>
    </row>
    <row r="6" spans="2:10" ht="21.75" customHeight="1" x14ac:dyDescent="0.25">
      <c r="B6" s="441"/>
      <c r="C6" s="509" t="s">
        <v>514</v>
      </c>
      <c r="D6" s="449"/>
      <c r="E6" s="587"/>
      <c r="F6" s="588"/>
      <c r="G6" s="588"/>
      <c r="H6" s="128"/>
      <c r="I6" s="115"/>
      <c r="J6" s="61"/>
    </row>
    <row r="7" spans="2:10" ht="21.75" customHeight="1" thickBot="1" x14ac:dyDescent="0.3">
      <c r="B7" s="441"/>
      <c r="C7" s="460" t="s">
        <v>515</v>
      </c>
      <c r="D7" s="461"/>
      <c r="E7" s="463"/>
      <c r="F7" s="463"/>
      <c r="G7" s="463"/>
      <c r="H7" s="461"/>
      <c r="I7" s="461"/>
      <c r="J7" s="589"/>
    </row>
    <row r="8" spans="2:10" ht="29.25" customHeight="1" x14ac:dyDescent="0.25">
      <c r="B8" s="441"/>
      <c r="C8" s="590" t="s">
        <v>2608</v>
      </c>
      <c r="D8" s="591"/>
      <c r="E8" s="591"/>
      <c r="F8" s="591"/>
      <c r="G8" s="591"/>
      <c r="H8" s="591"/>
      <c r="I8" s="591"/>
      <c r="J8" s="592"/>
    </row>
    <row r="9" spans="2:10" x14ac:dyDescent="0.25">
      <c r="B9" s="441"/>
      <c r="C9" s="595" t="s">
        <v>516</v>
      </c>
      <c r="D9" s="467" t="s">
        <v>517</v>
      </c>
      <c r="E9" s="597" t="s">
        <v>184</v>
      </c>
      <c r="F9" s="593" t="s">
        <v>518</v>
      </c>
      <c r="G9" s="567"/>
      <c r="H9" s="567"/>
      <c r="I9" s="567"/>
      <c r="J9" s="594"/>
    </row>
    <row r="10" spans="2:10" ht="13.5" thickBot="1" x14ac:dyDescent="0.3">
      <c r="B10" s="442"/>
      <c r="C10" s="596"/>
      <c r="D10" s="584"/>
      <c r="E10" s="598"/>
      <c r="F10" s="39">
        <v>1</v>
      </c>
      <c r="G10" s="119">
        <v>2</v>
      </c>
      <c r="H10" s="120">
        <v>3</v>
      </c>
      <c r="I10" s="120">
        <v>4</v>
      </c>
      <c r="J10" s="121">
        <v>5</v>
      </c>
    </row>
    <row r="11" spans="2:10" s="40" customFormat="1" x14ac:dyDescent="0.25">
      <c r="B11" s="122">
        <v>1</v>
      </c>
      <c r="C11" s="123" t="s">
        <v>519</v>
      </c>
      <c r="D11" s="129" t="s">
        <v>520</v>
      </c>
      <c r="E11" s="241"/>
      <c r="F11" s="245"/>
      <c r="G11" s="237"/>
      <c r="H11" s="237"/>
      <c r="I11" s="237"/>
      <c r="J11" s="242"/>
    </row>
    <row r="12" spans="2:10" s="40" customFormat="1" x14ac:dyDescent="0.25">
      <c r="B12" s="55">
        <v>2</v>
      </c>
      <c r="C12" s="50" t="s">
        <v>519</v>
      </c>
      <c r="D12" s="130" t="s">
        <v>521</v>
      </c>
      <c r="E12" s="243"/>
      <c r="F12" s="246"/>
      <c r="G12" s="231"/>
      <c r="H12" s="231"/>
      <c r="I12" s="231"/>
      <c r="J12" s="232"/>
    </row>
    <row r="13" spans="2:10" s="40" customFormat="1" x14ac:dyDescent="0.25">
      <c r="B13" s="55">
        <v>3</v>
      </c>
      <c r="C13" s="50" t="s">
        <v>519</v>
      </c>
      <c r="D13" s="130" t="s">
        <v>522</v>
      </c>
      <c r="E13" s="243"/>
      <c r="F13" s="246"/>
      <c r="G13" s="231"/>
      <c r="H13" s="231"/>
      <c r="I13" s="231"/>
      <c r="J13" s="232"/>
    </row>
    <row r="14" spans="2:10" s="40" customFormat="1" ht="25.5" x14ac:dyDescent="0.25">
      <c r="B14" s="55">
        <v>4</v>
      </c>
      <c r="C14" s="50" t="s">
        <v>519</v>
      </c>
      <c r="D14" s="130" t="s">
        <v>523</v>
      </c>
      <c r="E14" s="243"/>
      <c r="F14" s="246"/>
      <c r="G14" s="231"/>
      <c r="H14" s="231"/>
      <c r="I14" s="231"/>
      <c r="J14" s="232"/>
    </row>
    <row r="15" spans="2:10" s="40" customFormat="1" x14ac:dyDescent="0.25">
      <c r="B15" s="55">
        <v>5</v>
      </c>
      <c r="C15" s="50" t="s">
        <v>519</v>
      </c>
      <c r="D15" s="130" t="s">
        <v>524</v>
      </c>
      <c r="E15" s="243"/>
      <c r="F15" s="246"/>
      <c r="G15" s="231"/>
      <c r="H15" s="231"/>
      <c r="I15" s="231"/>
      <c r="J15" s="232"/>
    </row>
    <row r="16" spans="2:10" s="40" customFormat="1" x14ac:dyDescent="0.25">
      <c r="B16" s="55">
        <v>6</v>
      </c>
      <c r="C16" s="50" t="s">
        <v>519</v>
      </c>
      <c r="D16" s="130" t="s">
        <v>525</v>
      </c>
      <c r="E16" s="243"/>
      <c r="F16" s="246"/>
      <c r="G16" s="231"/>
      <c r="H16" s="231"/>
      <c r="I16" s="231"/>
      <c r="J16" s="232"/>
    </row>
    <row r="17" spans="2:10" s="40" customFormat="1" ht="25.5" x14ac:dyDescent="0.25">
      <c r="B17" s="55">
        <v>7</v>
      </c>
      <c r="C17" s="50" t="s">
        <v>519</v>
      </c>
      <c r="D17" s="130" t="s">
        <v>526</v>
      </c>
      <c r="E17" s="243"/>
      <c r="F17" s="246"/>
      <c r="G17" s="231"/>
      <c r="H17" s="231"/>
      <c r="I17" s="231"/>
      <c r="J17" s="232"/>
    </row>
    <row r="18" spans="2:10" s="40" customFormat="1" x14ac:dyDescent="0.25">
      <c r="B18" s="55">
        <v>8</v>
      </c>
      <c r="C18" s="50" t="s">
        <v>519</v>
      </c>
      <c r="D18" s="130" t="s">
        <v>527</v>
      </c>
      <c r="E18" s="243"/>
      <c r="F18" s="246"/>
      <c r="G18" s="231"/>
      <c r="H18" s="231"/>
      <c r="I18" s="231"/>
      <c r="J18" s="232"/>
    </row>
    <row r="19" spans="2:10" s="40" customFormat="1" ht="25.5" x14ac:dyDescent="0.25">
      <c r="B19" s="55">
        <v>9</v>
      </c>
      <c r="C19" s="50" t="s">
        <v>519</v>
      </c>
      <c r="D19" s="130" t="s">
        <v>528</v>
      </c>
      <c r="E19" s="243"/>
      <c r="F19" s="246"/>
      <c r="G19" s="231"/>
      <c r="H19" s="231"/>
      <c r="I19" s="231"/>
      <c r="J19" s="232"/>
    </row>
    <row r="20" spans="2:10" s="40" customFormat="1" x14ac:dyDescent="0.25">
      <c r="B20" s="55">
        <v>10</v>
      </c>
      <c r="C20" s="50" t="s">
        <v>519</v>
      </c>
      <c r="D20" s="130" t="s">
        <v>529</v>
      </c>
      <c r="E20" s="243"/>
      <c r="F20" s="246"/>
      <c r="G20" s="231"/>
      <c r="H20" s="231"/>
      <c r="I20" s="231"/>
      <c r="J20" s="232"/>
    </row>
    <row r="21" spans="2:10" s="40" customFormat="1" x14ac:dyDescent="0.25">
      <c r="B21" s="55">
        <v>11</v>
      </c>
      <c r="C21" s="50" t="s">
        <v>519</v>
      </c>
      <c r="D21" s="130" t="s">
        <v>530</v>
      </c>
      <c r="E21" s="243"/>
      <c r="F21" s="246"/>
      <c r="G21" s="231"/>
      <c r="H21" s="231"/>
      <c r="I21" s="231"/>
      <c r="J21" s="232"/>
    </row>
    <row r="22" spans="2:10" s="40" customFormat="1" x14ac:dyDescent="0.25">
      <c r="B22" s="55">
        <v>12</v>
      </c>
      <c r="C22" s="50" t="s">
        <v>519</v>
      </c>
      <c r="D22" s="130" t="s">
        <v>531</v>
      </c>
      <c r="E22" s="243"/>
      <c r="F22" s="246"/>
      <c r="G22" s="231"/>
      <c r="H22" s="231"/>
      <c r="I22" s="231"/>
      <c r="J22" s="232"/>
    </row>
    <row r="23" spans="2:10" s="40" customFormat="1" x14ac:dyDescent="0.25">
      <c r="B23" s="55">
        <v>13</v>
      </c>
      <c r="C23" s="50" t="s">
        <v>519</v>
      </c>
      <c r="D23" s="130" t="s">
        <v>532</v>
      </c>
      <c r="E23" s="243"/>
      <c r="F23" s="246"/>
      <c r="G23" s="231"/>
      <c r="H23" s="231"/>
      <c r="I23" s="231"/>
      <c r="J23" s="232"/>
    </row>
    <row r="24" spans="2:10" s="40" customFormat="1" x14ac:dyDescent="0.25">
      <c r="B24" s="55">
        <v>14</v>
      </c>
      <c r="C24" s="50" t="s">
        <v>519</v>
      </c>
      <c r="D24" s="130" t="s">
        <v>533</v>
      </c>
      <c r="E24" s="243"/>
      <c r="F24" s="246"/>
      <c r="G24" s="231"/>
      <c r="H24" s="231"/>
      <c r="I24" s="231"/>
      <c r="J24" s="232"/>
    </row>
    <row r="25" spans="2:10" s="40" customFormat="1" x14ac:dyDescent="0.25">
      <c r="B25" s="55">
        <v>15</v>
      </c>
      <c r="C25" s="50" t="s">
        <v>519</v>
      </c>
      <c r="D25" s="130" t="s">
        <v>534</v>
      </c>
      <c r="E25" s="243"/>
      <c r="F25" s="246"/>
      <c r="G25" s="231"/>
      <c r="H25" s="231"/>
      <c r="I25" s="231"/>
      <c r="J25" s="232"/>
    </row>
    <row r="26" spans="2:10" s="40" customFormat="1" x14ac:dyDescent="0.25">
      <c r="B26" s="55">
        <v>16</v>
      </c>
      <c r="C26" s="50" t="s">
        <v>519</v>
      </c>
      <c r="D26" s="130" t="s">
        <v>535</v>
      </c>
      <c r="E26" s="243"/>
      <c r="F26" s="246"/>
      <c r="G26" s="231"/>
      <c r="H26" s="231"/>
      <c r="I26" s="231"/>
      <c r="J26" s="232"/>
    </row>
    <row r="27" spans="2:10" s="40" customFormat="1" x14ac:dyDescent="0.25">
      <c r="B27" s="55">
        <v>17</v>
      </c>
      <c r="C27" s="50" t="s">
        <v>519</v>
      </c>
      <c r="D27" s="130" t="s">
        <v>536</v>
      </c>
      <c r="E27" s="243"/>
      <c r="F27" s="246"/>
      <c r="G27" s="231"/>
      <c r="H27" s="231"/>
      <c r="I27" s="231"/>
      <c r="J27" s="232"/>
    </row>
    <row r="28" spans="2:10" s="40" customFormat="1" ht="25.5" x14ac:dyDescent="0.25">
      <c r="B28" s="55">
        <v>18</v>
      </c>
      <c r="C28" s="50" t="s">
        <v>519</v>
      </c>
      <c r="D28" s="130" t="s">
        <v>537</v>
      </c>
      <c r="E28" s="243"/>
      <c r="F28" s="246"/>
      <c r="G28" s="231"/>
      <c r="H28" s="231"/>
      <c r="I28" s="231"/>
      <c r="J28" s="232"/>
    </row>
    <row r="29" spans="2:10" s="40" customFormat="1" ht="25.5" x14ac:dyDescent="0.25">
      <c r="B29" s="55">
        <v>19</v>
      </c>
      <c r="C29" s="50" t="s">
        <v>519</v>
      </c>
      <c r="D29" s="130" t="s">
        <v>538</v>
      </c>
      <c r="E29" s="243"/>
      <c r="F29" s="246"/>
      <c r="G29" s="231"/>
      <c r="H29" s="231"/>
      <c r="I29" s="231"/>
      <c r="J29" s="232"/>
    </row>
    <row r="30" spans="2:10" s="40" customFormat="1" ht="25.5" x14ac:dyDescent="0.25">
      <c r="B30" s="55">
        <v>20</v>
      </c>
      <c r="C30" s="50" t="s">
        <v>519</v>
      </c>
      <c r="D30" s="130" t="s">
        <v>539</v>
      </c>
      <c r="E30" s="243"/>
      <c r="F30" s="246"/>
      <c r="G30" s="231"/>
      <c r="H30" s="231"/>
      <c r="I30" s="231"/>
      <c r="J30" s="232"/>
    </row>
    <row r="31" spans="2:10" s="40" customFormat="1" x14ac:dyDescent="0.25">
      <c r="B31" s="55">
        <v>21</v>
      </c>
      <c r="C31" s="50" t="s">
        <v>519</v>
      </c>
      <c r="D31" s="130" t="s">
        <v>540</v>
      </c>
      <c r="E31" s="243"/>
      <c r="F31" s="246"/>
      <c r="G31" s="231"/>
      <c r="H31" s="231"/>
      <c r="I31" s="231"/>
      <c r="J31" s="232"/>
    </row>
    <row r="32" spans="2:10" s="40" customFormat="1" x14ac:dyDescent="0.25">
      <c r="B32" s="55">
        <v>22</v>
      </c>
      <c r="C32" s="50" t="s">
        <v>519</v>
      </c>
      <c r="D32" s="130" t="s">
        <v>541</v>
      </c>
      <c r="E32" s="243"/>
      <c r="F32" s="246"/>
      <c r="G32" s="231"/>
      <c r="H32" s="231"/>
      <c r="I32" s="231"/>
      <c r="J32" s="232"/>
    </row>
    <row r="33" spans="2:10" s="40" customFormat="1" x14ac:dyDescent="0.25">
      <c r="B33" s="55">
        <v>23</v>
      </c>
      <c r="C33" s="50" t="s">
        <v>519</v>
      </c>
      <c r="D33" s="130" t="s">
        <v>542</v>
      </c>
      <c r="E33" s="243"/>
      <c r="F33" s="246"/>
      <c r="G33" s="231"/>
      <c r="H33" s="231"/>
      <c r="I33" s="231"/>
      <c r="J33" s="232"/>
    </row>
    <row r="34" spans="2:10" s="40" customFormat="1" x14ac:dyDescent="0.25">
      <c r="B34" s="55">
        <v>24</v>
      </c>
      <c r="C34" s="50" t="s">
        <v>519</v>
      </c>
      <c r="D34" s="130" t="s">
        <v>543</v>
      </c>
      <c r="E34" s="243"/>
      <c r="F34" s="246"/>
      <c r="G34" s="231"/>
      <c r="H34" s="231"/>
      <c r="I34" s="231"/>
      <c r="J34" s="232"/>
    </row>
    <row r="35" spans="2:10" s="40" customFormat="1" x14ac:dyDescent="0.25">
      <c r="B35" s="55">
        <v>25</v>
      </c>
      <c r="C35" s="50" t="s">
        <v>519</v>
      </c>
      <c r="D35" s="130" t="s">
        <v>544</v>
      </c>
      <c r="E35" s="243"/>
      <c r="F35" s="246"/>
      <c r="G35" s="231"/>
      <c r="H35" s="231"/>
      <c r="I35" s="231"/>
      <c r="J35" s="232"/>
    </row>
    <row r="36" spans="2:10" s="40" customFormat="1" x14ac:dyDescent="0.25">
      <c r="B36" s="55">
        <v>26</v>
      </c>
      <c r="C36" s="50" t="s">
        <v>519</v>
      </c>
      <c r="D36" s="130" t="s">
        <v>545</v>
      </c>
      <c r="E36" s="243"/>
      <c r="F36" s="246"/>
      <c r="G36" s="231"/>
      <c r="H36" s="231"/>
      <c r="I36" s="231"/>
      <c r="J36" s="232"/>
    </row>
    <row r="37" spans="2:10" s="40" customFormat="1" x14ac:dyDescent="0.25">
      <c r="B37" s="55">
        <v>27</v>
      </c>
      <c r="C37" s="50" t="s">
        <v>519</v>
      </c>
      <c r="D37" s="130" t="s">
        <v>546</v>
      </c>
      <c r="E37" s="243"/>
      <c r="F37" s="246"/>
      <c r="G37" s="231"/>
      <c r="H37" s="231"/>
      <c r="I37" s="231"/>
      <c r="J37" s="232"/>
    </row>
    <row r="38" spans="2:10" s="40" customFormat="1" x14ac:dyDescent="0.25">
      <c r="B38" s="55">
        <v>28</v>
      </c>
      <c r="C38" s="50" t="s">
        <v>519</v>
      </c>
      <c r="D38" s="130" t="s">
        <v>547</v>
      </c>
      <c r="E38" s="243"/>
      <c r="F38" s="246"/>
      <c r="G38" s="231"/>
      <c r="H38" s="231"/>
      <c r="I38" s="231"/>
      <c r="J38" s="232"/>
    </row>
    <row r="39" spans="2:10" s="40" customFormat="1" x14ac:dyDescent="0.25">
      <c r="B39" s="55">
        <v>29</v>
      </c>
      <c r="C39" s="50" t="s">
        <v>519</v>
      </c>
      <c r="D39" s="130" t="s">
        <v>548</v>
      </c>
      <c r="E39" s="243"/>
      <c r="F39" s="246"/>
      <c r="G39" s="231"/>
      <c r="H39" s="231"/>
      <c r="I39" s="231"/>
      <c r="J39" s="232"/>
    </row>
    <row r="40" spans="2:10" s="40" customFormat="1" x14ac:dyDescent="0.25">
      <c r="B40" s="55">
        <v>30</v>
      </c>
      <c r="C40" s="50" t="s">
        <v>519</v>
      </c>
      <c r="D40" s="130" t="s">
        <v>549</v>
      </c>
      <c r="E40" s="243"/>
      <c r="F40" s="246"/>
      <c r="G40" s="231"/>
      <c r="H40" s="231"/>
      <c r="I40" s="231"/>
      <c r="J40" s="232"/>
    </row>
    <row r="41" spans="2:10" s="40" customFormat="1" x14ac:dyDescent="0.25">
      <c r="B41" s="55">
        <v>31</v>
      </c>
      <c r="C41" s="50" t="s">
        <v>519</v>
      </c>
      <c r="D41" s="130" t="s">
        <v>550</v>
      </c>
      <c r="E41" s="243"/>
      <c r="F41" s="246"/>
      <c r="G41" s="231"/>
      <c r="H41" s="231"/>
      <c r="I41" s="231"/>
      <c r="J41" s="232"/>
    </row>
    <row r="42" spans="2:10" s="40" customFormat="1" x14ac:dyDescent="0.25">
      <c r="B42" s="55">
        <v>32</v>
      </c>
      <c r="C42" s="50" t="s">
        <v>519</v>
      </c>
      <c r="D42" s="130" t="s">
        <v>551</v>
      </c>
      <c r="E42" s="243"/>
      <c r="F42" s="246"/>
      <c r="G42" s="231"/>
      <c r="H42" s="231"/>
      <c r="I42" s="231"/>
      <c r="J42" s="232"/>
    </row>
    <row r="43" spans="2:10" s="40" customFormat="1" x14ac:dyDescent="0.25">
      <c r="B43" s="55">
        <v>33</v>
      </c>
      <c r="C43" s="50" t="s">
        <v>519</v>
      </c>
      <c r="D43" s="130" t="s">
        <v>552</v>
      </c>
      <c r="E43" s="243"/>
      <c r="F43" s="246"/>
      <c r="G43" s="231"/>
      <c r="H43" s="231"/>
      <c r="I43" s="231"/>
      <c r="J43" s="232"/>
    </row>
    <row r="44" spans="2:10" s="40" customFormat="1" ht="25.5" x14ac:dyDescent="0.25">
      <c r="B44" s="55">
        <v>34</v>
      </c>
      <c r="C44" s="50" t="s">
        <v>519</v>
      </c>
      <c r="D44" s="130" t="s">
        <v>553</v>
      </c>
      <c r="E44" s="243"/>
      <c r="F44" s="246"/>
      <c r="G44" s="231"/>
      <c r="H44" s="231"/>
      <c r="I44" s="231"/>
      <c r="J44" s="232"/>
    </row>
    <row r="45" spans="2:10" s="40" customFormat="1" x14ac:dyDescent="0.25">
      <c r="B45" s="55">
        <v>35</v>
      </c>
      <c r="C45" s="50" t="s">
        <v>519</v>
      </c>
      <c r="D45" s="130" t="s">
        <v>554</v>
      </c>
      <c r="E45" s="243"/>
      <c r="F45" s="246"/>
      <c r="G45" s="231"/>
      <c r="H45" s="231"/>
      <c r="I45" s="231"/>
      <c r="J45" s="232"/>
    </row>
    <row r="46" spans="2:10" s="40" customFormat="1" x14ac:dyDescent="0.25">
      <c r="B46" s="55">
        <v>36</v>
      </c>
      <c r="C46" s="50" t="s">
        <v>519</v>
      </c>
      <c r="D46" s="130" t="s">
        <v>555</v>
      </c>
      <c r="E46" s="243"/>
      <c r="F46" s="246"/>
      <c r="G46" s="231"/>
      <c r="H46" s="231"/>
      <c r="I46" s="231"/>
      <c r="J46" s="232"/>
    </row>
    <row r="47" spans="2:10" s="40" customFormat="1" x14ac:dyDescent="0.25">
      <c r="B47" s="55">
        <v>37</v>
      </c>
      <c r="C47" s="50" t="s">
        <v>519</v>
      </c>
      <c r="D47" s="130" t="s">
        <v>556</v>
      </c>
      <c r="E47" s="243"/>
      <c r="F47" s="246"/>
      <c r="G47" s="231"/>
      <c r="H47" s="231"/>
      <c r="I47" s="231"/>
      <c r="J47" s="232"/>
    </row>
    <row r="48" spans="2:10" s="40" customFormat="1" ht="25.5" x14ac:dyDescent="0.25">
      <c r="B48" s="55">
        <v>38</v>
      </c>
      <c r="C48" s="50" t="s">
        <v>519</v>
      </c>
      <c r="D48" s="130" t="s">
        <v>557</v>
      </c>
      <c r="E48" s="243"/>
      <c r="F48" s="246"/>
      <c r="G48" s="231"/>
      <c r="H48" s="231"/>
      <c r="I48" s="231"/>
      <c r="J48" s="232"/>
    </row>
    <row r="49" spans="2:10" s="40" customFormat="1" x14ac:dyDescent="0.25">
      <c r="B49" s="55">
        <v>39</v>
      </c>
      <c r="C49" s="50" t="s">
        <v>519</v>
      </c>
      <c r="D49" s="130" t="s">
        <v>558</v>
      </c>
      <c r="E49" s="243"/>
      <c r="F49" s="246"/>
      <c r="G49" s="231"/>
      <c r="H49" s="231"/>
      <c r="I49" s="231"/>
      <c r="J49" s="232"/>
    </row>
    <row r="50" spans="2:10" s="40" customFormat="1" x14ac:dyDescent="0.25">
      <c r="B50" s="55">
        <v>40</v>
      </c>
      <c r="C50" s="50" t="s">
        <v>519</v>
      </c>
      <c r="D50" s="130" t="s">
        <v>559</v>
      </c>
      <c r="E50" s="243"/>
      <c r="F50" s="246"/>
      <c r="G50" s="231"/>
      <c r="H50" s="231"/>
      <c r="I50" s="231"/>
      <c r="J50" s="232"/>
    </row>
    <row r="51" spans="2:10" s="40" customFormat="1" x14ac:dyDescent="0.25">
      <c r="B51" s="55">
        <v>41</v>
      </c>
      <c r="C51" s="50" t="s">
        <v>519</v>
      </c>
      <c r="D51" s="130" t="s">
        <v>560</v>
      </c>
      <c r="E51" s="243"/>
      <c r="F51" s="246"/>
      <c r="G51" s="231"/>
      <c r="H51" s="231"/>
      <c r="I51" s="231"/>
      <c r="J51" s="232"/>
    </row>
    <row r="52" spans="2:10" s="40" customFormat="1" x14ac:dyDescent="0.25">
      <c r="B52" s="55">
        <v>42</v>
      </c>
      <c r="C52" s="50" t="s">
        <v>519</v>
      </c>
      <c r="D52" s="130" t="s">
        <v>561</v>
      </c>
      <c r="E52" s="243"/>
      <c r="F52" s="246"/>
      <c r="G52" s="231"/>
      <c r="H52" s="231"/>
      <c r="I52" s="231"/>
      <c r="J52" s="232"/>
    </row>
    <row r="53" spans="2:10" s="40" customFormat="1" x14ac:dyDescent="0.25">
      <c r="B53" s="55">
        <v>43</v>
      </c>
      <c r="C53" s="50" t="s">
        <v>519</v>
      </c>
      <c r="D53" s="130" t="s">
        <v>562</v>
      </c>
      <c r="E53" s="243"/>
      <c r="F53" s="246"/>
      <c r="G53" s="231"/>
      <c r="H53" s="231"/>
      <c r="I53" s="231"/>
      <c r="J53" s="232"/>
    </row>
    <row r="54" spans="2:10" s="40" customFormat="1" x14ac:dyDescent="0.25">
      <c r="B54" s="55">
        <v>44</v>
      </c>
      <c r="C54" s="50" t="s">
        <v>519</v>
      </c>
      <c r="D54" s="130" t="s">
        <v>563</v>
      </c>
      <c r="E54" s="243"/>
      <c r="F54" s="246"/>
      <c r="G54" s="231"/>
      <c r="H54" s="231"/>
      <c r="I54" s="231"/>
      <c r="J54" s="232"/>
    </row>
    <row r="55" spans="2:10" s="40" customFormat="1" x14ac:dyDescent="0.25">
      <c r="B55" s="55">
        <v>45</v>
      </c>
      <c r="C55" s="50" t="s">
        <v>519</v>
      </c>
      <c r="D55" s="130" t="s">
        <v>564</v>
      </c>
      <c r="E55" s="243"/>
      <c r="F55" s="246"/>
      <c r="G55" s="231"/>
      <c r="H55" s="231"/>
      <c r="I55" s="231"/>
      <c r="J55" s="232"/>
    </row>
    <row r="56" spans="2:10" s="40" customFormat="1" x14ac:dyDescent="0.25">
      <c r="B56" s="55">
        <v>46</v>
      </c>
      <c r="C56" s="50" t="s">
        <v>519</v>
      </c>
      <c r="D56" s="130" t="s">
        <v>565</v>
      </c>
      <c r="E56" s="243"/>
      <c r="F56" s="246"/>
      <c r="G56" s="231"/>
      <c r="H56" s="231"/>
      <c r="I56" s="231"/>
      <c r="J56" s="232"/>
    </row>
    <row r="57" spans="2:10" s="40" customFormat="1" x14ac:dyDescent="0.25">
      <c r="B57" s="55">
        <v>47</v>
      </c>
      <c r="C57" s="50" t="s">
        <v>519</v>
      </c>
      <c r="D57" s="130" t="s">
        <v>566</v>
      </c>
      <c r="E57" s="243"/>
      <c r="F57" s="246"/>
      <c r="G57" s="231"/>
      <c r="H57" s="231"/>
      <c r="I57" s="231"/>
      <c r="J57" s="232"/>
    </row>
    <row r="58" spans="2:10" s="40" customFormat="1" x14ac:dyDescent="0.25">
      <c r="B58" s="55">
        <v>48</v>
      </c>
      <c r="C58" s="50" t="s">
        <v>519</v>
      </c>
      <c r="D58" s="130" t="s">
        <v>567</v>
      </c>
      <c r="E58" s="243"/>
      <c r="F58" s="246"/>
      <c r="G58" s="231"/>
      <c r="H58" s="231"/>
      <c r="I58" s="231"/>
      <c r="J58" s="232"/>
    </row>
    <row r="59" spans="2:10" s="40" customFormat="1" x14ac:dyDescent="0.25">
      <c r="B59" s="55">
        <v>49</v>
      </c>
      <c r="C59" s="50" t="s">
        <v>519</v>
      </c>
      <c r="D59" s="130" t="s">
        <v>568</v>
      </c>
      <c r="E59" s="243"/>
      <c r="F59" s="246"/>
      <c r="G59" s="231"/>
      <c r="H59" s="231"/>
      <c r="I59" s="231"/>
      <c r="J59" s="232"/>
    </row>
    <row r="60" spans="2:10" s="40" customFormat="1" x14ac:dyDescent="0.25">
      <c r="B60" s="55">
        <v>50</v>
      </c>
      <c r="C60" s="50" t="s">
        <v>519</v>
      </c>
      <c r="D60" s="130" t="s">
        <v>569</v>
      </c>
      <c r="E60" s="243"/>
      <c r="F60" s="246"/>
      <c r="G60" s="231"/>
      <c r="H60" s="231"/>
      <c r="I60" s="231"/>
      <c r="J60" s="232"/>
    </row>
    <row r="61" spans="2:10" s="40" customFormat="1" x14ac:dyDescent="0.25">
      <c r="B61" s="55">
        <v>51</v>
      </c>
      <c r="C61" s="50" t="s">
        <v>519</v>
      </c>
      <c r="D61" s="130" t="s">
        <v>570</v>
      </c>
      <c r="E61" s="243"/>
      <c r="F61" s="246"/>
      <c r="G61" s="231"/>
      <c r="H61" s="231"/>
      <c r="I61" s="231"/>
      <c r="J61" s="232"/>
    </row>
    <row r="62" spans="2:10" s="40" customFormat="1" x14ac:dyDescent="0.25">
      <c r="B62" s="55">
        <v>52</v>
      </c>
      <c r="C62" s="50" t="s">
        <v>519</v>
      </c>
      <c r="D62" s="130" t="s">
        <v>571</v>
      </c>
      <c r="E62" s="243"/>
      <c r="F62" s="246"/>
      <c r="G62" s="231"/>
      <c r="H62" s="231"/>
      <c r="I62" s="231"/>
      <c r="J62" s="232"/>
    </row>
    <row r="63" spans="2:10" s="40" customFormat="1" x14ac:dyDescent="0.25">
      <c r="B63" s="55">
        <v>53</v>
      </c>
      <c r="C63" s="50" t="s">
        <v>519</v>
      </c>
      <c r="D63" s="130" t="s">
        <v>572</v>
      </c>
      <c r="E63" s="243"/>
      <c r="F63" s="246"/>
      <c r="G63" s="231"/>
      <c r="H63" s="231"/>
      <c r="I63" s="231"/>
      <c r="J63" s="232"/>
    </row>
    <row r="64" spans="2:10" s="40" customFormat="1" x14ac:dyDescent="0.25">
      <c r="B64" s="55">
        <v>54</v>
      </c>
      <c r="C64" s="50" t="s">
        <v>519</v>
      </c>
      <c r="D64" s="130" t="s">
        <v>573</v>
      </c>
      <c r="E64" s="243"/>
      <c r="F64" s="246"/>
      <c r="G64" s="231"/>
      <c r="H64" s="231"/>
      <c r="I64" s="231"/>
      <c r="J64" s="232"/>
    </row>
    <row r="65" spans="2:10" s="40" customFormat="1" x14ac:dyDescent="0.25">
      <c r="B65" s="55">
        <v>55</v>
      </c>
      <c r="C65" s="50" t="s">
        <v>574</v>
      </c>
      <c r="D65" s="130" t="s">
        <v>575</v>
      </c>
      <c r="E65" s="243"/>
      <c r="F65" s="246"/>
      <c r="G65" s="231"/>
      <c r="H65" s="231"/>
      <c r="I65" s="231"/>
      <c r="J65" s="232"/>
    </row>
    <row r="66" spans="2:10" s="40" customFormat="1" x14ac:dyDescent="0.25">
      <c r="B66" s="55">
        <v>56</v>
      </c>
      <c r="C66" s="50" t="s">
        <v>574</v>
      </c>
      <c r="D66" s="130" t="s">
        <v>576</v>
      </c>
      <c r="E66" s="243"/>
      <c r="F66" s="246"/>
      <c r="G66" s="231"/>
      <c r="H66" s="231"/>
      <c r="I66" s="231"/>
      <c r="J66" s="232"/>
    </row>
    <row r="67" spans="2:10" s="40" customFormat="1" x14ac:dyDescent="0.25">
      <c r="B67" s="55">
        <v>57</v>
      </c>
      <c r="C67" s="50" t="s">
        <v>574</v>
      </c>
      <c r="D67" s="130" t="s">
        <v>577</v>
      </c>
      <c r="E67" s="243"/>
      <c r="F67" s="246"/>
      <c r="G67" s="231"/>
      <c r="H67" s="231"/>
      <c r="I67" s="231"/>
      <c r="J67" s="232"/>
    </row>
    <row r="68" spans="2:10" s="40" customFormat="1" x14ac:dyDescent="0.25">
      <c r="B68" s="55">
        <v>58</v>
      </c>
      <c r="C68" s="50" t="s">
        <v>574</v>
      </c>
      <c r="D68" s="130" t="s">
        <v>578</v>
      </c>
      <c r="E68" s="243"/>
      <c r="F68" s="246"/>
      <c r="G68" s="231"/>
      <c r="H68" s="231"/>
      <c r="I68" s="231"/>
      <c r="J68" s="232"/>
    </row>
    <row r="69" spans="2:10" s="40" customFormat="1" x14ac:dyDescent="0.25">
      <c r="B69" s="55">
        <v>59</v>
      </c>
      <c r="C69" s="50" t="s">
        <v>574</v>
      </c>
      <c r="D69" s="130" t="s">
        <v>579</v>
      </c>
      <c r="E69" s="243"/>
      <c r="F69" s="246"/>
      <c r="G69" s="231"/>
      <c r="H69" s="231"/>
      <c r="I69" s="231"/>
      <c r="J69" s="232"/>
    </row>
    <row r="70" spans="2:10" s="40" customFormat="1" x14ac:dyDescent="0.25">
      <c r="B70" s="55">
        <v>60</v>
      </c>
      <c r="C70" s="50" t="s">
        <v>574</v>
      </c>
      <c r="D70" s="130" t="s">
        <v>580</v>
      </c>
      <c r="E70" s="243"/>
      <c r="F70" s="246"/>
      <c r="G70" s="231"/>
      <c r="H70" s="231"/>
      <c r="I70" s="231"/>
      <c r="J70" s="232"/>
    </row>
    <row r="71" spans="2:10" s="40" customFormat="1" x14ac:dyDescent="0.25">
      <c r="B71" s="55">
        <v>61</v>
      </c>
      <c r="C71" s="50" t="s">
        <v>574</v>
      </c>
      <c r="D71" s="130" t="s">
        <v>581</v>
      </c>
      <c r="E71" s="243"/>
      <c r="F71" s="246"/>
      <c r="G71" s="231"/>
      <c r="H71" s="231"/>
      <c r="I71" s="231"/>
      <c r="J71" s="232"/>
    </row>
    <row r="72" spans="2:10" s="40" customFormat="1" x14ac:dyDescent="0.25">
      <c r="B72" s="55">
        <v>62</v>
      </c>
      <c r="C72" s="50" t="s">
        <v>574</v>
      </c>
      <c r="D72" s="130" t="s">
        <v>582</v>
      </c>
      <c r="E72" s="243"/>
      <c r="F72" s="246"/>
      <c r="G72" s="231"/>
      <c r="H72" s="231"/>
      <c r="I72" s="231"/>
      <c r="J72" s="232"/>
    </row>
    <row r="73" spans="2:10" s="40" customFormat="1" x14ac:dyDescent="0.25">
      <c r="B73" s="55">
        <v>63</v>
      </c>
      <c r="C73" s="50" t="s">
        <v>574</v>
      </c>
      <c r="D73" s="130" t="s">
        <v>583</v>
      </c>
      <c r="E73" s="243"/>
      <c r="F73" s="246"/>
      <c r="G73" s="231"/>
      <c r="H73" s="231"/>
      <c r="I73" s="231"/>
      <c r="J73" s="232"/>
    </row>
    <row r="74" spans="2:10" s="40" customFormat="1" x14ac:dyDescent="0.25">
      <c r="B74" s="55">
        <v>64</v>
      </c>
      <c r="C74" s="50" t="s">
        <v>574</v>
      </c>
      <c r="D74" s="130" t="s">
        <v>584</v>
      </c>
      <c r="E74" s="243"/>
      <c r="F74" s="246"/>
      <c r="G74" s="231"/>
      <c r="H74" s="231"/>
      <c r="I74" s="231"/>
      <c r="J74" s="232"/>
    </row>
    <row r="75" spans="2:10" s="40" customFormat="1" x14ac:dyDescent="0.25">
      <c r="B75" s="55">
        <v>65</v>
      </c>
      <c r="C75" s="50" t="s">
        <v>574</v>
      </c>
      <c r="D75" s="130" t="s">
        <v>585</v>
      </c>
      <c r="E75" s="243"/>
      <c r="F75" s="246"/>
      <c r="G75" s="231"/>
      <c r="H75" s="231"/>
      <c r="I75" s="231"/>
      <c r="J75" s="232"/>
    </row>
    <row r="76" spans="2:10" s="40" customFormat="1" x14ac:dyDescent="0.25">
      <c r="B76" s="55">
        <v>66</v>
      </c>
      <c r="C76" s="50" t="s">
        <v>574</v>
      </c>
      <c r="D76" s="130" t="s">
        <v>586</v>
      </c>
      <c r="E76" s="243"/>
      <c r="F76" s="246"/>
      <c r="G76" s="231"/>
      <c r="H76" s="231"/>
      <c r="I76" s="231"/>
      <c r="J76" s="232"/>
    </row>
    <row r="77" spans="2:10" s="40" customFormat="1" ht="25.5" x14ac:dyDescent="0.25">
      <c r="B77" s="55">
        <v>67</v>
      </c>
      <c r="C77" s="50" t="s">
        <v>574</v>
      </c>
      <c r="D77" s="130" t="s">
        <v>587</v>
      </c>
      <c r="E77" s="243"/>
      <c r="F77" s="246"/>
      <c r="G77" s="231"/>
      <c r="H77" s="231"/>
      <c r="I77" s="231"/>
      <c r="J77" s="232"/>
    </row>
    <row r="78" spans="2:10" s="40" customFormat="1" x14ac:dyDescent="0.25">
      <c r="B78" s="55">
        <v>68</v>
      </c>
      <c r="C78" s="50" t="s">
        <v>574</v>
      </c>
      <c r="D78" s="130" t="s">
        <v>588</v>
      </c>
      <c r="E78" s="243"/>
      <c r="F78" s="246"/>
      <c r="G78" s="231"/>
      <c r="H78" s="231"/>
      <c r="I78" s="231"/>
      <c r="J78" s="232"/>
    </row>
    <row r="79" spans="2:10" s="40" customFormat="1" x14ac:dyDescent="0.25">
      <c r="B79" s="55">
        <v>69</v>
      </c>
      <c r="C79" s="50" t="s">
        <v>574</v>
      </c>
      <c r="D79" s="130" t="s">
        <v>589</v>
      </c>
      <c r="E79" s="243"/>
      <c r="F79" s="246"/>
      <c r="G79" s="231"/>
      <c r="H79" s="231"/>
      <c r="I79" s="231"/>
      <c r="J79" s="232"/>
    </row>
    <row r="80" spans="2:10" s="40" customFormat="1" x14ac:dyDescent="0.25">
      <c r="B80" s="55">
        <v>70</v>
      </c>
      <c r="C80" s="50" t="s">
        <v>574</v>
      </c>
      <c r="D80" s="130" t="s">
        <v>590</v>
      </c>
      <c r="E80" s="243"/>
      <c r="F80" s="246"/>
      <c r="G80" s="231"/>
      <c r="H80" s="231"/>
      <c r="I80" s="231"/>
      <c r="J80" s="232"/>
    </row>
    <row r="81" spans="2:10" s="40" customFormat="1" x14ac:dyDescent="0.25">
      <c r="B81" s="55">
        <v>71</v>
      </c>
      <c r="C81" s="50" t="s">
        <v>574</v>
      </c>
      <c r="D81" s="130" t="s">
        <v>591</v>
      </c>
      <c r="E81" s="243"/>
      <c r="F81" s="246"/>
      <c r="G81" s="231"/>
      <c r="H81" s="231"/>
      <c r="I81" s="231"/>
      <c r="J81" s="232"/>
    </row>
    <row r="82" spans="2:10" s="40" customFormat="1" x14ac:dyDescent="0.25">
      <c r="B82" s="55">
        <v>72</v>
      </c>
      <c r="C82" s="50" t="s">
        <v>574</v>
      </c>
      <c r="D82" s="130" t="s">
        <v>592</v>
      </c>
      <c r="E82" s="243"/>
      <c r="F82" s="246"/>
      <c r="G82" s="231"/>
      <c r="H82" s="231"/>
      <c r="I82" s="231"/>
      <c r="J82" s="232"/>
    </row>
    <row r="83" spans="2:10" s="40" customFormat="1" x14ac:dyDescent="0.25">
      <c r="B83" s="55">
        <v>73</v>
      </c>
      <c r="C83" s="50" t="s">
        <v>574</v>
      </c>
      <c r="D83" s="130" t="s">
        <v>593</v>
      </c>
      <c r="E83" s="243"/>
      <c r="F83" s="246"/>
      <c r="G83" s="231"/>
      <c r="H83" s="231"/>
      <c r="I83" s="231"/>
      <c r="J83" s="232"/>
    </row>
    <row r="84" spans="2:10" s="40" customFormat="1" x14ac:dyDescent="0.25">
      <c r="B84" s="55">
        <v>74</v>
      </c>
      <c r="C84" s="50" t="s">
        <v>574</v>
      </c>
      <c r="D84" s="130" t="s">
        <v>594</v>
      </c>
      <c r="E84" s="243"/>
      <c r="F84" s="246"/>
      <c r="G84" s="231"/>
      <c r="H84" s="231"/>
      <c r="I84" s="231"/>
      <c r="J84" s="232"/>
    </row>
    <row r="85" spans="2:10" s="40" customFormat="1" x14ac:dyDescent="0.25">
      <c r="B85" s="55">
        <v>75</v>
      </c>
      <c r="C85" s="50" t="s">
        <v>574</v>
      </c>
      <c r="D85" s="130" t="s">
        <v>595</v>
      </c>
      <c r="E85" s="243"/>
      <c r="F85" s="246"/>
      <c r="G85" s="231"/>
      <c r="H85" s="231"/>
      <c r="I85" s="231"/>
      <c r="J85" s="232"/>
    </row>
    <row r="86" spans="2:10" s="40" customFormat="1" ht="25.5" x14ac:dyDescent="0.25">
      <c r="B86" s="55">
        <v>76</v>
      </c>
      <c r="C86" s="50" t="s">
        <v>574</v>
      </c>
      <c r="D86" s="130" t="s">
        <v>596</v>
      </c>
      <c r="E86" s="243"/>
      <c r="F86" s="246"/>
      <c r="G86" s="231"/>
      <c r="H86" s="231"/>
      <c r="I86" s="231"/>
      <c r="J86" s="232"/>
    </row>
    <row r="87" spans="2:10" s="40" customFormat="1" x14ac:dyDescent="0.25">
      <c r="B87" s="55">
        <v>77</v>
      </c>
      <c r="C87" s="50" t="s">
        <v>574</v>
      </c>
      <c r="D87" s="130" t="s">
        <v>597</v>
      </c>
      <c r="E87" s="243"/>
      <c r="F87" s="246"/>
      <c r="G87" s="231"/>
      <c r="H87" s="231"/>
      <c r="I87" s="231"/>
      <c r="J87" s="232"/>
    </row>
    <row r="88" spans="2:10" s="40" customFormat="1" x14ac:dyDescent="0.25">
      <c r="B88" s="55">
        <v>78</v>
      </c>
      <c r="C88" s="50" t="s">
        <v>574</v>
      </c>
      <c r="D88" s="130" t="s">
        <v>598</v>
      </c>
      <c r="E88" s="243"/>
      <c r="F88" s="246"/>
      <c r="G88" s="231"/>
      <c r="H88" s="231"/>
      <c r="I88" s="231"/>
      <c r="J88" s="232"/>
    </row>
    <row r="89" spans="2:10" s="40" customFormat="1" x14ac:dyDescent="0.25">
      <c r="B89" s="55">
        <v>79</v>
      </c>
      <c r="C89" s="50" t="s">
        <v>574</v>
      </c>
      <c r="D89" s="130" t="s">
        <v>599</v>
      </c>
      <c r="E89" s="243"/>
      <c r="F89" s="246"/>
      <c r="G89" s="231"/>
      <c r="H89" s="231"/>
      <c r="I89" s="231"/>
      <c r="J89" s="232"/>
    </row>
    <row r="90" spans="2:10" s="40" customFormat="1" x14ac:dyDescent="0.25">
      <c r="B90" s="55">
        <v>80</v>
      </c>
      <c r="C90" s="50" t="s">
        <v>574</v>
      </c>
      <c r="D90" s="130" t="s">
        <v>600</v>
      </c>
      <c r="E90" s="243"/>
      <c r="F90" s="246"/>
      <c r="G90" s="231"/>
      <c r="H90" s="231"/>
      <c r="I90" s="231"/>
      <c r="J90" s="232"/>
    </row>
    <row r="91" spans="2:10" s="40" customFormat="1" x14ac:dyDescent="0.25">
      <c r="B91" s="55">
        <v>81</v>
      </c>
      <c r="C91" s="50" t="s">
        <v>574</v>
      </c>
      <c r="D91" s="130" t="s">
        <v>601</v>
      </c>
      <c r="E91" s="243"/>
      <c r="F91" s="246"/>
      <c r="G91" s="231"/>
      <c r="H91" s="231"/>
      <c r="I91" s="231"/>
      <c r="J91" s="232"/>
    </row>
    <row r="92" spans="2:10" s="40" customFormat="1" x14ac:dyDescent="0.25">
      <c r="B92" s="55">
        <v>82</v>
      </c>
      <c r="C92" s="50" t="s">
        <v>574</v>
      </c>
      <c r="D92" s="130" t="s">
        <v>602</v>
      </c>
      <c r="E92" s="243"/>
      <c r="F92" s="246"/>
      <c r="G92" s="231"/>
      <c r="H92" s="231"/>
      <c r="I92" s="231"/>
      <c r="J92" s="232"/>
    </row>
    <row r="93" spans="2:10" s="40" customFormat="1" x14ac:dyDescent="0.25">
      <c r="B93" s="55">
        <v>83</v>
      </c>
      <c r="C93" s="50" t="s">
        <v>574</v>
      </c>
      <c r="D93" s="130" t="s">
        <v>603</v>
      </c>
      <c r="E93" s="243"/>
      <c r="F93" s="246"/>
      <c r="G93" s="231"/>
      <c r="H93" s="231"/>
      <c r="I93" s="231"/>
      <c r="J93" s="232"/>
    </row>
    <row r="94" spans="2:10" s="40" customFormat="1" x14ac:dyDescent="0.25">
      <c r="B94" s="55">
        <v>84</v>
      </c>
      <c r="C94" s="50" t="s">
        <v>574</v>
      </c>
      <c r="D94" s="130" t="s">
        <v>604</v>
      </c>
      <c r="E94" s="243"/>
      <c r="F94" s="246"/>
      <c r="G94" s="231"/>
      <c r="H94" s="231"/>
      <c r="I94" s="231"/>
      <c r="J94" s="232"/>
    </row>
    <row r="95" spans="2:10" s="40" customFormat="1" ht="25.5" x14ac:dyDescent="0.25">
      <c r="B95" s="55">
        <v>85</v>
      </c>
      <c r="C95" s="50" t="s">
        <v>574</v>
      </c>
      <c r="D95" s="130" t="s">
        <v>605</v>
      </c>
      <c r="E95" s="243"/>
      <c r="F95" s="246"/>
      <c r="G95" s="231"/>
      <c r="H95" s="231"/>
      <c r="I95" s="231"/>
      <c r="J95" s="232"/>
    </row>
    <row r="96" spans="2:10" s="40" customFormat="1" x14ac:dyDescent="0.25">
      <c r="B96" s="55">
        <v>86</v>
      </c>
      <c r="C96" s="50" t="s">
        <v>574</v>
      </c>
      <c r="D96" s="130" t="s">
        <v>606</v>
      </c>
      <c r="E96" s="243"/>
      <c r="F96" s="246"/>
      <c r="G96" s="231"/>
      <c r="H96" s="231"/>
      <c r="I96" s="231"/>
      <c r="J96" s="232"/>
    </row>
    <row r="97" spans="2:10" s="40" customFormat="1" x14ac:dyDescent="0.25">
      <c r="B97" s="55">
        <v>87</v>
      </c>
      <c r="C97" s="50" t="s">
        <v>574</v>
      </c>
      <c r="D97" s="130" t="s">
        <v>607</v>
      </c>
      <c r="E97" s="243"/>
      <c r="F97" s="246"/>
      <c r="G97" s="231"/>
      <c r="H97" s="231"/>
      <c r="I97" s="231"/>
      <c r="J97" s="232"/>
    </row>
    <row r="98" spans="2:10" s="40" customFormat="1" x14ac:dyDescent="0.25">
      <c r="B98" s="55">
        <v>88</v>
      </c>
      <c r="C98" s="50" t="s">
        <v>574</v>
      </c>
      <c r="D98" s="130" t="s">
        <v>608</v>
      </c>
      <c r="E98" s="243"/>
      <c r="F98" s="246"/>
      <c r="G98" s="231"/>
      <c r="H98" s="231"/>
      <c r="I98" s="231"/>
      <c r="J98" s="232"/>
    </row>
    <row r="99" spans="2:10" s="40" customFormat="1" x14ac:dyDescent="0.25">
      <c r="B99" s="55">
        <v>89</v>
      </c>
      <c r="C99" s="50" t="s">
        <v>574</v>
      </c>
      <c r="D99" s="130" t="s">
        <v>609</v>
      </c>
      <c r="E99" s="243"/>
      <c r="F99" s="246"/>
      <c r="G99" s="231"/>
      <c r="H99" s="231"/>
      <c r="I99" s="231"/>
      <c r="J99" s="232"/>
    </row>
    <row r="100" spans="2:10" s="40" customFormat="1" x14ac:dyDescent="0.25">
      <c r="B100" s="55">
        <v>90</v>
      </c>
      <c r="C100" s="50" t="s">
        <v>574</v>
      </c>
      <c r="D100" s="130" t="s">
        <v>610</v>
      </c>
      <c r="E100" s="243"/>
      <c r="F100" s="246"/>
      <c r="G100" s="231"/>
      <c r="H100" s="231"/>
      <c r="I100" s="231"/>
      <c r="J100" s="232"/>
    </row>
    <row r="101" spans="2:10" s="40" customFormat="1" x14ac:dyDescent="0.25">
      <c r="B101" s="55">
        <v>91</v>
      </c>
      <c r="C101" s="50" t="s">
        <v>611</v>
      </c>
      <c r="D101" s="130" t="s">
        <v>612</v>
      </c>
      <c r="E101" s="243"/>
      <c r="F101" s="246"/>
      <c r="G101" s="231"/>
      <c r="H101" s="231"/>
      <c r="I101" s="231"/>
      <c r="J101" s="232"/>
    </row>
    <row r="102" spans="2:10" s="40" customFormat="1" x14ac:dyDescent="0.25">
      <c r="B102" s="55">
        <v>92</v>
      </c>
      <c r="C102" s="50" t="s">
        <v>611</v>
      </c>
      <c r="D102" s="130" t="s">
        <v>613</v>
      </c>
      <c r="E102" s="243"/>
      <c r="F102" s="246"/>
      <c r="G102" s="231"/>
      <c r="H102" s="231"/>
      <c r="I102" s="231"/>
      <c r="J102" s="232"/>
    </row>
    <row r="103" spans="2:10" s="40" customFormat="1" x14ac:dyDescent="0.25">
      <c r="B103" s="55">
        <v>93</v>
      </c>
      <c r="C103" s="50" t="s">
        <v>611</v>
      </c>
      <c r="D103" s="130" t="s">
        <v>614</v>
      </c>
      <c r="E103" s="243"/>
      <c r="F103" s="246"/>
      <c r="G103" s="231"/>
      <c r="H103" s="231"/>
      <c r="I103" s="231"/>
      <c r="J103" s="232"/>
    </row>
    <row r="104" spans="2:10" s="40" customFormat="1" x14ac:dyDescent="0.25">
      <c r="B104" s="55">
        <v>94</v>
      </c>
      <c r="C104" s="50" t="s">
        <v>611</v>
      </c>
      <c r="D104" s="130" t="s">
        <v>615</v>
      </c>
      <c r="E104" s="243"/>
      <c r="F104" s="246"/>
      <c r="G104" s="231"/>
      <c r="H104" s="231"/>
      <c r="I104" s="231"/>
      <c r="J104" s="232"/>
    </row>
    <row r="105" spans="2:10" s="40" customFormat="1" x14ac:dyDescent="0.25">
      <c r="B105" s="55">
        <v>95</v>
      </c>
      <c r="C105" s="50" t="s">
        <v>611</v>
      </c>
      <c r="D105" s="130" t="s">
        <v>616</v>
      </c>
      <c r="E105" s="243"/>
      <c r="F105" s="246"/>
      <c r="G105" s="231"/>
      <c r="H105" s="231"/>
      <c r="I105" s="231"/>
      <c r="J105" s="232"/>
    </row>
    <row r="106" spans="2:10" s="40" customFormat="1" x14ac:dyDescent="0.25">
      <c r="B106" s="55">
        <v>96</v>
      </c>
      <c r="C106" s="50" t="s">
        <v>611</v>
      </c>
      <c r="D106" s="130" t="s">
        <v>617</v>
      </c>
      <c r="E106" s="243"/>
      <c r="F106" s="246"/>
      <c r="G106" s="231"/>
      <c r="H106" s="231"/>
      <c r="I106" s="231"/>
      <c r="J106" s="232"/>
    </row>
    <row r="107" spans="2:10" s="40" customFormat="1" x14ac:dyDescent="0.25">
      <c r="B107" s="55">
        <v>97</v>
      </c>
      <c r="C107" s="50" t="s">
        <v>611</v>
      </c>
      <c r="D107" s="130" t="s">
        <v>618</v>
      </c>
      <c r="E107" s="243"/>
      <c r="F107" s="246"/>
      <c r="G107" s="231"/>
      <c r="H107" s="231"/>
      <c r="I107" s="231"/>
      <c r="J107" s="232"/>
    </row>
    <row r="108" spans="2:10" s="40" customFormat="1" x14ac:dyDescent="0.25">
      <c r="B108" s="55">
        <v>98</v>
      </c>
      <c r="C108" s="50" t="s">
        <v>611</v>
      </c>
      <c r="D108" s="130" t="s">
        <v>619</v>
      </c>
      <c r="E108" s="243"/>
      <c r="F108" s="246"/>
      <c r="G108" s="231"/>
      <c r="H108" s="231"/>
      <c r="I108" s="231"/>
      <c r="J108" s="232"/>
    </row>
    <row r="109" spans="2:10" s="40" customFormat="1" x14ac:dyDescent="0.25">
      <c r="B109" s="55">
        <v>99</v>
      </c>
      <c r="C109" s="50" t="s">
        <v>611</v>
      </c>
      <c r="D109" s="130" t="s">
        <v>620</v>
      </c>
      <c r="E109" s="243"/>
      <c r="F109" s="246"/>
      <c r="G109" s="231"/>
      <c r="H109" s="231"/>
      <c r="I109" s="231"/>
      <c r="J109" s="232"/>
    </row>
    <row r="110" spans="2:10" s="40" customFormat="1" x14ac:dyDescent="0.25">
      <c r="B110" s="55">
        <v>100</v>
      </c>
      <c r="C110" s="50" t="s">
        <v>611</v>
      </c>
      <c r="D110" s="130" t="s">
        <v>621</v>
      </c>
      <c r="E110" s="243"/>
      <c r="F110" s="246"/>
      <c r="G110" s="231"/>
      <c r="H110" s="231"/>
      <c r="I110" s="231"/>
      <c r="J110" s="232"/>
    </row>
    <row r="111" spans="2:10" s="40" customFormat="1" ht="25.5" x14ac:dyDescent="0.25">
      <c r="B111" s="55">
        <v>101</v>
      </c>
      <c r="C111" s="50" t="s">
        <v>611</v>
      </c>
      <c r="D111" s="130" t="s">
        <v>622</v>
      </c>
      <c r="E111" s="243"/>
      <c r="F111" s="246"/>
      <c r="G111" s="231"/>
      <c r="H111" s="231"/>
      <c r="I111" s="231"/>
      <c r="J111" s="232"/>
    </row>
    <row r="112" spans="2:10" s="40" customFormat="1" x14ac:dyDescent="0.25">
      <c r="B112" s="55">
        <v>102</v>
      </c>
      <c r="C112" s="50" t="s">
        <v>611</v>
      </c>
      <c r="D112" s="130" t="s">
        <v>623</v>
      </c>
      <c r="E112" s="243"/>
      <c r="F112" s="246"/>
      <c r="G112" s="231"/>
      <c r="H112" s="231"/>
      <c r="I112" s="231"/>
      <c r="J112" s="232"/>
    </row>
    <row r="113" spans="2:10" s="40" customFormat="1" x14ac:dyDescent="0.25">
      <c r="B113" s="55">
        <v>103</v>
      </c>
      <c r="C113" s="50" t="s">
        <v>611</v>
      </c>
      <c r="D113" s="130" t="s">
        <v>624</v>
      </c>
      <c r="E113" s="243"/>
      <c r="F113" s="246"/>
      <c r="G113" s="231"/>
      <c r="H113" s="231"/>
      <c r="I113" s="231"/>
      <c r="J113" s="232"/>
    </row>
    <row r="114" spans="2:10" s="40" customFormat="1" ht="25.5" x14ac:dyDescent="0.25">
      <c r="B114" s="55">
        <v>104</v>
      </c>
      <c r="C114" s="50" t="s">
        <v>611</v>
      </c>
      <c r="D114" s="130" t="s">
        <v>625</v>
      </c>
      <c r="E114" s="243"/>
      <c r="F114" s="246"/>
      <c r="G114" s="231"/>
      <c r="H114" s="231"/>
      <c r="I114" s="231"/>
      <c r="J114" s="232"/>
    </row>
    <row r="115" spans="2:10" s="40" customFormat="1" x14ac:dyDescent="0.25">
      <c r="B115" s="55">
        <v>105</v>
      </c>
      <c r="C115" s="50" t="s">
        <v>611</v>
      </c>
      <c r="D115" s="130" t="s">
        <v>626</v>
      </c>
      <c r="E115" s="243"/>
      <c r="F115" s="246"/>
      <c r="G115" s="231"/>
      <c r="H115" s="231"/>
      <c r="I115" s="231"/>
      <c r="J115" s="232"/>
    </row>
    <row r="116" spans="2:10" s="40" customFormat="1" x14ac:dyDescent="0.25">
      <c r="B116" s="55">
        <v>106</v>
      </c>
      <c r="C116" s="50" t="s">
        <v>611</v>
      </c>
      <c r="D116" s="130" t="s">
        <v>627</v>
      </c>
      <c r="E116" s="243"/>
      <c r="F116" s="246"/>
      <c r="G116" s="231"/>
      <c r="H116" s="231"/>
      <c r="I116" s="231"/>
      <c r="J116" s="232"/>
    </row>
    <row r="117" spans="2:10" s="40" customFormat="1" x14ac:dyDescent="0.25">
      <c r="B117" s="55">
        <v>107</v>
      </c>
      <c r="C117" s="50" t="s">
        <v>611</v>
      </c>
      <c r="D117" s="130" t="s">
        <v>628</v>
      </c>
      <c r="E117" s="243"/>
      <c r="F117" s="246"/>
      <c r="G117" s="231"/>
      <c r="H117" s="231"/>
      <c r="I117" s="231"/>
      <c r="J117" s="232"/>
    </row>
    <row r="118" spans="2:10" s="40" customFormat="1" x14ac:dyDescent="0.25">
      <c r="B118" s="55">
        <v>108</v>
      </c>
      <c r="C118" s="50" t="s">
        <v>611</v>
      </c>
      <c r="D118" s="130" t="s">
        <v>629</v>
      </c>
      <c r="E118" s="243"/>
      <c r="F118" s="246"/>
      <c r="G118" s="231"/>
      <c r="H118" s="231"/>
      <c r="I118" s="231"/>
      <c r="J118" s="232"/>
    </row>
    <row r="119" spans="2:10" s="40" customFormat="1" ht="25.5" x14ac:dyDescent="0.25">
      <c r="B119" s="55">
        <v>109</v>
      </c>
      <c r="C119" s="50" t="s">
        <v>611</v>
      </c>
      <c r="D119" s="130" t="s">
        <v>630</v>
      </c>
      <c r="E119" s="243"/>
      <c r="F119" s="246"/>
      <c r="G119" s="231"/>
      <c r="H119" s="231"/>
      <c r="I119" s="231"/>
      <c r="J119" s="232"/>
    </row>
    <row r="120" spans="2:10" s="40" customFormat="1" x14ac:dyDescent="0.25">
      <c r="B120" s="55">
        <v>110</v>
      </c>
      <c r="C120" s="50" t="s">
        <v>611</v>
      </c>
      <c r="D120" s="130" t="s">
        <v>631</v>
      </c>
      <c r="E120" s="243"/>
      <c r="F120" s="246"/>
      <c r="G120" s="231"/>
      <c r="H120" s="231"/>
      <c r="I120" s="231"/>
      <c r="J120" s="232"/>
    </row>
    <row r="121" spans="2:10" s="40" customFormat="1" x14ac:dyDescent="0.25">
      <c r="B121" s="55">
        <v>111</v>
      </c>
      <c r="C121" s="50" t="s">
        <v>611</v>
      </c>
      <c r="D121" s="130" t="s">
        <v>632</v>
      </c>
      <c r="E121" s="243"/>
      <c r="F121" s="246"/>
      <c r="G121" s="231"/>
      <c r="H121" s="231"/>
      <c r="I121" s="231"/>
      <c r="J121" s="232"/>
    </row>
    <row r="122" spans="2:10" s="40" customFormat="1" x14ac:dyDescent="0.25">
      <c r="B122" s="55">
        <v>112</v>
      </c>
      <c r="C122" s="50" t="s">
        <v>611</v>
      </c>
      <c r="D122" s="130" t="s">
        <v>633</v>
      </c>
      <c r="E122" s="243"/>
      <c r="F122" s="246"/>
      <c r="G122" s="231"/>
      <c r="H122" s="231"/>
      <c r="I122" s="231"/>
      <c r="J122" s="232"/>
    </row>
    <row r="123" spans="2:10" s="40" customFormat="1" ht="25.5" x14ac:dyDescent="0.25">
      <c r="B123" s="55">
        <v>113</v>
      </c>
      <c r="C123" s="50" t="s">
        <v>611</v>
      </c>
      <c r="D123" s="130" t="s">
        <v>634</v>
      </c>
      <c r="E123" s="243"/>
      <c r="F123" s="246"/>
      <c r="G123" s="231"/>
      <c r="H123" s="231"/>
      <c r="I123" s="231"/>
      <c r="J123" s="232"/>
    </row>
    <row r="124" spans="2:10" s="40" customFormat="1" x14ac:dyDescent="0.25">
      <c r="B124" s="55">
        <v>114</v>
      </c>
      <c r="C124" s="50" t="s">
        <v>611</v>
      </c>
      <c r="D124" s="130" t="s">
        <v>635</v>
      </c>
      <c r="E124" s="243"/>
      <c r="F124" s="246"/>
      <c r="G124" s="231"/>
      <c r="H124" s="231"/>
      <c r="I124" s="231"/>
      <c r="J124" s="232"/>
    </row>
    <row r="125" spans="2:10" s="40" customFormat="1" ht="25.5" x14ac:dyDescent="0.25">
      <c r="B125" s="55">
        <v>115</v>
      </c>
      <c r="C125" s="50" t="s">
        <v>611</v>
      </c>
      <c r="D125" s="130" t="s">
        <v>636</v>
      </c>
      <c r="E125" s="243"/>
      <c r="F125" s="246"/>
      <c r="G125" s="231"/>
      <c r="H125" s="231"/>
      <c r="I125" s="231"/>
      <c r="J125" s="232"/>
    </row>
    <row r="126" spans="2:10" s="40" customFormat="1" ht="25.5" x14ac:dyDescent="0.25">
      <c r="B126" s="55">
        <v>116</v>
      </c>
      <c r="C126" s="50" t="s">
        <v>611</v>
      </c>
      <c r="D126" s="130" t="s">
        <v>637</v>
      </c>
      <c r="E126" s="243"/>
      <c r="F126" s="246"/>
      <c r="G126" s="231"/>
      <c r="H126" s="231"/>
      <c r="I126" s="231"/>
      <c r="J126" s="232"/>
    </row>
    <row r="127" spans="2:10" s="40" customFormat="1" ht="25.5" x14ac:dyDescent="0.25">
      <c r="B127" s="55">
        <v>117</v>
      </c>
      <c r="C127" s="50" t="s">
        <v>611</v>
      </c>
      <c r="D127" s="130" t="s">
        <v>638</v>
      </c>
      <c r="E127" s="243"/>
      <c r="F127" s="246"/>
      <c r="G127" s="231"/>
      <c r="H127" s="231"/>
      <c r="I127" s="231"/>
      <c r="J127" s="232"/>
    </row>
    <row r="128" spans="2:10" s="40" customFormat="1" x14ac:dyDescent="0.25">
      <c r="B128" s="55">
        <v>118</v>
      </c>
      <c r="C128" s="50" t="s">
        <v>611</v>
      </c>
      <c r="D128" s="130" t="s">
        <v>639</v>
      </c>
      <c r="E128" s="243"/>
      <c r="F128" s="246"/>
      <c r="G128" s="231"/>
      <c r="H128" s="231"/>
      <c r="I128" s="231"/>
      <c r="J128" s="232"/>
    </row>
    <row r="129" spans="2:10" s="40" customFormat="1" x14ac:dyDescent="0.25">
      <c r="B129" s="55">
        <v>119</v>
      </c>
      <c r="C129" s="50" t="s">
        <v>611</v>
      </c>
      <c r="D129" s="130" t="s">
        <v>640</v>
      </c>
      <c r="E129" s="243"/>
      <c r="F129" s="246"/>
      <c r="G129" s="231"/>
      <c r="H129" s="231"/>
      <c r="I129" s="231"/>
      <c r="J129" s="232"/>
    </row>
    <row r="130" spans="2:10" s="40" customFormat="1" ht="25.5" x14ac:dyDescent="0.25">
      <c r="B130" s="55">
        <v>120</v>
      </c>
      <c r="C130" s="50" t="s">
        <v>611</v>
      </c>
      <c r="D130" s="130" t="s">
        <v>641</v>
      </c>
      <c r="E130" s="243"/>
      <c r="F130" s="246"/>
      <c r="G130" s="231"/>
      <c r="H130" s="231"/>
      <c r="I130" s="231"/>
      <c r="J130" s="232"/>
    </row>
    <row r="131" spans="2:10" s="40" customFormat="1" x14ac:dyDescent="0.25">
      <c r="B131" s="55">
        <v>121</v>
      </c>
      <c r="C131" s="50" t="s">
        <v>611</v>
      </c>
      <c r="D131" s="130" t="s">
        <v>642</v>
      </c>
      <c r="E131" s="243"/>
      <c r="F131" s="246"/>
      <c r="G131" s="231"/>
      <c r="H131" s="231"/>
      <c r="I131" s="231"/>
      <c r="J131" s="232"/>
    </row>
    <row r="132" spans="2:10" s="40" customFormat="1" x14ac:dyDescent="0.25">
      <c r="B132" s="55">
        <v>122</v>
      </c>
      <c r="C132" s="50" t="s">
        <v>611</v>
      </c>
      <c r="D132" s="130" t="s">
        <v>643</v>
      </c>
      <c r="E132" s="243"/>
      <c r="F132" s="246"/>
      <c r="G132" s="231"/>
      <c r="H132" s="231"/>
      <c r="I132" s="231"/>
      <c r="J132" s="232"/>
    </row>
    <row r="133" spans="2:10" s="40" customFormat="1" x14ac:dyDescent="0.25">
      <c r="B133" s="55">
        <v>123</v>
      </c>
      <c r="C133" s="50" t="s">
        <v>611</v>
      </c>
      <c r="D133" s="130" t="s">
        <v>644</v>
      </c>
      <c r="E133" s="243"/>
      <c r="F133" s="246"/>
      <c r="G133" s="231"/>
      <c r="H133" s="231"/>
      <c r="I133" s="231"/>
      <c r="J133" s="232"/>
    </row>
    <row r="134" spans="2:10" s="40" customFormat="1" x14ac:dyDescent="0.25">
      <c r="B134" s="55">
        <v>124</v>
      </c>
      <c r="C134" s="50" t="s">
        <v>611</v>
      </c>
      <c r="D134" s="130" t="s">
        <v>645</v>
      </c>
      <c r="E134" s="243"/>
      <c r="F134" s="246"/>
      <c r="G134" s="231"/>
      <c r="H134" s="231"/>
      <c r="I134" s="231"/>
      <c r="J134" s="232"/>
    </row>
    <row r="135" spans="2:10" s="40" customFormat="1" x14ac:dyDescent="0.25">
      <c r="B135" s="55">
        <v>125</v>
      </c>
      <c r="C135" s="50" t="s">
        <v>611</v>
      </c>
      <c r="D135" s="130" t="s">
        <v>646</v>
      </c>
      <c r="E135" s="243"/>
      <c r="F135" s="246"/>
      <c r="G135" s="231"/>
      <c r="H135" s="231"/>
      <c r="I135" s="231"/>
      <c r="J135" s="232"/>
    </row>
    <row r="136" spans="2:10" s="40" customFormat="1" x14ac:dyDescent="0.25">
      <c r="B136" s="55">
        <v>126</v>
      </c>
      <c r="C136" s="50" t="s">
        <v>611</v>
      </c>
      <c r="D136" s="130" t="s">
        <v>647</v>
      </c>
      <c r="E136" s="243"/>
      <c r="F136" s="246"/>
      <c r="G136" s="231"/>
      <c r="H136" s="231"/>
      <c r="I136" s="231"/>
      <c r="J136" s="232"/>
    </row>
    <row r="137" spans="2:10" s="40" customFormat="1" x14ac:dyDescent="0.25">
      <c r="B137" s="55">
        <v>127</v>
      </c>
      <c r="C137" s="50" t="s">
        <v>611</v>
      </c>
      <c r="D137" s="130" t="s">
        <v>648</v>
      </c>
      <c r="E137" s="243"/>
      <c r="F137" s="246"/>
      <c r="G137" s="231"/>
      <c r="H137" s="231"/>
      <c r="I137" s="231"/>
      <c r="J137" s="232"/>
    </row>
    <row r="138" spans="2:10" s="40" customFormat="1" x14ac:dyDescent="0.25">
      <c r="B138" s="55">
        <v>128</v>
      </c>
      <c r="C138" s="50" t="s">
        <v>611</v>
      </c>
      <c r="D138" s="130" t="s">
        <v>649</v>
      </c>
      <c r="E138" s="243"/>
      <c r="F138" s="246"/>
      <c r="G138" s="231"/>
      <c r="H138" s="231"/>
      <c r="I138" s="231"/>
      <c r="J138" s="232"/>
    </row>
    <row r="139" spans="2:10" s="40" customFormat="1" x14ac:dyDescent="0.25">
      <c r="B139" s="55">
        <v>129</v>
      </c>
      <c r="C139" s="50" t="s">
        <v>611</v>
      </c>
      <c r="D139" s="130" t="s">
        <v>650</v>
      </c>
      <c r="E139" s="243"/>
      <c r="F139" s="246"/>
      <c r="G139" s="231"/>
      <c r="H139" s="231"/>
      <c r="I139" s="231"/>
      <c r="J139" s="232"/>
    </row>
    <row r="140" spans="2:10" s="40" customFormat="1" x14ac:dyDescent="0.25">
      <c r="B140" s="55">
        <v>130</v>
      </c>
      <c r="C140" s="50" t="s">
        <v>611</v>
      </c>
      <c r="D140" s="130" t="s">
        <v>651</v>
      </c>
      <c r="E140" s="243"/>
      <c r="F140" s="246"/>
      <c r="G140" s="231"/>
      <c r="H140" s="231"/>
      <c r="I140" s="231"/>
      <c r="J140" s="232"/>
    </row>
    <row r="141" spans="2:10" s="40" customFormat="1" x14ac:dyDescent="0.25">
      <c r="B141" s="55">
        <v>131</v>
      </c>
      <c r="C141" s="50" t="s">
        <v>611</v>
      </c>
      <c r="D141" s="130" t="s">
        <v>652</v>
      </c>
      <c r="E141" s="243"/>
      <c r="F141" s="246"/>
      <c r="G141" s="231"/>
      <c r="H141" s="231"/>
      <c r="I141" s="231"/>
      <c r="J141" s="232"/>
    </row>
    <row r="142" spans="2:10" s="40" customFormat="1" ht="25.5" x14ac:dyDescent="0.25">
      <c r="B142" s="55">
        <v>132</v>
      </c>
      <c r="C142" s="50" t="s">
        <v>611</v>
      </c>
      <c r="D142" s="130" t="s">
        <v>653</v>
      </c>
      <c r="E142" s="243"/>
      <c r="F142" s="246"/>
      <c r="G142" s="231"/>
      <c r="H142" s="231"/>
      <c r="I142" s="231"/>
      <c r="J142" s="232"/>
    </row>
    <row r="143" spans="2:10" s="40" customFormat="1" ht="25.5" x14ac:dyDescent="0.25">
      <c r="B143" s="55">
        <v>133</v>
      </c>
      <c r="C143" s="50" t="s">
        <v>611</v>
      </c>
      <c r="D143" s="130" t="s">
        <v>654</v>
      </c>
      <c r="E143" s="243"/>
      <c r="F143" s="246"/>
      <c r="G143" s="231"/>
      <c r="H143" s="231"/>
      <c r="I143" s="231"/>
      <c r="J143" s="232"/>
    </row>
    <row r="144" spans="2:10" s="40" customFormat="1" ht="25.5" x14ac:dyDescent="0.25">
      <c r="B144" s="55">
        <v>134</v>
      </c>
      <c r="C144" s="50" t="s">
        <v>611</v>
      </c>
      <c r="D144" s="130" t="s">
        <v>655</v>
      </c>
      <c r="E144" s="243"/>
      <c r="F144" s="246"/>
      <c r="G144" s="231"/>
      <c r="H144" s="231"/>
      <c r="I144" s="231"/>
      <c r="J144" s="232"/>
    </row>
    <row r="145" spans="2:10" s="40" customFormat="1" ht="25.5" x14ac:dyDescent="0.25">
      <c r="B145" s="55">
        <v>135</v>
      </c>
      <c r="C145" s="50" t="s">
        <v>611</v>
      </c>
      <c r="D145" s="130" t="s">
        <v>656</v>
      </c>
      <c r="E145" s="243"/>
      <c r="F145" s="246"/>
      <c r="G145" s="231"/>
      <c r="H145" s="231"/>
      <c r="I145" s="231"/>
      <c r="J145" s="232"/>
    </row>
    <row r="146" spans="2:10" s="40" customFormat="1" ht="25.5" x14ac:dyDescent="0.25">
      <c r="B146" s="55">
        <v>136</v>
      </c>
      <c r="C146" s="50" t="s">
        <v>611</v>
      </c>
      <c r="D146" s="130" t="s">
        <v>657</v>
      </c>
      <c r="E146" s="243"/>
      <c r="F146" s="246"/>
      <c r="G146" s="231"/>
      <c r="H146" s="231"/>
      <c r="I146" s="231"/>
      <c r="J146" s="232"/>
    </row>
    <row r="147" spans="2:10" s="40" customFormat="1" ht="25.5" x14ac:dyDescent="0.25">
      <c r="B147" s="55">
        <v>137</v>
      </c>
      <c r="C147" s="50" t="s">
        <v>611</v>
      </c>
      <c r="D147" s="130" t="s">
        <v>658</v>
      </c>
      <c r="E147" s="243"/>
      <c r="F147" s="246"/>
      <c r="G147" s="231"/>
      <c r="H147" s="231"/>
      <c r="I147" s="231"/>
      <c r="J147" s="232"/>
    </row>
    <row r="148" spans="2:10" s="40" customFormat="1" x14ac:dyDescent="0.25">
      <c r="B148" s="55">
        <v>138</v>
      </c>
      <c r="C148" s="50" t="s">
        <v>611</v>
      </c>
      <c r="D148" s="130" t="s">
        <v>659</v>
      </c>
      <c r="E148" s="243"/>
      <c r="F148" s="246"/>
      <c r="G148" s="231"/>
      <c r="H148" s="231"/>
      <c r="I148" s="231"/>
      <c r="J148" s="232"/>
    </row>
    <row r="149" spans="2:10" s="40" customFormat="1" x14ac:dyDescent="0.25">
      <c r="B149" s="55">
        <v>139</v>
      </c>
      <c r="C149" s="50" t="s">
        <v>611</v>
      </c>
      <c r="D149" s="130" t="s">
        <v>660</v>
      </c>
      <c r="E149" s="243"/>
      <c r="F149" s="246"/>
      <c r="G149" s="231"/>
      <c r="H149" s="231"/>
      <c r="I149" s="231"/>
      <c r="J149" s="232"/>
    </row>
    <row r="150" spans="2:10" s="40" customFormat="1" x14ac:dyDescent="0.25">
      <c r="B150" s="55">
        <v>140</v>
      </c>
      <c r="C150" s="50" t="s">
        <v>611</v>
      </c>
      <c r="D150" s="130" t="s">
        <v>661</v>
      </c>
      <c r="E150" s="243"/>
      <c r="F150" s="246"/>
      <c r="G150" s="231"/>
      <c r="H150" s="231"/>
      <c r="I150" s="231"/>
      <c r="J150" s="232"/>
    </row>
    <row r="151" spans="2:10" s="40" customFormat="1" x14ac:dyDescent="0.25">
      <c r="B151" s="55">
        <v>141</v>
      </c>
      <c r="C151" s="50" t="s">
        <v>611</v>
      </c>
      <c r="D151" s="130" t="s">
        <v>662</v>
      </c>
      <c r="E151" s="243"/>
      <c r="F151" s="246"/>
      <c r="G151" s="231"/>
      <c r="H151" s="231"/>
      <c r="I151" s="231"/>
      <c r="J151" s="232"/>
    </row>
    <row r="152" spans="2:10" s="40" customFormat="1" x14ac:dyDescent="0.25">
      <c r="B152" s="55">
        <v>142</v>
      </c>
      <c r="C152" s="50" t="s">
        <v>611</v>
      </c>
      <c r="D152" s="130" t="s">
        <v>663</v>
      </c>
      <c r="E152" s="243"/>
      <c r="F152" s="246"/>
      <c r="G152" s="231"/>
      <c r="H152" s="231"/>
      <c r="I152" s="231"/>
      <c r="J152" s="232"/>
    </row>
    <row r="153" spans="2:10" s="40" customFormat="1" x14ac:dyDescent="0.25">
      <c r="B153" s="55">
        <v>143</v>
      </c>
      <c r="C153" s="50" t="s">
        <v>611</v>
      </c>
      <c r="D153" s="130" t="s">
        <v>664</v>
      </c>
      <c r="E153" s="243"/>
      <c r="F153" s="246"/>
      <c r="G153" s="231"/>
      <c r="H153" s="231"/>
      <c r="I153" s="231"/>
      <c r="J153" s="232"/>
    </row>
    <row r="154" spans="2:10" s="40" customFormat="1" x14ac:dyDescent="0.25">
      <c r="B154" s="55">
        <v>144</v>
      </c>
      <c r="C154" s="50" t="s">
        <v>611</v>
      </c>
      <c r="D154" s="130" t="s">
        <v>665</v>
      </c>
      <c r="E154" s="243"/>
      <c r="F154" s="246"/>
      <c r="G154" s="231"/>
      <c r="H154" s="231"/>
      <c r="I154" s="231"/>
      <c r="J154" s="232"/>
    </row>
    <row r="155" spans="2:10" s="40" customFormat="1" x14ac:dyDescent="0.25">
      <c r="B155" s="55">
        <v>145</v>
      </c>
      <c r="C155" s="50" t="s">
        <v>611</v>
      </c>
      <c r="D155" s="130" t="s">
        <v>666</v>
      </c>
      <c r="E155" s="243"/>
      <c r="F155" s="246"/>
      <c r="G155" s="231"/>
      <c r="H155" s="231"/>
      <c r="I155" s="231"/>
      <c r="J155" s="232"/>
    </row>
    <row r="156" spans="2:10" s="40" customFormat="1" x14ac:dyDescent="0.25">
      <c r="B156" s="55">
        <v>146</v>
      </c>
      <c r="C156" s="50" t="s">
        <v>611</v>
      </c>
      <c r="D156" s="130" t="s">
        <v>667</v>
      </c>
      <c r="E156" s="243"/>
      <c r="F156" s="246"/>
      <c r="G156" s="231"/>
      <c r="H156" s="231"/>
      <c r="I156" s="231"/>
      <c r="J156" s="232"/>
    </row>
    <row r="157" spans="2:10" s="40" customFormat="1" x14ac:dyDescent="0.25">
      <c r="B157" s="55">
        <v>147</v>
      </c>
      <c r="C157" s="50" t="s">
        <v>611</v>
      </c>
      <c r="D157" s="130" t="s">
        <v>668</v>
      </c>
      <c r="E157" s="243"/>
      <c r="F157" s="246"/>
      <c r="G157" s="231"/>
      <c r="H157" s="231"/>
      <c r="I157" s="231"/>
      <c r="J157" s="232"/>
    </row>
    <row r="158" spans="2:10" s="40" customFormat="1" x14ac:dyDescent="0.25">
      <c r="B158" s="55">
        <v>148</v>
      </c>
      <c r="C158" s="50" t="s">
        <v>611</v>
      </c>
      <c r="D158" s="130" t="s">
        <v>669</v>
      </c>
      <c r="E158" s="243"/>
      <c r="F158" s="246"/>
      <c r="G158" s="231"/>
      <c r="H158" s="231"/>
      <c r="I158" s="231"/>
      <c r="J158" s="232"/>
    </row>
    <row r="159" spans="2:10" s="40" customFormat="1" x14ac:dyDescent="0.25">
      <c r="B159" s="55">
        <v>149</v>
      </c>
      <c r="C159" s="50" t="s">
        <v>611</v>
      </c>
      <c r="D159" s="130" t="s">
        <v>670</v>
      </c>
      <c r="E159" s="243"/>
      <c r="F159" s="246"/>
      <c r="G159" s="231"/>
      <c r="H159" s="231"/>
      <c r="I159" s="231"/>
      <c r="J159" s="232"/>
    </row>
    <row r="160" spans="2:10" s="40" customFormat="1" x14ac:dyDescent="0.25">
      <c r="B160" s="55">
        <v>150</v>
      </c>
      <c r="C160" s="50" t="s">
        <v>611</v>
      </c>
      <c r="D160" s="130" t="s">
        <v>671</v>
      </c>
      <c r="E160" s="243"/>
      <c r="F160" s="246"/>
      <c r="G160" s="231"/>
      <c r="H160" s="231"/>
      <c r="I160" s="231"/>
      <c r="J160" s="232"/>
    </row>
    <row r="161" spans="2:10" s="40" customFormat="1" x14ac:dyDescent="0.25">
      <c r="B161" s="55">
        <v>151</v>
      </c>
      <c r="C161" s="50" t="s">
        <v>611</v>
      </c>
      <c r="D161" s="130" t="s">
        <v>672</v>
      </c>
      <c r="E161" s="243"/>
      <c r="F161" s="246"/>
      <c r="G161" s="231"/>
      <c r="H161" s="231"/>
      <c r="I161" s="231"/>
      <c r="J161" s="232"/>
    </row>
    <row r="162" spans="2:10" s="40" customFormat="1" x14ac:dyDescent="0.25">
      <c r="B162" s="55">
        <v>152</v>
      </c>
      <c r="C162" s="50" t="s">
        <v>611</v>
      </c>
      <c r="D162" s="130" t="s">
        <v>673</v>
      </c>
      <c r="E162" s="243"/>
      <c r="F162" s="246"/>
      <c r="G162" s="231"/>
      <c r="H162" s="231"/>
      <c r="I162" s="231"/>
      <c r="J162" s="232"/>
    </row>
    <row r="163" spans="2:10" s="40" customFormat="1" x14ac:dyDescent="0.25">
      <c r="B163" s="55">
        <v>153</v>
      </c>
      <c r="C163" s="50" t="s">
        <v>611</v>
      </c>
      <c r="D163" s="130" t="s">
        <v>674</v>
      </c>
      <c r="E163" s="243"/>
      <c r="F163" s="246"/>
      <c r="G163" s="231"/>
      <c r="H163" s="231"/>
      <c r="I163" s="231"/>
      <c r="J163" s="232"/>
    </row>
    <row r="164" spans="2:10" s="40" customFormat="1" x14ac:dyDescent="0.25">
      <c r="B164" s="55">
        <v>154</v>
      </c>
      <c r="C164" s="50" t="s">
        <v>611</v>
      </c>
      <c r="D164" s="130" t="s">
        <v>675</v>
      </c>
      <c r="E164" s="243"/>
      <c r="F164" s="246"/>
      <c r="G164" s="231"/>
      <c r="H164" s="231"/>
      <c r="I164" s="231"/>
      <c r="J164" s="232"/>
    </row>
    <row r="165" spans="2:10" s="40" customFormat="1" x14ac:dyDescent="0.25">
      <c r="B165" s="55">
        <v>155</v>
      </c>
      <c r="C165" s="50" t="s">
        <v>676</v>
      </c>
      <c r="D165" s="130" t="s">
        <v>677</v>
      </c>
      <c r="E165" s="243"/>
      <c r="F165" s="246"/>
      <c r="G165" s="231"/>
      <c r="H165" s="231"/>
      <c r="I165" s="231"/>
      <c r="J165" s="232"/>
    </row>
    <row r="166" spans="2:10" s="40" customFormat="1" x14ac:dyDescent="0.25">
      <c r="B166" s="55">
        <v>156</v>
      </c>
      <c r="C166" s="50" t="s">
        <v>676</v>
      </c>
      <c r="D166" s="130" t="s">
        <v>678</v>
      </c>
      <c r="E166" s="243"/>
      <c r="F166" s="246"/>
      <c r="G166" s="231"/>
      <c r="H166" s="231"/>
      <c r="I166" s="231"/>
      <c r="J166" s="232"/>
    </row>
    <row r="167" spans="2:10" s="40" customFormat="1" x14ac:dyDescent="0.25">
      <c r="B167" s="55">
        <v>157</v>
      </c>
      <c r="C167" s="50" t="s">
        <v>676</v>
      </c>
      <c r="D167" s="130" t="s">
        <v>679</v>
      </c>
      <c r="E167" s="243"/>
      <c r="F167" s="246"/>
      <c r="G167" s="231"/>
      <c r="H167" s="231"/>
      <c r="I167" s="231"/>
      <c r="J167" s="232"/>
    </row>
    <row r="168" spans="2:10" s="40" customFormat="1" x14ac:dyDescent="0.25">
      <c r="B168" s="55">
        <v>158</v>
      </c>
      <c r="C168" s="50" t="s">
        <v>676</v>
      </c>
      <c r="D168" s="130" t="s">
        <v>680</v>
      </c>
      <c r="E168" s="243"/>
      <c r="F168" s="246"/>
      <c r="G168" s="231"/>
      <c r="H168" s="231"/>
      <c r="I168" s="231"/>
      <c r="J168" s="232"/>
    </row>
    <row r="169" spans="2:10" s="40" customFormat="1" x14ac:dyDescent="0.25">
      <c r="B169" s="55">
        <v>159</v>
      </c>
      <c r="C169" s="50" t="s">
        <v>681</v>
      </c>
      <c r="D169" s="130" t="s">
        <v>682</v>
      </c>
      <c r="E169" s="243"/>
      <c r="F169" s="246"/>
      <c r="G169" s="231"/>
      <c r="H169" s="231"/>
      <c r="I169" s="231"/>
      <c r="J169" s="232"/>
    </row>
    <row r="170" spans="2:10" s="40" customFormat="1" x14ac:dyDescent="0.25">
      <c r="B170" s="55">
        <v>160</v>
      </c>
      <c r="C170" s="50" t="s">
        <v>681</v>
      </c>
      <c r="D170" s="130" t="s">
        <v>683</v>
      </c>
      <c r="E170" s="243"/>
      <c r="F170" s="246"/>
      <c r="G170" s="231"/>
      <c r="H170" s="231"/>
      <c r="I170" s="231"/>
      <c r="J170" s="232"/>
    </row>
    <row r="171" spans="2:10" s="40" customFormat="1" x14ac:dyDescent="0.25">
      <c r="B171" s="55">
        <v>161</v>
      </c>
      <c r="C171" s="50" t="s">
        <v>681</v>
      </c>
      <c r="D171" s="130" t="s">
        <v>684</v>
      </c>
      <c r="E171" s="243"/>
      <c r="F171" s="246"/>
      <c r="G171" s="231"/>
      <c r="H171" s="231"/>
      <c r="I171" s="231"/>
      <c r="J171" s="232"/>
    </row>
    <row r="172" spans="2:10" s="40" customFormat="1" x14ac:dyDescent="0.25">
      <c r="B172" s="55">
        <v>162</v>
      </c>
      <c r="C172" s="50" t="s">
        <v>681</v>
      </c>
      <c r="D172" s="130" t="s">
        <v>685</v>
      </c>
      <c r="E172" s="243"/>
      <c r="F172" s="246"/>
      <c r="G172" s="231"/>
      <c r="H172" s="231"/>
      <c r="I172" s="231"/>
      <c r="J172" s="232"/>
    </row>
    <row r="173" spans="2:10" s="40" customFormat="1" x14ac:dyDescent="0.25">
      <c r="B173" s="55">
        <v>163</v>
      </c>
      <c r="C173" s="50" t="s">
        <v>681</v>
      </c>
      <c r="D173" s="130" t="s">
        <v>686</v>
      </c>
      <c r="E173" s="243"/>
      <c r="F173" s="246"/>
      <c r="G173" s="231"/>
      <c r="H173" s="231"/>
      <c r="I173" s="231"/>
      <c r="J173" s="232"/>
    </row>
    <row r="174" spans="2:10" s="40" customFormat="1" x14ac:dyDescent="0.25">
      <c r="B174" s="55">
        <v>164</v>
      </c>
      <c r="C174" s="50" t="s">
        <v>681</v>
      </c>
      <c r="D174" s="130" t="s">
        <v>687</v>
      </c>
      <c r="E174" s="243"/>
      <c r="F174" s="246"/>
      <c r="G174" s="231"/>
      <c r="H174" s="231"/>
      <c r="I174" s="231"/>
      <c r="J174" s="232"/>
    </row>
    <row r="175" spans="2:10" s="40" customFormat="1" x14ac:dyDescent="0.25">
      <c r="B175" s="55">
        <v>165</v>
      </c>
      <c r="C175" s="50" t="s">
        <v>681</v>
      </c>
      <c r="D175" s="130" t="s">
        <v>688</v>
      </c>
      <c r="E175" s="243"/>
      <c r="F175" s="246"/>
      <c r="G175" s="231"/>
      <c r="H175" s="231"/>
      <c r="I175" s="231"/>
      <c r="J175" s="232"/>
    </row>
    <row r="176" spans="2:10" s="40" customFormat="1" x14ac:dyDescent="0.25">
      <c r="B176" s="55">
        <v>166</v>
      </c>
      <c r="C176" s="50" t="s">
        <v>681</v>
      </c>
      <c r="D176" s="130" t="s">
        <v>689</v>
      </c>
      <c r="E176" s="243"/>
      <c r="F176" s="246"/>
      <c r="G176" s="231"/>
      <c r="H176" s="231"/>
      <c r="I176" s="231"/>
      <c r="J176" s="232"/>
    </row>
    <row r="177" spans="2:10" s="40" customFormat="1" x14ac:dyDescent="0.25">
      <c r="B177" s="55">
        <v>167</v>
      </c>
      <c r="C177" s="50" t="s">
        <v>681</v>
      </c>
      <c r="D177" s="130" t="s">
        <v>690</v>
      </c>
      <c r="E177" s="243"/>
      <c r="F177" s="246"/>
      <c r="G177" s="231"/>
      <c r="H177" s="231"/>
      <c r="I177" s="231"/>
      <c r="J177" s="232"/>
    </row>
    <row r="178" spans="2:10" s="40" customFormat="1" x14ac:dyDescent="0.25">
      <c r="B178" s="55">
        <v>168</v>
      </c>
      <c r="C178" s="50" t="s">
        <v>681</v>
      </c>
      <c r="D178" s="130" t="s">
        <v>691</v>
      </c>
      <c r="E178" s="243"/>
      <c r="F178" s="246"/>
      <c r="G178" s="231"/>
      <c r="H178" s="231"/>
      <c r="I178" s="231"/>
      <c r="J178" s="232"/>
    </row>
    <row r="179" spans="2:10" s="40" customFormat="1" x14ac:dyDescent="0.25">
      <c r="B179" s="55">
        <v>169</v>
      </c>
      <c r="C179" s="50" t="s">
        <v>681</v>
      </c>
      <c r="D179" s="130" t="s">
        <v>692</v>
      </c>
      <c r="E179" s="243"/>
      <c r="F179" s="246"/>
      <c r="G179" s="231"/>
      <c r="H179" s="231"/>
      <c r="I179" s="231"/>
      <c r="J179" s="232"/>
    </row>
    <row r="180" spans="2:10" s="40" customFormat="1" x14ac:dyDescent="0.25">
      <c r="B180" s="55">
        <v>170</v>
      </c>
      <c r="C180" s="50" t="s">
        <v>681</v>
      </c>
      <c r="D180" s="130" t="s">
        <v>693</v>
      </c>
      <c r="E180" s="243"/>
      <c r="F180" s="246"/>
      <c r="G180" s="231"/>
      <c r="H180" s="231"/>
      <c r="I180" s="231"/>
      <c r="J180" s="232"/>
    </row>
    <row r="181" spans="2:10" s="40" customFormat="1" x14ac:dyDescent="0.25">
      <c r="B181" s="55">
        <v>171</v>
      </c>
      <c r="C181" s="50" t="s">
        <v>681</v>
      </c>
      <c r="D181" s="130" t="s">
        <v>694</v>
      </c>
      <c r="E181" s="243"/>
      <c r="F181" s="246"/>
      <c r="G181" s="231"/>
      <c r="H181" s="231"/>
      <c r="I181" s="231"/>
      <c r="J181" s="232"/>
    </row>
    <row r="182" spans="2:10" s="40" customFormat="1" x14ac:dyDescent="0.25">
      <c r="B182" s="55">
        <v>172</v>
      </c>
      <c r="C182" s="50" t="s">
        <v>681</v>
      </c>
      <c r="D182" s="130" t="s">
        <v>695</v>
      </c>
      <c r="E182" s="243"/>
      <c r="F182" s="246"/>
      <c r="G182" s="231"/>
      <c r="H182" s="231"/>
      <c r="I182" s="231"/>
      <c r="J182" s="232"/>
    </row>
    <row r="183" spans="2:10" s="40" customFormat="1" x14ac:dyDescent="0.25">
      <c r="B183" s="55">
        <v>173</v>
      </c>
      <c r="C183" s="50" t="s">
        <v>681</v>
      </c>
      <c r="D183" s="130" t="s">
        <v>696</v>
      </c>
      <c r="E183" s="243"/>
      <c r="F183" s="246"/>
      <c r="G183" s="231"/>
      <c r="H183" s="231"/>
      <c r="I183" s="231"/>
      <c r="J183" s="232"/>
    </row>
    <row r="184" spans="2:10" s="40" customFormat="1" x14ac:dyDescent="0.25">
      <c r="B184" s="55">
        <v>174</v>
      </c>
      <c r="C184" s="50" t="s">
        <v>681</v>
      </c>
      <c r="D184" s="130" t="s">
        <v>697</v>
      </c>
      <c r="E184" s="243"/>
      <c r="F184" s="246"/>
      <c r="G184" s="231"/>
      <c r="H184" s="231"/>
      <c r="I184" s="231"/>
      <c r="J184" s="232"/>
    </row>
    <row r="185" spans="2:10" s="40" customFormat="1" x14ac:dyDescent="0.25">
      <c r="B185" s="55">
        <v>175</v>
      </c>
      <c r="C185" s="50" t="s">
        <v>681</v>
      </c>
      <c r="D185" s="130" t="s">
        <v>698</v>
      </c>
      <c r="E185" s="243"/>
      <c r="F185" s="246"/>
      <c r="G185" s="231"/>
      <c r="H185" s="231"/>
      <c r="I185" s="231"/>
      <c r="J185" s="232"/>
    </row>
    <row r="186" spans="2:10" s="40" customFormat="1" ht="25.5" x14ac:dyDescent="0.25">
      <c r="B186" s="55">
        <v>176</v>
      </c>
      <c r="C186" s="50" t="s">
        <v>681</v>
      </c>
      <c r="D186" s="130" t="s">
        <v>699</v>
      </c>
      <c r="E186" s="243"/>
      <c r="F186" s="246"/>
      <c r="G186" s="231"/>
      <c r="H186" s="231"/>
      <c r="I186" s="231"/>
      <c r="J186" s="232"/>
    </row>
    <row r="187" spans="2:10" s="40" customFormat="1" x14ac:dyDescent="0.25">
      <c r="B187" s="55">
        <v>177</v>
      </c>
      <c r="C187" s="50" t="s">
        <v>681</v>
      </c>
      <c r="D187" s="130" t="s">
        <v>700</v>
      </c>
      <c r="E187" s="243"/>
      <c r="F187" s="246"/>
      <c r="G187" s="231"/>
      <c r="H187" s="231"/>
      <c r="I187" s="231"/>
      <c r="J187" s="232"/>
    </row>
    <row r="188" spans="2:10" s="40" customFormat="1" x14ac:dyDescent="0.25">
      <c r="B188" s="55">
        <v>178</v>
      </c>
      <c r="C188" s="50" t="s">
        <v>681</v>
      </c>
      <c r="D188" s="130" t="s">
        <v>701</v>
      </c>
      <c r="E188" s="243"/>
      <c r="F188" s="246"/>
      <c r="G188" s="231"/>
      <c r="H188" s="231"/>
      <c r="I188" s="231"/>
      <c r="J188" s="232"/>
    </row>
    <row r="189" spans="2:10" s="40" customFormat="1" x14ac:dyDescent="0.25">
      <c r="B189" s="55">
        <v>179</v>
      </c>
      <c r="C189" s="50" t="s">
        <v>681</v>
      </c>
      <c r="D189" s="130" t="s">
        <v>702</v>
      </c>
      <c r="E189" s="243"/>
      <c r="F189" s="246"/>
      <c r="G189" s="231"/>
      <c r="H189" s="231"/>
      <c r="I189" s="231"/>
      <c r="J189" s="232"/>
    </row>
    <row r="190" spans="2:10" s="40" customFormat="1" x14ac:dyDescent="0.25">
      <c r="B190" s="55">
        <v>180</v>
      </c>
      <c r="C190" s="50" t="s">
        <v>681</v>
      </c>
      <c r="D190" s="130" t="s">
        <v>703</v>
      </c>
      <c r="E190" s="243"/>
      <c r="F190" s="246"/>
      <c r="G190" s="231"/>
      <c r="H190" s="231"/>
      <c r="I190" s="231"/>
      <c r="J190" s="232"/>
    </row>
    <row r="191" spans="2:10" s="40" customFormat="1" x14ac:dyDescent="0.25">
      <c r="B191" s="55">
        <v>181</v>
      </c>
      <c r="C191" s="50" t="s">
        <v>681</v>
      </c>
      <c r="D191" s="130" t="s">
        <v>704</v>
      </c>
      <c r="E191" s="243"/>
      <c r="F191" s="246"/>
      <c r="G191" s="231"/>
      <c r="H191" s="231"/>
      <c r="I191" s="231"/>
      <c r="J191" s="232"/>
    </row>
    <row r="192" spans="2:10" s="40" customFormat="1" x14ac:dyDescent="0.25">
      <c r="B192" s="55">
        <v>182</v>
      </c>
      <c r="C192" s="50" t="s">
        <v>681</v>
      </c>
      <c r="D192" s="130" t="s">
        <v>705</v>
      </c>
      <c r="E192" s="243"/>
      <c r="F192" s="246"/>
      <c r="G192" s="231"/>
      <c r="H192" s="231"/>
      <c r="I192" s="231"/>
      <c r="J192" s="232"/>
    </row>
    <row r="193" spans="2:10" s="40" customFormat="1" x14ac:dyDescent="0.25">
      <c r="B193" s="55">
        <v>183</v>
      </c>
      <c r="C193" s="50" t="s">
        <v>681</v>
      </c>
      <c r="D193" s="130" t="s">
        <v>706</v>
      </c>
      <c r="E193" s="243"/>
      <c r="F193" s="246"/>
      <c r="G193" s="231"/>
      <c r="H193" s="231"/>
      <c r="I193" s="231"/>
      <c r="J193" s="232"/>
    </row>
    <row r="194" spans="2:10" s="40" customFormat="1" x14ac:dyDescent="0.25">
      <c r="B194" s="55">
        <v>184</v>
      </c>
      <c r="C194" s="50" t="s">
        <v>681</v>
      </c>
      <c r="D194" s="130" t="s">
        <v>707</v>
      </c>
      <c r="E194" s="243"/>
      <c r="F194" s="246"/>
      <c r="G194" s="231"/>
      <c r="H194" s="231"/>
      <c r="I194" s="231"/>
      <c r="J194" s="232"/>
    </row>
    <row r="195" spans="2:10" s="40" customFormat="1" x14ac:dyDescent="0.25">
      <c r="B195" s="55">
        <v>185</v>
      </c>
      <c r="C195" s="50" t="s">
        <v>681</v>
      </c>
      <c r="D195" s="130" t="s">
        <v>708</v>
      </c>
      <c r="E195" s="243"/>
      <c r="F195" s="246"/>
      <c r="G195" s="231"/>
      <c r="H195" s="231"/>
      <c r="I195" s="231"/>
      <c r="J195" s="232"/>
    </row>
    <row r="196" spans="2:10" s="40" customFormat="1" x14ac:dyDescent="0.25">
      <c r="B196" s="55">
        <v>186</v>
      </c>
      <c r="C196" s="50" t="s">
        <v>681</v>
      </c>
      <c r="D196" s="130" t="s">
        <v>709</v>
      </c>
      <c r="E196" s="243"/>
      <c r="F196" s="246"/>
      <c r="G196" s="231"/>
      <c r="H196" s="231"/>
      <c r="I196" s="231"/>
      <c r="J196" s="232"/>
    </row>
    <row r="197" spans="2:10" s="40" customFormat="1" x14ac:dyDescent="0.25">
      <c r="B197" s="55">
        <v>187</v>
      </c>
      <c r="C197" s="50" t="s">
        <v>681</v>
      </c>
      <c r="D197" s="130" t="s">
        <v>710</v>
      </c>
      <c r="E197" s="243"/>
      <c r="F197" s="246"/>
      <c r="G197" s="231"/>
      <c r="H197" s="231"/>
      <c r="I197" s="231"/>
      <c r="J197" s="232"/>
    </row>
    <row r="198" spans="2:10" s="40" customFormat="1" x14ac:dyDescent="0.25">
      <c r="B198" s="55">
        <v>188</v>
      </c>
      <c r="C198" s="50" t="s">
        <v>681</v>
      </c>
      <c r="D198" s="130" t="s">
        <v>711</v>
      </c>
      <c r="E198" s="243"/>
      <c r="F198" s="246"/>
      <c r="G198" s="231"/>
      <c r="H198" s="231"/>
      <c r="I198" s="231"/>
      <c r="J198" s="232"/>
    </row>
    <row r="199" spans="2:10" s="40" customFormat="1" x14ac:dyDescent="0.25">
      <c r="B199" s="55">
        <v>189</v>
      </c>
      <c r="C199" s="50" t="s">
        <v>681</v>
      </c>
      <c r="D199" s="130" t="s">
        <v>712</v>
      </c>
      <c r="E199" s="243"/>
      <c r="F199" s="246"/>
      <c r="G199" s="231"/>
      <c r="H199" s="231"/>
      <c r="I199" s="231"/>
      <c r="J199" s="232"/>
    </row>
    <row r="200" spans="2:10" s="40" customFormat="1" x14ac:dyDescent="0.25">
      <c r="B200" s="55">
        <v>190</v>
      </c>
      <c r="C200" s="50" t="s">
        <v>681</v>
      </c>
      <c r="D200" s="130" t="s">
        <v>713</v>
      </c>
      <c r="E200" s="243"/>
      <c r="F200" s="246"/>
      <c r="G200" s="231"/>
      <c r="H200" s="231"/>
      <c r="I200" s="231"/>
      <c r="J200" s="232"/>
    </row>
    <row r="201" spans="2:10" s="40" customFormat="1" x14ac:dyDescent="0.25">
      <c r="B201" s="55">
        <v>191</v>
      </c>
      <c r="C201" s="50" t="s">
        <v>681</v>
      </c>
      <c r="D201" s="130" t="s">
        <v>714</v>
      </c>
      <c r="E201" s="243"/>
      <c r="F201" s="246"/>
      <c r="G201" s="231"/>
      <c r="H201" s="231"/>
      <c r="I201" s="231"/>
      <c r="J201" s="232"/>
    </row>
    <row r="202" spans="2:10" s="40" customFormat="1" x14ac:dyDescent="0.25">
      <c r="B202" s="55">
        <v>192</v>
      </c>
      <c r="C202" s="50" t="s">
        <v>681</v>
      </c>
      <c r="D202" s="130" t="s">
        <v>715</v>
      </c>
      <c r="E202" s="243"/>
      <c r="F202" s="246"/>
      <c r="G202" s="231"/>
      <c r="H202" s="231"/>
      <c r="I202" s="231"/>
      <c r="J202" s="232"/>
    </row>
    <row r="203" spans="2:10" s="40" customFormat="1" x14ac:dyDescent="0.25">
      <c r="B203" s="55">
        <v>193</v>
      </c>
      <c r="C203" s="50" t="s">
        <v>681</v>
      </c>
      <c r="D203" s="130" t="s">
        <v>716</v>
      </c>
      <c r="E203" s="243"/>
      <c r="F203" s="246"/>
      <c r="G203" s="231"/>
      <c r="H203" s="231"/>
      <c r="I203" s="231"/>
      <c r="J203" s="232"/>
    </row>
    <row r="204" spans="2:10" s="40" customFormat="1" x14ac:dyDescent="0.25">
      <c r="B204" s="55">
        <v>194</v>
      </c>
      <c r="C204" s="50" t="s">
        <v>681</v>
      </c>
      <c r="D204" s="130" t="s">
        <v>717</v>
      </c>
      <c r="E204" s="243"/>
      <c r="F204" s="246"/>
      <c r="G204" s="231"/>
      <c r="H204" s="231"/>
      <c r="I204" s="231"/>
      <c r="J204" s="232"/>
    </row>
    <row r="205" spans="2:10" s="40" customFormat="1" x14ac:dyDescent="0.25">
      <c r="B205" s="55">
        <v>195</v>
      </c>
      <c r="C205" s="50" t="s">
        <v>681</v>
      </c>
      <c r="D205" s="130" t="s">
        <v>718</v>
      </c>
      <c r="E205" s="243"/>
      <c r="F205" s="246"/>
      <c r="G205" s="231"/>
      <c r="H205" s="231"/>
      <c r="I205" s="231"/>
      <c r="J205" s="232"/>
    </row>
    <row r="206" spans="2:10" s="40" customFormat="1" x14ac:dyDescent="0.25">
      <c r="B206" s="55">
        <v>196</v>
      </c>
      <c r="C206" s="50" t="s">
        <v>681</v>
      </c>
      <c r="D206" s="130" t="s">
        <v>719</v>
      </c>
      <c r="E206" s="243"/>
      <c r="F206" s="246"/>
      <c r="G206" s="231"/>
      <c r="H206" s="231"/>
      <c r="I206" s="231"/>
      <c r="J206" s="232"/>
    </row>
    <row r="207" spans="2:10" s="40" customFormat="1" x14ac:dyDescent="0.25">
      <c r="B207" s="55">
        <v>197</v>
      </c>
      <c r="C207" s="50" t="s">
        <v>681</v>
      </c>
      <c r="D207" s="130" t="s">
        <v>720</v>
      </c>
      <c r="E207" s="243"/>
      <c r="F207" s="246"/>
      <c r="G207" s="231"/>
      <c r="H207" s="231"/>
      <c r="I207" s="231"/>
      <c r="J207" s="232"/>
    </row>
    <row r="208" spans="2:10" s="40" customFormat="1" x14ac:dyDescent="0.25">
      <c r="B208" s="55">
        <v>198</v>
      </c>
      <c r="C208" s="50" t="s">
        <v>681</v>
      </c>
      <c r="D208" s="130" t="s">
        <v>721</v>
      </c>
      <c r="E208" s="243"/>
      <c r="F208" s="246"/>
      <c r="G208" s="231"/>
      <c r="H208" s="231"/>
      <c r="I208" s="231"/>
      <c r="J208" s="232"/>
    </row>
    <row r="209" spans="2:10" s="40" customFormat="1" x14ac:dyDescent="0.25">
      <c r="B209" s="55">
        <v>199</v>
      </c>
      <c r="C209" s="50" t="s">
        <v>681</v>
      </c>
      <c r="D209" s="130" t="s">
        <v>722</v>
      </c>
      <c r="E209" s="243"/>
      <c r="F209" s="246"/>
      <c r="G209" s="231"/>
      <c r="H209" s="231"/>
      <c r="I209" s="231"/>
      <c r="J209" s="232"/>
    </row>
    <row r="210" spans="2:10" s="40" customFormat="1" x14ac:dyDescent="0.25">
      <c r="B210" s="55">
        <v>200</v>
      </c>
      <c r="C210" s="50" t="s">
        <v>681</v>
      </c>
      <c r="D210" s="130" t="s">
        <v>723</v>
      </c>
      <c r="E210" s="243"/>
      <c r="F210" s="246"/>
      <c r="G210" s="231"/>
      <c r="H210" s="231"/>
      <c r="I210" s="231"/>
      <c r="J210" s="232"/>
    </row>
    <row r="211" spans="2:10" s="40" customFormat="1" x14ac:dyDescent="0.25">
      <c r="B211" s="55">
        <v>201</v>
      </c>
      <c r="C211" s="50" t="s">
        <v>681</v>
      </c>
      <c r="D211" s="130" t="s">
        <v>724</v>
      </c>
      <c r="E211" s="243"/>
      <c r="F211" s="246"/>
      <c r="G211" s="231"/>
      <c r="H211" s="231"/>
      <c r="I211" s="231"/>
      <c r="J211" s="232"/>
    </row>
    <row r="212" spans="2:10" s="40" customFormat="1" x14ac:dyDescent="0.25">
      <c r="B212" s="55">
        <v>202</v>
      </c>
      <c r="C212" s="50" t="s">
        <v>681</v>
      </c>
      <c r="D212" s="130" t="s">
        <v>725</v>
      </c>
      <c r="E212" s="243"/>
      <c r="F212" s="246"/>
      <c r="G212" s="231"/>
      <c r="H212" s="231"/>
      <c r="I212" s="231"/>
      <c r="J212" s="232"/>
    </row>
    <row r="213" spans="2:10" s="40" customFormat="1" x14ac:dyDescent="0.25">
      <c r="B213" s="55">
        <v>203</v>
      </c>
      <c r="C213" s="50" t="s">
        <v>681</v>
      </c>
      <c r="D213" s="130" t="s">
        <v>726</v>
      </c>
      <c r="E213" s="243"/>
      <c r="F213" s="246"/>
      <c r="G213" s="231"/>
      <c r="H213" s="231"/>
      <c r="I213" s="231"/>
      <c r="J213" s="232"/>
    </row>
    <row r="214" spans="2:10" s="40" customFormat="1" x14ac:dyDescent="0.25">
      <c r="B214" s="55">
        <v>204</v>
      </c>
      <c r="C214" s="50" t="s">
        <v>681</v>
      </c>
      <c r="D214" s="130" t="s">
        <v>727</v>
      </c>
      <c r="E214" s="243"/>
      <c r="F214" s="246"/>
      <c r="G214" s="231"/>
      <c r="H214" s="231"/>
      <c r="I214" s="231"/>
      <c r="J214" s="232"/>
    </row>
    <row r="215" spans="2:10" s="40" customFormat="1" x14ac:dyDescent="0.25">
      <c r="B215" s="55">
        <v>205</v>
      </c>
      <c r="C215" s="50" t="s">
        <v>681</v>
      </c>
      <c r="D215" s="130" t="s">
        <v>728</v>
      </c>
      <c r="E215" s="243"/>
      <c r="F215" s="246"/>
      <c r="G215" s="231"/>
      <c r="H215" s="231"/>
      <c r="I215" s="231"/>
      <c r="J215" s="232"/>
    </row>
    <row r="216" spans="2:10" s="40" customFormat="1" x14ac:dyDescent="0.25">
      <c r="B216" s="55">
        <v>206</v>
      </c>
      <c r="C216" s="50" t="s">
        <v>681</v>
      </c>
      <c r="D216" s="130" t="s">
        <v>729</v>
      </c>
      <c r="E216" s="243"/>
      <c r="F216" s="246"/>
      <c r="G216" s="231"/>
      <c r="H216" s="231"/>
      <c r="I216" s="231"/>
      <c r="J216" s="232"/>
    </row>
    <row r="217" spans="2:10" s="40" customFormat="1" x14ac:dyDescent="0.25">
      <c r="B217" s="55">
        <v>207</v>
      </c>
      <c r="C217" s="50" t="s">
        <v>681</v>
      </c>
      <c r="D217" s="130" t="s">
        <v>730</v>
      </c>
      <c r="E217" s="243"/>
      <c r="F217" s="246"/>
      <c r="G217" s="231"/>
      <c r="H217" s="231"/>
      <c r="I217" s="231"/>
      <c r="J217" s="232"/>
    </row>
    <row r="218" spans="2:10" s="40" customFormat="1" x14ac:dyDescent="0.25">
      <c r="B218" s="55">
        <v>208</v>
      </c>
      <c r="C218" s="50" t="s">
        <v>681</v>
      </c>
      <c r="D218" s="130" t="s">
        <v>731</v>
      </c>
      <c r="E218" s="243"/>
      <c r="F218" s="246"/>
      <c r="G218" s="231"/>
      <c r="H218" s="231"/>
      <c r="I218" s="231"/>
      <c r="J218" s="232"/>
    </row>
    <row r="219" spans="2:10" s="40" customFormat="1" x14ac:dyDescent="0.25">
      <c r="B219" s="55">
        <v>209</v>
      </c>
      <c r="C219" s="50" t="s">
        <v>681</v>
      </c>
      <c r="D219" s="130" t="s">
        <v>732</v>
      </c>
      <c r="E219" s="243"/>
      <c r="F219" s="246"/>
      <c r="G219" s="231"/>
      <c r="H219" s="231"/>
      <c r="I219" s="231"/>
      <c r="J219" s="232"/>
    </row>
    <row r="220" spans="2:10" s="40" customFormat="1" ht="13.5" thickBot="1" x14ac:dyDescent="0.3">
      <c r="B220" s="126">
        <v>210</v>
      </c>
      <c r="C220" s="127" t="s">
        <v>681</v>
      </c>
      <c r="D220" s="131" t="s">
        <v>733</v>
      </c>
      <c r="E220" s="244"/>
      <c r="F220" s="247"/>
      <c r="G220" s="248"/>
      <c r="H220" s="248"/>
      <c r="I220" s="248"/>
      <c r="J220" s="249"/>
    </row>
    <row r="221" spans="2:10" x14ac:dyDescent="0.25">
      <c r="B221" s="27"/>
      <c r="C221" s="599" t="s">
        <v>39</v>
      </c>
      <c r="D221" s="599"/>
      <c r="E221" s="599"/>
      <c r="F221" s="599"/>
      <c r="G221" s="599"/>
      <c r="H221" s="599"/>
      <c r="I221" s="599"/>
      <c r="J221" s="600"/>
    </row>
    <row r="222" spans="2:10" x14ac:dyDescent="0.25">
      <c r="B222" s="124">
        <v>211</v>
      </c>
      <c r="C222" s="371" t="s">
        <v>734</v>
      </c>
      <c r="D222" s="372" t="s">
        <v>735</v>
      </c>
      <c r="E222" s="230"/>
      <c r="F222" s="368"/>
      <c r="G222" s="368"/>
      <c r="H222" s="368"/>
      <c r="I222" s="368"/>
      <c r="J222" s="369"/>
    </row>
    <row r="223" spans="2:10" x14ac:dyDescent="0.25">
      <c r="B223" s="124">
        <v>212</v>
      </c>
      <c r="C223" s="371" t="s">
        <v>734</v>
      </c>
      <c r="D223" s="372" t="s">
        <v>735</v>
      </c>
      <c r="E223" s="230"/>
      <c r="F223" s="368"/>
      <c r="G223" s="368"/>
      <c r="H223" s="368"/>
      <c r="I223" s="368"/>
      <c r="J223" s="369"/>
    </row>
    <row r="224" spans="2:10" x14ac:dyDescent="0.25">
      <c r="B224" s="124">
        <v>213</v>
      </c>
      <c r="C224" s="371" t="s">
        <v>734</v>
      </c>
      <c r="D224" s="372" t="s">
        <v>735</v>
      </c>
      <c r="E224" s="230"/>
      <c r="F224" s="368"/>
      <c r="G224" s="368"/>
      <c r="H224" s="368"/>
      <c r="I224" s="368"/>
      <c r="J224" s="369"/>
    </row>
    <row r="225" spans="2:10" x14ac:dyDescent="0.25">
      <c r="B225" s="124">
        <v>214</v>
      </c>
      <c r="C225" s="371" t="s">
        <v>734</v>
      </c>
      <c r="D225" s="372" t="s">
        <v>735</v>
      </c>
      <c r="E225" s="230"/>
      <c r="F225" s="368"/>
      <c r="G225" s="368"/>
      <c r="H225" s="368"/>
      <c r="I225" s="368"/>
      <c r="J225" s="369"/>
    </row>
    <row r="226" spans="2:10" x14ac:dyDescent="0.25">
      <c r="B226" s="124">
        <v>215</v>
      </c>
      <c r="C226" s="371" t="s">
        <v>734</v>
      </c>
      <c r="D226" s="372" t="s">
        <v>735</v>
      </c>
      <c r="E226" s="230"/>
      <c r="F226" s="368"/>
      <c r="G226" s="368"/>
      <c r="H226" s="368"/>
      <c r="I226" s="368"/>
      <c r="J226" s="369"/>
    </row>
    <row r="227" spans="2:10" x14ac:dyDescent="0.25">
      <c r="B227" s="124">
        <v>216</v>
      </c>
      <c r="C227" s="371" t="s">
        <v>734</v>
      </c>
      <c r="D227" s="372" t="s">
        <v>735</v>
      </c>
      <c r="E227" s="230"/>
      <c r="F227" s="368"/>
      <c r="G227" s="368"/>
      <c r="H227" s="368"/>
      <c r="I227" s="368"/>
      <c r="J227" s="369"/>
    </row>
    <row r="228" spans="2:10" x14ac:dyDescent="0.25">
      <c r="B228" s="124">
        <v>217</v>
      </c>
      <c r="C228" s="371" t="s">
        <v>734</v>
      </c>
      <c r="D228" s="372" t="s">
        <v>735</v>
      </c>
      <c r="E228" s="230"/>
      <c r="F228" s="368"/>
      <c r="G228" s="368"/>
      <c r="H228" s="368"/>
      <c r="I228" s="368"/>
      <c r="J228" s="369"/>
    </row>
    <row r="229" spans="2:10" x14ac:dyDescent="0.25">
      <c r="B229" s="124">
        <v>218</v>
      </c>
      <c r="C229" s="371" t="s">
        <v>734</v>
      </c>
      <c r="D229" s="372" t="s">
        <v>735</v>
      </c>
      <c r="E229" s="230"/>
      <c r="F229" s="368"/>
      <c r="G229" s="368"/>
      <c r="H229" s="368"/>
      <c r="I229" s="368"/>
      <c r="J229" s="369"/>
    </row>
    <row r="230" spans="2:10" x14ac:dyDescent="0.25">
      <c r="B230" s="124">
        <v>219</v>
      </c>
      <c r="C230" s="371" t="s">
        <v>734</v>
      </c>
      <c r="D230" s="372" t="s">
        <v>735</v>
      </c>
      <c r="E230" s="230"/>
      <c r="F230" s="368"/>
      <c r="G230" s="368"/>
      <c r="H230" s="368"/>
      <c r="I230" s="368"/>
      <c r="J230" s="369"/>
    </row>
    <row r="231" spans="2:10" x14ac:dyDescent="0.25">
      <c r="B231" s="124">
        <v>220</v>
      </c>
      <c r="C231" s="371" t="s">
        <v>734</v>
      </c>
      <c r="D231" s="372" t="s">
        <v>735</v>
      </c>
      <c r="E231" s="230"/>
      <c r="F231" s="368"/>
      <c r="G231" s="368"/>
      <c r="H231" s="368"/>
      <c r="I231" s="368"/>
      <c r="J231" s="369"/>
    </row>
    <row r="232" spans="2:10" x14ac:dyDescent="0.25">
      <c r="B232" s="124">
        <v>221</v>
      </c>
      <c r="C232" s="371" t="s">
        <v>734</v>
      </c>
      <c r="D232" s="372" t="s">
        <v>735</v>
      </c>
      <c r="E232" s="230"/>
      <c r="F232" s="368"/>
      <c r="G232" s="368"/>
      <c r="H232" s="368"/>
      <c r="I232" s="368"/>
      <c r="J232" s="369"/>
    </row>
    <row r="233" spans="2:10" x14ac:dyDescent="0.25">
      <c r="B233" s="124">
        <v>222</v>
      </c>
      <c r="C233" s="371" t="s">
        <v>734</v>
      </c>
      <c r="D233" s="372" t="s">
        <v>735</v>
      </c>
      <c r="E233" s="230"/>
      <c r="F233" s="368"/>
      <c r="G233" s="368"/>
      <c r="H233" s="368"/>
      <c r="I233" s="368"/>
      <c r="J233" s="369"/>
    </row>
    <row r="234" spans="2:10" x14ac:dyDescent="0.25">
      <c r="B234" s="124">
        <v>223</v>
      </c>
      <c r="C234" s="371" t="s">
        <v>734</v>
      </c>
      <c r="D234" s="372" t="s">
        <v>735</v>
      </c>
      <c r="E234" s="230"/>
      <c r="F234" s="368"/>
      <c r="G234" s="368"/>
      <c r="H234" s="368"/>
      <c r="I234" s="368"/>
      <c r="J234" s="369"/>
    </row>
    <row r="235" spans="2:10" x14ac:dyDescent="0.25">
      <c r="B235" s="124">
        <v>224</v>
      </c>
      <c r="C235" s="371" t="s">
        <v>734</v>
      </c>
      <c r="D235" s="372" t="s">
        <v>735</v>
      </c>
      <c r="E235" s="230"/>
      <c r="F235" s="368"/>
      <c r="G235" s="368"/>
      <c r="H235" s="368"/>
      <c r="I235" s="368"/>
      <c r="J235" s="369"/>
    </row>
    <row r="236" spans="2:10" x14ac:dyDescent="0.25">
      <c r="B236" s="124">
        <v>225</v>
      </c>
      <c r="C236" s="371" t="s">
        <v>734</v>
      </c>
      <c r="D236" s="372" t="s">
        <v>735</v>
      </c>
      <c r="E236" s="230"/>
      <c r="F236" s="368"/>
      <c r="G236" s="368"/>
      <c r="H236" s="368"/>
      <c r="I236" s="368"/>
      <c r="J236" s="369"/>
    </row>
    <row r="237" spans="2:10" x14ac:dyDescent="0.25">
      <c r="B237" s="124">
        <v>226</v>
      </c>
      <c r="C237" s="371" t="s">
        <v>734</v>
      </c>
      <c r="D237" s="372" t="s">
        <v>735</v>
      </c>
      <c r="E237" s="230"/>
      <c r="F237" s="368"/>
      <c r="G237" s="368"/>
      <c r="H237" s="368"/>
      <c r="I237" s="368"/>
      <c r="J237" s="369"/>
    </row>
    <row r="238" spans="2:10" x14ac:dyDescent="0.25">
      <c r="B238" s="124">
        <v>227</v>
      </c>
      <c r="C238" s="371" t="s">
        <v>734</v>
      </c>
      <c r="D238" s="372" t="s">
        <v>735</v>
      </c>
      <c r="E238" s="230"/>
      <c r="F238" s="368"/>
      <c r="G238" s="368"/>
      <c r="H238" s="368"/>
      <c r="I238" s="368"/>
      <c r="J238" s="369"/>
    </row>
    <row r="239" spans="2:10" x14ac:dyDescent="0.25">
      <c r="B239" s="124">
        <v>228</v>
      </c>
      <c r="C239" s="371" t="s">
        <v>734</v>
      </c>
      <c r="D239" s="372" t="s">
        <v>735</v>
      </c>
      <c r="E239" s="230"/>
      <c r="F239" s="368"/>
      <c r="G239" s="368"/>
      <c r="H239" s="368"/>
      <c r="I239" s="368"/>
      <c r="J239" s="369"/>
    </row>
    <row r="240" spans="2:10" x14ac:dyDescent="0.25">
      <c r="B240" s="124">
        <v>229</v>
      </c>
      <c r="C240" s="371" t="s">
        <v>734</v>
      </c>
      <c r="D240" s="372" t="s">
        <v>735</v>
      </c>
      <c r="E240" s="230"/>
      <c r="F240" s="368"/>
      <c r="G240" s="368"/>
      <c r="H240" s="368"/>
      <c r="I240" s="368"/>
      <c r="J240" s="369"/>
    </row>
    <row r="241" spans="2:10" x14ac:dyDescent="0.25">
      <c r="B241" s="124">
        <v>230</v>
      </c>
      <c r="C241" s="371" t="s">
        <v>734</v>
      </c>
      <c r="D241" s="372" t="s">
        <v>735</v>
      </c>
      <c r="E241" s="230"/>
      <c r="F241" s="368"/>
      <c r="G241" s="368"/>
      <c r="H241" s="368"/>
      <c r="I241" s="368"/>
      <c r="J241" s="369"/>
    </row>
    <row r="242" spans="2:10" ht="13.5" thickBot="1" x14ac:dyDescent="0.3">
      <c r="B242" s="125"/>
      <c r="C242" s="601" t="s">
        <v>39</v>
      </c>
      <c r="D242" s="601"/>
      <c r="E242" s="601"/>
      <c r="F242" s="601"/>
      <c r="G242" s="601"/>
      <c r="H242" s="601"/>
      <c r="I242" s="601"/>
      <c r="J242" s="602"/>
    </row>
    <row r="243" spans="2:10" ht="27" customHeight="1" x14ac:dyDescent="0.25">
      <c r="B243" s="516" t="s">
        <v>94</v>
      </c>
      <c r="C243" s="518"/>
      <c r="D243" s="537"/>
      <c r="E243" s="538"/>
      <c r="F243" s="538"/>
      <c r="G243" s="538"/>
      <c r="H243" s="538"/>
      <c r="I243" s="538"/>
      <c r="J243" s="539"/>
    </row>
    <row r="244" spans="2:10" x14ac:dyDescent="0.25">
      <c r="B244" s="36"/>
      <c r="C244" s="28"/>
      <c r="D244" s="28" t="s">
        <v>736</v>
      </c>
      <c r="E244" s="28"/>
      <c r="F244" s="28"/>
      <c r="G244" s="28"/>
      <c r="H244" s="28"/>
      <c r="I244" s="28"/>
      <c r="J244" s="29"/>
    </row>
    <row r="245" spans="2:10" ht="13.5" thickBot="1" x14ac:dyDescent="0.3">
      <c r="B245" s="390" t="s">
        <v>9</v>
      </c>
      <c r="C245" s="391"/>
      <c r="D245" s="391"/>
      <c r="E245" s="391"/>
      <c r="F245" s="391"/>
      <c r="G245" s="391"/>
      <c r="H245" s="391"/>
      <c r="I245" s="391"/>
      <c r="J245" s="392"/>
    </row>
  </sheetData>
  <sheetProtection password="C288" sheet="1"/>
  <autoFilter ref="C9:E220"/>
  <mergeCells count="18">
    <mergeCell ref="B245:J245"/>
    <mergeCell ref="D243:J243"/>
    <mergeCell ref="C9:C10"/>
    <mergeCell ref="D9:D10"/>
    <mergeCell ref="E9:E10"/>
    <mergeCell ref="C221:J221"/>
    <mergeCell ref="C242:J242"/>
    <mergeCell ref="B243:C243"/>
    <mergeCell ref="C4:F4"/>
    <mergeCell ref="H4:J4"/>
    <mergeCell ref="B2:C2"/>
    <mergeCell ref="C5:J5"/>
    <mergeCell ref="C6:D6"/>
    <mergeCell ref="E6:G6"/>
    <mergeCell ref="B5:B10"/>
    <mergeCell ref="C7:J7"/>
    <mergeCell ref="C8:J8"/>
    <mergeCell ref="F9:J9"/>
  </mergeCells>
  <dataValidations count="5">
    <dataValidation type="list" allowBlank="1" showInputMessage="1" showErrorMessage="1" sqref="E6:G6">
      <formula1>NA</formula1>
    </dataValidation>
    <dataValidation type="list" allowBlank="1" showInputMessage="1" showErrorMessage="1" sqref="E11:E220 E222:E241">
      <formula1>PrimeSub</formula1>
    </dataValidation>
    <dataValidation type="list" allowBlank="1" showInputMessage="1" showErrorMessage="1" sqref="F11:J220 F222:J241">
      <formula1>PSLSort</formula1>
    </dataValidation>
    <dataValidation type="list" allowBlank="1" showInputMessage="1" showErrorMessage="1" sqref="C222:C241">
      <formula1>AllAgencies</formula1>
    </dataValidation>
    <dataValidation type="whole" operator="greaterThanOrEqual" allowBlank="1" showInputMessage="1" showErrorMessage="1" sqref="G4">
      <formula1>0</formula1>
    </dataValidation>
  </dataValidations>
  <hyperlinks>
    <hyperlink ref="B2:C2" location="'4a'!A1" display="Previous Page"/>
    <hyperlink ref="E2" location="'Table of Contents'!A1" display="Table of Contents"/>
    <hyperlink ref="J2" location="'5'!A1" display="Next Page"/>
  </hyperlinks>
  <printOptions horizontalCentered="1"/>
  <pageMargins left="0.25" right="0.25" top="0.75" bottom="0.75" header="0.3" footer="0.3"/>
  <pageSetup scale="43" fitToHeight="3" orientation="landscape"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B37"/>
  <sheetViews>
    <sheetView showGridLines="0" showRowColHeaders="0" zoomScaleNormal="100" workbookViewId="0"/>
  </sheetViews>
  <sheetFormatPr defaultRowHeight="12.75" x14ac:dyDescent="0.25"/>
  <cols>
    <col min="1" max="1" width="9.140625" style="19"/>
    <col min="2" max="2" width="8.5703125" style="19" customWidth="1"/>
    <col min="3" max="3" width="27.42578125" style="19" customWidth="1"/>
    <col min="4" max="4" width="23.5703125" style="19" customWidth="1"/>
    <col min="5" max="5" width="24" style="19" customWidth="1"/>
    <col min="6" max="6" width="23" style="19" customWidth="1"/>
    <col min="7" max="7" width="12.85546875" style="19" customWidth="1"/>
    <col min="8" max="8" width="15.7109375" style="19" customWidth="1"/>
    <col min="9" max="9" width="33.140625" style="19" customWidth="1"/>
    <col min="10" max="14" width="11.85546875" style="19" customWidth="1"/>
    <col min="15" max="15" width="22.85546875" style="19" customWidth="1"/>
    <col min="16" max="16384" width="9.140625" style="19"/>
  </cols>
  <sheetData>
    <row r="1" spans="2:54" ht="13.5" thickBot="1" x14ac:dyDescent="0.3"/>
    <row r="2" spans="2:54" x14ac:dyDescent="0.25">
      <c r="B2" s="548" t="s">
        <v>10</v>
      </c>
      <c r="C2" s="549"/>
      <c r="D2" s="21"/>
      <c r="E2" s="21"/>
      <c r="F2" s="605" t="s">
        <v>11</v>
      </c>
      <c r="G2" s="605"/>
      <c r="H2" s="605"/>
      <c r="I2" s="21"/>
      <c r="J2" s="21"/>
      <c r="K2" s="21"/>
      <c r="L2" s="21"/>
      <c r="M2" s="21"/>
      <c r="N2" s="21"/>
      <c r="O2" s="138" t="s">
        <v>0</v>
      </c>
    </row>
    <row r="3" spans="2:54" x14ac:dyDescent="0.25">
      <c r="B3" s="52" t="s">
        <v>737</v>
      </c>
      <c r="C3" s="57"/>
      <c r="D3" s="57"/>
      <c r="E3" s="57"/>
      <c r="F3" s="57"/>
      <c r="G3" s="57"/>
      <c r="H3" s="57"/>
      <c r="I3" s="57"/>
      <c r="J3" s="57"/>
      <c r="K3" s="57"/>
      <c r="L3" s="57"/>
      <c r="M3" s="57"/>
      <c r="N3" s="57"/>
      <c r="O3" s="58"/>
    </row>
    <row r="4" spans="2:54" ht="84" customHeight="1" x14ac:dyDescent="0.25">
      <c r="B4" s="557" t="s">
        <v>2609</v>
      </c>
      <c r="C4" s="558"/>
      <c r="D4" s="558"/>
      <c r="E4" s="558"/>
      <c r="F4" s="558"/>
      <c r="G4" s="558"/>
      <c r="H4" s="558"/>
      <c r="I4" s="558"/>
      <c r="J4" s="558"/>
      <c r="K4" s="558"/>
      <c r="L4" s="558"/>
      <c r="M4" s="558"/>
      <c r="N4" s="558"/>
      <c r="O4" s="566"/>
    </row>
    <row r="5" spans="2:54" ht="13.5" thickBot="1" x14ac:dyDescent="0.3">
      <c r="B5" s="139"/>
      <c r="C5" s="84"/>
      <c r="D5" s="84"/>
      <c r="E5" s="84"/>
      <c r="F5" s="84"/>
      <c r="G5" s="84"/>
      <c r="H5" s="84"/>
      <c r="I5" s="84"/>
      <c r="J5" s="84"/>
      <c r="K5" s="84"/>
      <c r="L5" s="84"/>
      <c r="M5" s="84"/>
      <c r="N5" s="84"/>
      <c r="O5" s="85"/>
    </row>
    <row r="6" spans="2:54" ht="13.5" thickBot="1" x14ac:dyDescent="0.3">
      <c r="B6" s="135"/>
      <c r="C6" s="606" t="s">
        <v>2610</v>
      </c>
      <c r="D6" s="607"/>
      <c r="E6" s="608"/>
      <c r="F6" s="606" t="s">
        <v>2611</v>
      </c>
      <c r="G6" s="607"/>
      <c r="H6" s="608"/>
      <c r="I6" s="136" t="s">
        <v>738</v>
      </c>
      <c r="J6" s="606" t="s">
        <v>739</v>
      </c>
      <c r="K6" s="607"/>
      <c r="L6" s="607"/>
      <c r="M6" s="607"/>
      <c r="N6" s="607"/>
      <c r="O6" s="608"/>
    </row>
    <row r="7" spans="2:54" ht="27" customHeight="1" x14ac:dyDescent="0.25">
      <c r="B7" s="437"/>
      <c r="C7" s="614" t="s">
        <v>740</v>
      </c>
      <c r="D7" s="616" t="s">
        <v>741</v>
      </c>
      <c r="E7" s="603" t="s">
        <v>742</v>
      </c>
      <c r="F7" s="614" t="s">
        <v>743</v>
      </c>
      <c r="G7" s="616" t="s">
        <v>744</v>
      </c>
      <c r="H7" s="603" t="s">
        <v>745</v>
      </c>
      <c r="I7" s="612" t="s">
        <v>746</v>
      </c>
      <c r="J7" s="614" t="s">
        <v>747</v>
      </c>
      <c r="K7" s="616" t="s">
        <v>748</v>
      </c>
      <c r="L7" s="616" t="s">
        <v>749</v>
      </c>
      <c r="M7" s="616" t="s">
        <v>750</v>
      </c>
      <c r="N7" s="616" t="s">
        <v>751</v>
      </c>
      <c r="O7" s="603" t="s">
        <v>752</v>
      </c>
    </row>
    <row r="8" spans="2:54" ht="27" customHeight="1" x14ac:dyDescent="0.25">
      <c r="B8" s="609"/>
      <c r="C8" s="615"/>
      <c r="D8" s="617"/>
      <c r="E8" s="604"/>
      <c r="F8" s="615"/>
      <c r="G8" s="617"/>
      <c r="H8" s="604"/>
      <c r="I8" s="613"/>
      <c r="J8" s="615"/>
      <c r="K8" s="617"/>
      <c r="L8" s="617"/>
      <c r="M8" s="617"/>
      <c r="N8" s="617"/>
      <c r="O8" s="604"/>
      <c r="AA8" s="329" t="s">
        <v>753</v>
      </c>
      <c r="AB8" s="329" t="s">
        <v>754</v>
      </c>
      <c r="AC8" s="329" t="s">
        <v>755</v>
      </c>
      <c r="AD8" s="329" t="s">
        <v>756</v>
      </c>
      <c r="AE8" s="329" t="s">
        <v>757</v>
      </c>
      <c r="AF8" s="329" t="s">
        <v>758</v>
      </c>
      <c r="AG8" s="329" t="s">
        <v>759</v>
      </c>
      <c r="AH8" s="329" t="s">
        <v>760</v>
      </c>
      <c r="AI8" s="329" t="s">
        <v>761</v>
      </c>
      <c r="AJ8" s="329" t="s">
        <v>762</v>
      </c>
      <c r="AK8" s="329" t="s">
        <v>763</v>
      </c>
      <c r="AL8" s="329" t="s">
        <v>764</v>
      </c>
      <c r="AM8" s="329" t="s">
        <v>765</v>
      </c>
      <c r="AN8" s="329" t="s">
        <v>766</v>
      </c>
      <c r="AO8" s="329" t="s">
        <v>767</v>
      </c>
      <c r="AP8" s="329" t="s">
        <v>768</v>
      </c>
      <c r="AQ8" s="329" t="s">
        <v>769</v>
      </c>
      <c r="AR8" s="329" t="s">
        <v>770</v>
      </c>
      <c r="AS8" s="329" t="s">
        <v>771</v>
      </c>
      <c r="AT8" s="329" t="s">
        <v>772</v>
      </c>
      <c r="AU8" s="329" t="s">
        <v>773</v>
      </c>
      <c r="AV8" s="329" t="s">
        <v>774</v>
      </c>
      <c r="AW8" s="329" t="s">
        <v>775</v>
      </c>
      <c r="AX8" s="329" t="s">
        <v>776</v>
      </c>
      <c r="AY8" s="329" t="s">
        <v>777</v>
      </c>
      <c r="AZ8" s="329" t="s">
        <v>778</v>
      </c>
      <c r="BA8" s="329" t="s">
        <v>779</v>
      </c>
      <c r="BB8" s="329" t="s">
        <v>780</v>
      </c>
    </row>
    <row r="9" spans="2:54" ht="13.5" thickBot="1" x14ac:dyDescent="0.3">
      <c r="B9" s="140" t="s">
        <v>781</v>
      </c>
      <c r="C9" s="141" t="s">
        <v>782</v>
      </c>
      <c r="D9" s="142" t="s">
        <v>376</v>
      </c>
      <c r="E9" s="143" t="s">
        <v>783</v>
      </c>
      <c r="F9" s="141" t="s">
        <v>784</v>
      </c>
      <c r="G9" s="142" t="s">
        <v>785</v>
      </c>
      <c r="H9" s="143" t="s">
        <v>87</v>
      </c>
      <c r="I9" s="144" t="s">
        <v>350</v>
      </c>
      <c r="J9" s="141" t="s">
        <v>786</v>
      </c>
      <c r="K9" s="142" t="s">
        <v>787</v>
      </c>
      <c r="L9" s="142" t="s">
        <v>786</v>
      </c>
      <c r="M9" s="142" t="s">
        <v>788</v>
      </c>
      <c r="N9" s="142" t="s">
        <v>788</v>
      </c>
      <c r="O9" s="121"/>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329"/>
      <c r="AY9" s="329"/>
      <c r="AZ9" s="329"/>
      <c r="BA9" s="329"/>
      <c r="BB9" s="329"/>
    </row>
    <row r="10" spans="2:54" ht="30" customHeight="1" x14ac:dyDescent="0.25">
      <c r="B10" s="250" t="s">
        <v>159</v>
      </c>
      <c r="C10" s="253"/>
      <c r="D10" s="254"/>
      <c r="E10" s="255"/>
      <c r="F10" s="253"/>
      <c r="G10" s="237"/>
      <c r="H10" s="242"/>
      <c r="I10" s="256"/>
      <c r="J10" s="245"/>
      <c r="K10" s="237"/>
      <c r="L10" s="237"/>
      <c r="M10" s="237"/>
      <c r="N10" s="237"/>
      <c r="O10" s="271" t="s">
        <v>789</v>
      </c>
      <c r="AA10" s="329" t="s">
        <v>790</v>
      </c>
      <c r="AB10" s="329" t="s">
        <v>756</v>
      </c>
      <c r="AC10" s="329" t="str">
        <f>IF(ISERROR(VLOOKUP($C10, $AA$10:$AB$34, 2, FALSE)), "", VLOOKUP($C10, $AA$10:$AB$34, 2, FALSE))</f>
        <v/>
      </c>
      <c r="AD10" s="329" t="s">
        <v>243</v>
      </c>
      <c r="AE10" s="329" t="s">
        <v>250</v>
      </c>
      <c r="AF10" s="329" t="s">
        <v>268</v>
      </c>
      <c r="AG10" s="329" t="s">
        <v>279</v>
      </c>
      <c r="AH10" s="329" t="s">
        <v>291</v>
      </c>
      <c r="AI10" s="329" t="s">
        <v>296</v>
      </c>
      <c r="AJ10" s="329" t="s">
        <v>304</v>
      </c>
      <c r="AK10" s="329" t="s">
        <v>310</v>
      </c>
      <c r="AL10" s="329" t="s">
        <v>317</v>
      </c>
      <c r="AM10" s="329" t="s">
        <v>324</v>
      </c>
      <c r="AN10" s="329" t="s">
        <v>330</v>
      </c>
      <c r="AO10" s="329" t="s">
        <v>337</v>
      </c>
      <c r="AP10" s="329" t="s">
        <v>344</v>
      </c>
      <c r="AQ10" s="329" t="s">
        <v>350</v>
      </c>
      <c r="AR10" s="329" t="s">
        <v>358</v>
      </c>
      <c r="AS10" s="329" t="s">
        <v>373</v>
      </c>
      <c r="AT10" s="329" t="s">
        <v>383</v>
      </c>
      <c r="AU10" s="329" t="s">
        <v>392</v>
      </c>
      <c r="AV10" s="329" t="s">
        <v>400</v>
      </c>
      <c r="AW10" s="329" t="s">
        <v>406</v>
      </c>
      <c r="AX10" s="329" t="s">
        <v>414</v>
      </c>
      <c r="AY10" s="329" t="s">
        <v>421</v>
      </c>
      <c r="AZ10" s="329" t="s">
        <v>430</v>
      </c>
      <c r="BA10" s="329" t="s">
        <v>441</v>
      </c>
      <c r="BB10" s="329" t="s">
        <v>455</v>
      </c>
    </row>
    <row r="11" spans="2:54" ht="30" customHeight="1" x14ac:dyDescent="0.25">
      <c r="B11" s="124" t="s">
        <v>160</v>
      </c>
      <c r="C11" s="257"/>
      <c r="D11" s="258"/>
      <c r="E11" s="259"/>
      <c r="F11" s="257"/>
      <c r="G11" s="260"/>
      <c r="H11" s="261"/>
      <c r="I11" s="262"/>
      <c r="J11" s="263"/>
      <c r="K11" s="260"/>
      <c r="L11" s="260"/>
      <c r="M11" s="260"/>
      <c r="N11" s="260"/>
      <c r="O11" s="226" t="s">
        <v>789</v>
      </c>
      <c r="AA11" s="329" t="s">
        <v>792</v>
      </c>
      <c r="AB11" s="329" t="s">
        <v>757</v>
      </c>
      <c r="AC11" s="329" t="str">
        <f t="shared" ref="AC11:AC34" si="0">IF(ISERROR(VLOOKUP($C11, $AA$10:$AB$34, 2, FALSE)), "", VLOOKUP($C11, $AA$10:$AB$34, 2, FALSE))</f>
        <v/>
      </c>
      <c r="AD11" s="329" t="s">
        <v>244</v>
      </c>
      <c r="AE11" s="329" t="s">
        <v>251</v>
      </c>
      <c r="AF11" s="329" t="s">
        <v>269</v>
      </c>
      <c r="AG11" s="329" t="s">
        <v>280</v>
      </c>
      <c r="AH11" s="329" t="s">
        <v>292</v>
      </c>
      <c r="AI11" s="329" t="s">
        <v>297</v>
      </c>
      <c r="AJ11" s="329" t="s">
        <v>305</v>
      </c>
      <c r="AK11" s="329" t="s">
        <v>311</v>
      </c>
      <c r="AL11" s="329" t="s">
        <v>318</v>
      </c>
      <c r="AM11" s="329" t="s">
        <v>325</v>
      </c>
      <c r="AN11" s="329" t="s">
        <v>331</v>
      </c>
      <c r="AO11" s="329" t="s">
        <v>338</v>
      </c>
      <c r="AP11" s="329" t="s">
        <v>345</v>
      </c>
      <c r="AQ11" s="329" t="s">
        <v>351</v>
      </c>
      <c r="AR11" s="329" t="s">
        <v>359</v>
      </c>
      <c r="AS11" s="329" t="s">
        <v>374</v>
      </c>
      <c r="AT11" s="329" t="s">
        <v>384</v>
      </c>
      <c r="AU11" s="329" t="s">
        <v>393</v>
      </c>
      <c r="AV11" s="329" t="s">
        <v>401</v>
      </c>
      <c r="AW11" s="329" t="s">
        <v>407</v>
      </c>
      <c r="AX11" s="329" t="s">
        <v>415</v>
      </c>
      <c r="AY11" s="329" t="s">
        <v>422</v>
      </c>
      <c r="AZ11" s="329" t="s">
        <v>431</v>
      </c>
      <c r="BA11" s="329" t="s">
        <v>442</v>
      </c>
      <c r="BB11" s="329" t="s">
        <v>793</v>
      </c>
    </row>
    <row r="12" spans="2:54" ht="30" customHeight="1" x14ac:dyDescent="0.25">
      <c r="B12" s="124" t="s">
        <v>161</v>
      </c>
      <c r="C12" s="257"/>
      <c r="D12" s="258"/>
      <c r="E12" s="259"/>
      <c r="F12" s="257"/>
      <c r="G12" s="260"/>
      <c r="H12" s="261"/>
      <c r="I12" s="262"/>
      <c r="J12" s="263"/>
      <c r="K12" s="260"/>
      <c r="L12" s="260"/>
      <c r="M12" s="260"/>
      <c r="N12" s="260"/>
      <c r="O12" s="226" t="s">
        <v>789</v>
      </c>
      <c r="AA12" s="329" t="s">
        <v>794</v>
      </c>
      <c r="AB12" s="329" t="s">
        <v>758</v>
      </c>
      <c r="AC12" s="329" t="str">
        <f t="shared" si="0"/>
        <v/>
      </c>
      <c r="AD12" s="329" t="s">
        <v>245</v>
      </c>
      <c r="AE12" s="329" t="s">
        <v>252</v>
      </c>
      <c r="AF12" s="329" t="s">
        <v>270</v>
      </c>
      <c r="AG12" s="329" t="s">
        <v>281</v>
      </c>
      <c r="AH12" s="329" t="s">
        <v>293</v>
      </c>
      <c r="AI12" s="329" t="s">
        <v>298</v>
      </c>
      <c r="AJ12" s="329" t="s">
        <v>306</v>
      </c>
      <c r="AK12" s="329" t="s">
        <v>312</v>
      </c>
      <c r="AL12" s="329" t="s">
        <v>319</v>
      </c>
      <c r="AM12" s="329" t="s">
        <v>326</v>
      </c>
      <c r="AN12" s="329" t="s">
        <v>332</v>
      </c>
      <c r="AO12" s="329" t="s">
        <v>339</v>
      </c>
      <c r="AP12" s="329" t="s">
        <v>346</v>
      </c>
      <c r="AQ12" s="329" t="s">
        <v>352</v>
      </c>
      <c r="AR12" s="329" t="s">
        <v>360</v>
      </c>
      <c r="AS12" s="329" t="s">
        <v>375</v>
      </c>
      <c r="AT12" s="329" t="s">
        <v>385</v>
      </c>
      <c r="AU12" s="329" t="s">
        <v>394</v>
      </c>
      <c r="AV12" s="329" t="s">
        <v>402</v>
      </c>
      <c r="AW12" s="329" t="s">
        <v>408</v>
      </c>
      <c r="AX12" s="329" t="s">
        <v>416</v>
      </c>
      <c r="AY12" s="329" t="s">
        <v>423</v>
      </c>
      <c r="AZ12" s="329" t="s">
        <v>432</v>
      </c>
      <c r="BA12" s="329" t="s">
        <v>443</v>
      </c>
      <c r="BB12" s="329" t="s">
        <v>457</v>
      </c>
    </row>
    <row r="13" spans="2:54" ht="30" customHeight="1" x14ac:dyDescent="0.25">
      <c r="B13" s="124" t="s">
        <v>162</v>
      </c>
      <c r="C13" s="257"/>
      <c r="D13" s="258"/>
      <c r="E13" s="259"/>
      <c r="F13" s="257"/>
      <c r="G13" s="260"/>
      <c r="H13" s="261"/>
      <c r="I13" s="262"/>
      <c r="J13" s="263"/>
      <c r="K13" s="260"/>
      <c r="L13" s="260"/>
      <c r="M13" s="260"/>
      <c r="N13" s="260"/>
      <c r="O13" s="226" t="s">
        <v>789</v>
      </c>
      <c r="AA13" s="329" t="s">
        <v>278</v>
      </c>
      <c r="AB13" s="329" t="s">
        <v>759</v>
      </c>
      <c r="AC13" s="329" t="str">
        <f t="shared" si="0"/>
        <v/>
      </c>
      <c r="AD13" s="329" t="s">
        <v>246</v>
      </c>
      <c r="AE13" s="329" t="s">
        <v>253</v>
      </c>
      <c r="AF13" s="329" t="s">
        <v>271</v>
      </c>
      <c r="AG13" s="329" t="s">
        <v>282</v>
      </c>
      <c r="AH13" s="329" t="s">
        <v>294</v>
      </c>
      <c r="AI13" s="329" t="s">
        <v>299</v>
      </c>
      <c r="AJ13" s="329" t="s">
        <v>795</v>
      </c>
      <c r="AK13" s="329" t="s">
        <v>313</v>
      </c>
      <c r="AL13" s="329" t="s">
        <v>320</v>
      </c>
      <c r="AM13" s="329" t="s">
        <v>327</v>
      </c>
      <c r="AN13" s="329" t="s">
        <v>333</v>
      </c>
      <c r="AO13" s="329" t="s">
        <v>340</v>
      </c>
      <c r="AP13" s="329" t="s">
        <v>347</v>
      </c>
      <c r="AQ13" s="329" t="s">
        <v>353</v>
      </c>
      <c r="AR13" s="329" t="s">
        <v>361</v>
      </c>
      <c r="AS13" s="329" t="s">
        <v>376</v>
      </c>
      <c r="AT13" s="329" t="s">
        <v>386</v>
      </c>
      <c r="AU13" s="329" t="s">
        <v>395</v>
      </c>
      <c r="AV13" s="329" t="s">
        <v>403</v>
      </c>
      <c r="AW13" s="329" t="s">
        <v>409</v>
      </c>
      <c r="AX13" s="329" t="s">
        <v>417</v>
      </c>
      <c r="AY13" s="329" t="s">
        <v>424</v>
      </c>
      <c r="AZ13" s="329" t="s">
        <v>433</v>
      </c>
      <c r="BA13" s="329" t="s">
        <v>444</v>
      </c>
      <c r="BB13" s="329" t="s">
        <v>458</v>
      </c>
    </row>
    <row r="14" spans="2:54" ht="30" customHeight="1" x14ac:dyDescent="0.25">
      <c r="B14" s="124" t="s">
        <v>163</v>
      </c>
      <c r="C14" s="257"/>
      <c r="D14" s="258"/>
      <c r="E14" s="259"/>
      <c r="F14" s="257"/>
      <c r="G14" s="260"/>
      <c r="H14" s="261"/>
      <c r="I14" s="262"/>
      <c r="J14" s="263"/>
      <c r="K14" s="260"/>
      <c r="L14" s="260"/>
      <c r="M14" s="260"/>
      <c r="N14" s="260"/>
      <c r="O14" s="226" t="s">
        <v>789</v>
      </c>
      <c r="AA14" s="329" t="s">
        <v>290</v>
      </c>
      <c r="AB14" s="329" t="s">
        <v>760</v>
      </c>
      <c r="AC14" s="329" t="str">
        <f t="shared" si="0"/>
        <v/>
      </c>
      <c r="AD14" s="329" t="s">
        <v>247</v>
      </c>
      <c r="AE14" s="329" t="s">
        <v>254</v>
      </c>
      <c r="AF14" s="329" t="s">
        <v>272</v>
      </c>
      <c r="AG14" s="329" t="s">
        <v>283</v>
      </c>
      <c r="AH14" s="329"/>
      <c r="AI14" s="329" t="s">
        <v>300</v>
      </c>
      <c r="AJ14" s="329" t="s">
        <v>796</v>
      </c>
      <c r="AK14" s="329" t="s">
        <v>314</v>
      </c>
      <c r="AL14" s="329" t="s">
        <v>321</v>
      </c>
      <c r="AM14" s="329"/>
      <c r="AN14" s="329" t="s">
        <v>334</v>
      </c>
      <c r="AO14" s="329" t="s">
        <v>341</v>
      </c>
      <c r="AP14" s="329" t="s">
        <v>797</v>
      </c>
      <c r="AQ14" s="329" t="s">
        <v>354</v>
      </c>
      <c r="AR14" s="329" t="s">
        <v>362</v>
      </c>
      <c r="AS14" s="329" t="s">
        <v>377</v>
      </c>
      <c r="AT14" s="329" t="s">
        <v>387</v>
      </c>
      <c r="AU14" s="329" t="s">
        <v>396</v>
      </c>
      <c r="AV14" s="329" t="s">
        <v>404</v>
      </c>
      <c r="AW14" s="329" t="s">
        <v>410</v>
      </c>
      <c r="AX14" s="329" t="s">
        <v>418</v>
      </c>
      <c r="AY14" s="329" t="s">
        <v>425</v>
      </c>
      <c r="AZ14" s="329" t="s">
        <v>434</v>
      </c>
      <c r="BA14" s="329" t="s">
        <v>445</v>
      </c>
      <c r="BB14" s="329" t="s">
        <v>459</v>
      </c>
    </row>
    <row r="15" spans="2:54" ht="30" customHeight="1" x14ac:dyDescent="0.25">
      <c r="B15" s="124" t="s">
        <v>164</v>
      </c>
      <c r="C15" s="257"/>
      <c r="D15" s="258"/>
      <c r="E15" s="259"/>
      <c r="F15" s="257"/>
      <c r="G15" s="260"/>
      <c r="H15" s="261"/>
      <c r="I15" s="262"/>
      <c r="J15" s="263"/>
      <c r="K15" s="260"/>
      <c r="L15" s="260"/>
      <c r="M15" s="260"/>
      <c r="N15" s="260"/>
      <c r="O15" s="226" t="s">
        <v>789</v>
      </c>
      <c r="AA15" s="329" t="s">
        <v>798</v>
      </c>
      <c r="AB15" s="329" t="s">
        <v>761</v>
      </c>
      <c r="AC15" s="329" t="str">
        <f t="shared" si="0"/>
        <v/>
      </c>
      <c r="AD15" s="329" t="s">
        <v>248</v>
      </c>
      <c r="AE15" s="329" t="s">
        <v>255</v>
      </c>
      <c r="AF15" s="329" t="s">
        <v>273</v>
      </c>
      <c r="AG15" s="329" t="s">
        <v>284</v>
      </c>
      <c r="AH15" s="329"/>
      <c r="AI15" s="329" t="s">
        <v>301</v>
      </c>
      <c r="AJ15" s="329"/>
      <c r="AK15" s="329" t="s">
        <v>315</v>
      </c>
      <c r="AL15" s="329" t="s">
        <v>322</v>
      </c>
      <c r="AM15" s="329"/>
      <c r="AN15" s="329" t="s">
        <v>799</v>
      </c>
      <c r="AO15" s="329" t="s">
        <v>342</v>
      </c>
      <c r="AP15" s="329"/>
      <c r="AQ15" s="329" t="s">
        <v>355</v>
      </c>
      <c r="AR15" s="329" t="s">
        <v>363</v>
      </c>
      <c r="AS15" s="329" t="s">
        <v>378</v>
      </c>
      <c r="AT15" s="329" t="s">
        <v>388</v>
      </c>
      <c r="AU15" s="329" t="s">
        <v>397</v>
      </c>
      <c r="AV15" s="329"/>
      <c r="AW15" s="329" t="s">
        <v>411</v>
      </c>
      <c r="AX15" s="329" t="s">
        <v>419</v>
      </c>
      <c r="AY15" s="329" t="s">
        <v>426</v>
      </c>
      <c r="AZ15" s="329" t="s">
        <v>435</v>
      </c>
      <c r="BA15" s="329" t="s">
        <v>446</v>
      </c>
      <c r="BB15" s="329" t="s">
        <v>460</v>
      </c>
    </row>
    <row r="16" spans="2:54" ht="30" customHeight="1" x14ac:dyDescent="0.25">
      <c r="B16" s="124" t="s">
        <v>165</v>
      </c>
      <c r="C16" s="257"/>
      <c r="D16" s="258"/>
      <c r="E16" s="259"/>
      <c r="F16" s="257"/>
      <c r="G16" s="260"/>
      <c r="H16" s="261"/>
      <c r="I16" s="262"/>
      <c r="J16" s="263"/>
      <c r="K16" s="260"/>
      <c r="L16" s="260"/>
      <c r="M16" s="260"/>
      <c r="N16" s="260"/>
      <c r="O16" s="226" t="s">
        <v>789</v>
      </c>
      <c r="AA16" s="329" t="s">
        <v>800</v>
      </c>
      <c r="AB16" s="329" t="s">
        <v>762</v>
      </c>
      <c r="AC16" s="329" t="str">
        <f t="shared" si="0"/>
        <v/>
      </c>
      <c r="AD16" s="329"/>
      <c r="AE16" s="329" t="s">
        <v>256</v>
      </c>
      <c r="AF16" s="329" t="s">
        <v>274</v>
      </c>
      <c r="AG16" s="329" t="s">
        <v>285</v>
      </c>
      <c r="AH16" s="329"/>
      <c r="AI16" s="329" t="s">
        <v>302</v>
      </c>
      <c r="AJ16" s="329"/>
      <c r="AK16" s="329"/>
      <c r="AL16" s="329"/>
      <c r="AM16" s="329"/>
      <c r="AN16" s="329"/>
      <c r="AO16" s="329"/>
      <c r="AP16" s="329"/>
      <c r="AQ16" s="329" t="s">
        <v>356</v>
      </c>
      <c r="AR16" s="329" t="s">
        <v>364</v>
      </c>
      <c r="AS16" s="329" t="s">
        <v>379</v>
      </c>
      <c r="AT16" s="329" t="s">
        <v>389</v>
      </c>
      <c r="AU16" s="329" t="s">
        <v>398</v>
      </c>
      <c r="AV16" s="329"/>
      <c r="AW16" s="329" t="s">
        <v>801</v>
      </c>
      <c r="AX16" s="329"/>
      <c r="AY16" s="329" t="s">
        <v>427</v>
      </c>
      <c r="AZ16" s="329" t="s">
        <v>436</v>
      </c>
      <c r="BA16" s="329" t="s">
        <v>447</v>
      </c>
      <c r="BB16" s="329" t="s">
        <v>802</v>
      </c>
    </row>
    <row r="17" spans="2:54" ht="30" customHeight="1" x14ac:dyDescent="0.25">
      <c r="B17" s="124" t="s">
        <v>166</v>
      </c>
      <c r="C17" s="257"/>
      <c r="D17" s="258"/>
      <c r="E17" s="259"/>
      <c r="F17" s="257"/>
      <c r="G17" s="260"/>
      <c r="H17" s="261"/>
      <c r="I17" s="262"/>
      <c r="J17" s="263"/>
      <c r="K17" s="260"/>
      <c r="L17" s="260"/>
      <c r="M17" s="260"/>
      <c r="N17" s="260"/>
      <c r="O17" s="226" t="s">
        <v>789</v>
      </c>
      <c r="AA17" s="329" t="s">
        <v>803</v>
      </c>
      <c r="AB17" s="329" t="s">
        <v>763</v>
      </c>
      <c r="AC17" s="329" t="str">
        <f t="shared" si="0"/>
        <v/>
      </c>
      <c r="AD17" s="329"/>
      <c r="AE17" s="329" t="s">
        <v>257</v>
      </c>
      <c r="AF17" s="329" t="s">
        <v>275</v>
      </c>
      <c r="AG17" s="329" t="s">
        <v>286</v>
      </c>
      <c r="AH17" s="329"/>
      <c r="AI17" s="329"/>
      <c r="AJ17" s="329"/>
      <c r="AK17" s="329"/>
      <c r="AL17" s="329"/>
      <c r="AM17" s="329"/>
      <c r="AN17" s="329"/>
      <c r="AO17" s="329"/>
      <c r="AP17" s="329"/>
      <c r="AQ17" s="329"/>
      <c r="AR17" s="329" t="s">
        <v>365</v>
      </c>
      <c r="AS17" s="329" t="s">
        <v>380</v>
      </c>
      <c r="AT17" s="329" t="s">
        <v>390</v>
      </c>
      <c r="AU17" s="329"/>
      <c r="AV17" s="329"/>
      <c r="AW17" s="329"/>
      <c r="AX17" s="329"/>
      <c r="AY17" s="329"/>
      <c r="AZ17" s="329" t="s">
        <v>437</v>
      </c>
      <c r="BA17" s="329" t="s">
        <v>448</v>
      </c>
      <c r="BB17" s="329" t="s">
        <v>462</v>
      </c>
    </row>
    <row r="18" spans="2:54" ht="30" customHeight="1" x14ac:dyDescent="0.25">
      <c r="B18" s="124" t="s">
        <v>167</v>
      </c>
      <c r="C18" s="257"/>
      <c r="D18" s="258"/>
      <c r="E18" s="259"/>
      <c r="F18" s="257"/>
      <c r="G18" s="260"/>
      <c r="H18" s="261"/>
      <c r="I18" s="262"/>
      <c r="J18" s="263"/>
      <c r="K18" s="260"/>
      <c r="L18" s="260"/>
      <c r="M18" s="260"/>
      <c r="N18" s="260"/>
      <c r="O18" s="226" t="s">
        <v>789</v>
      </c>
      <c r="AA18" s="329" t="s">
        <v>316</v>
      </c>
      <c r="AB18" s="329" t="s">
        <v>764</v>
      </c>
      <c r="AC18" s="329" t="str">
        <f t="shared" si="0"/>
        <v/>
      </c>
      <c r="AD18" s="329"/>
      <c r="AE18" s="329" t="s">
        <v>258</v>
      </c>
      <c r="AF18" s="329" t="s">
        <v>276</v>
      </c>
      <c r="AG18" s="329" t="s">
        <v>287</v>
      </c>
      <c r="AH18" s="329"/>
      <c r="AI18" s="329"/>
      <c r="AJ18" s="329"/>
      <c r="AK18" s="329"/>
      <c r="AL18" s="329"/>
      <c r="AM18" s="329"/>
      <c r="AN18" s="329"/>
      <c r="AO18" s="329"/>
      <c r="AP18" s="329"/>
      <c r="AQ18" s="329"/>
      <c r="AR18" s="329" t="s">
        <v>366</v>
      </c>
      <c r="AS18" s="329" t="s">
        <v>381</v>
      </c>
      <c r="AT18" s="329"/>
      <c r="AU18" s="329"/>
      <c r="AV18" s="329"/>
      <c r="AW18" s="329"/>
      <c r="AX18" s="329"/>
      <c r="AY18" s="329"/>
      <c r="AZ18" s="329" t="s">
        <v>438</v>
      </c>
      <c r="BA18" s="329" t="s">
        <v>449</v>
      </c>
      <c r="BB18" s="329" t="s">
        <v>463</v>
      </c>
    </row>
    <row r="19" spans="2:54" ht="30" customHeight="1" x14ac:dyDescent="0.25">
      <c r="B19" s="124" t="s">
        <v>168</v>
      </c>
      <c r="C19" s="257"/>
      <c r="D19" s="258"/>
      <c r="E19" s="259"/>
      <c r="F19" s="257"/>
      <c r="G19" s="260"/>
      <c r="H19" s="261"/>
      <c r="I19" s="262"/>
      <c r="J19" s="263"/>
      <c r="K19" s="260"/>
      <c r="L19" s="260"/>
      <c r="M19" s="260"/>
      <c r="N19" s="260"/>
      <c r="O19" s="226" t="s">
        <v>789</v>
      </c>
      <c r="AA19" s="329" t="s">
        <v>804</v>
      </c>
      <c r="AB19" s="329" t="s">
        <v>765</v>
      </c>
      <c r="AC19" s="329" t="str">
        <f t="shared" si="0"/>
        <v/>
      </c>
      <c r="AD19" s="329"/>
      <c r="AE19" s="329" t="s">
        <v>259</v>
      </c>
      <c r="AF19" s="329"/>
      <c r="AG19" s="329" t="s">
        <v>288</v>
      </c>
      <c r="AH19" s="329"/>
      <c r="AI19" s="329"/>
      <c r="AJ19" s="329"/>
      <c r="AK19" s="329"/>
      <c r="AL19" s="329"/>
      <c r="AM19" s="329"/>
      <c r="AN19" s="329"/>
      <c r="AO19" s="329"/>
      <c r="AP19" s="329"/>
      <c r="AQ19" s="329"/>
      <c r="AR19" s="329" t="s">
        <v>367</v>
      </c>
      <c r="AS19" s="329"/>
      <c r="AT19" s="329"/>
      <c r="AU19" s="329"/>
      <c r="AV19" s="329"/>
      <c r="AW19" s="329"/>
      <c r="AX19" s="329"/>
      <c r="AY19" s="329"/>
      <c r="AZ19" s="329" t="s">
        <v>805</v>
      </c>
      <c r="BA19" s="329" t="s">
        <v>450</v>
      </c>
      <c r="BB19" s="329" t="s">
        <v>806</v>
      </c>
    </row>
    <row r="20" spans="2:54" ht="30" customHeight="1" x14ac:dyDescent="0.25">
      <c r="B20" s="124" t="s">
        <v>175</v>
      </c>
      <c r="C20" s="257"/>
      <c r="D20" s="258"/>
      <c r="E20" s="259"/>
      <c r="F20" s="257"/>
      <c r="G20" s="260"/>
      <c r="H20" s="261"/>
      <c r="I20" s="262"/>
      <c r="J20" s="263"/>
      <c r="K20" s="260"/>
      <c r="L20" s="260"/>
      <c r="M20" s="260"/>
      <c r="N20" s="260"/>
      <c r="O20" s="226" t="s">
        <v>789</v>
      </c>
      <c r="AA20" s="329" t="s">
        <v>807</v>
      </c>
      <c r="AB20" s="329" t="s">
        <v>766</v>
      </c>
      <c r="AC20" s="329" t="str">
        <f t="shared" si="0"/>
        <v/>
      </c>
      <c r="AD20" s="329"/>
      <c r="AE20" s="329" t="s">
        <v>260</v>
      </c>
      <c r="AF20" s="329"/>
      <c r="AG20" s="329" t="s">
        <v>289</v>
      </c>
      <c r="AH20" s="329"/>
      <c r="AI20" s="329"/>
      <c r="AJ20" s="329"/>
      <c r="AK20" s="329"/>
      <c r="AL20" s="329"/>
      <c r="AM20" s="329"/>
      <c r="AN20" s="329"/>
      <c r="AO20" s="329"/>
      <c r="AP20" s="329"/>
      <c r="AQ20" s="329"/>
      <c r="AR20" s="329" t="s">
        <v>368</v>
      </c>
      <c r="AS20" s="329"/>
      <c r="AT20" s="329"/>
      <c r="AU20" s="329"/>
      <c r="AV20" s="329"/>
      <c r="AW20" s="329"/>
      <c r="AX20" s="329"/>
      <c r="AY20" s="329"/>
      <c r="AZ20" s="329"/>
      <c r="BA20" s="329" t="s">
        <v>451</v>
      </c>
      <c r="BB20" s="329" t="s">
        <v>465</v>
      </c>
    </row>
    <row r="21" spans="2:54" ht="30" customHeight="1" x14ac:dyDescent="0.25">
      <c r="B21" s="124" t="s">
        <v>176</v>
      </c>
      <c r="C21" s="257"/>
      <c r="D21" s="258"/>
      <c r="E21" s="259"/>
      <c r="F21" s="257"/>
      <c r="G21" s="260"/>
      <c r="H21" s="261"/>
      <c r="I21" s="262"/>
      <c r="J21" s="263"/>
      <c r="K21" s="260"/>
      <c r="L21" s="260"/>
      <c r="M21" s="260"/>
      <c r="N21" s="260"/>
      <c r="O21" s="226" t="s">
        <v>789</v>
      </c>
      <c r="AA21" s="329" t="s">
        <v>808</v>
      </c>
      <c r="AB21" s="329" t="s">
        <v>767</v>
      </c>
      <c r="AC21" s="329" t="str">
        <f t="shared" si="0"/>
        <v/>
      </c>
      <c r="AD21" s="329"/>
      <c r="AE21" s="329" t="s">
        <v>261</v>
      </c>
      <c r="AF21" s="329"/>
      <c r="AG21" s="329"/>
      <c r="AH21" s="329"/>
      <c r="AI21" s="329"/>
      <c r="AJ21" s="329"/>
      <c r="AK21" s="329"/>
      <c r="AL21" s="329"/>
      <c r="AM21" s="329"/>
      <c r="AN21" s="329"/>
      <c r="AO21" s="329"/>
      <c r="AP21" s="329"/>
      <c r="AQ21" s="329"/>
      <c r="AR21" s="329" t="s">
        <v>369</v>
      </c>
      <c r="AS21" s="329"/>
      <c r="AT21" s="329"/>
      <c r="AU21" s="329"/>
      <c r="AV21" s="329"/>
      <c r="AW21" s="329"/>
      <c r="AX21" s="329"/>
      <c r="AY21" s="329"/>
      <c r="AZ21" s="329"/>
      <c r="BA21" s="329" t="s">
        <v>452</v>
      </c>
      <c r="BB21" s="329" t="s">
        <v>466</v>
      </c>
    </row>
    <row r="22" spans="2:54" ht="30" customHeight="1" x14ac:dyDescent="0.25">
      <c r="B22" s="124" t="s">
        <v>177</v>
      </c>
      <c r="C22" s="257"/>
      <c r="D22" s="258"/>
      <c r="E22" s="259"/>
      <c r="F22" s="257"/>
      <c r="G22" s="260"/>
      <c r="H22" s="261"/>
      <c r="I22" s="262"/>
      <c r="J22" s="263"/>
      <c r="K22" s="260"/>
      <c r="L22" s="260"/>
      <c r="M22" s="260"/>
      <c r="N22" s="260"/>
      <c r="O22" s="226" t="s">
        <v>789</v>
      </c>
      <c r="AA22" s="329" t="s">
        <v>809</v>
      </c>
      <c r="AB22" s="329" t="s">
        <v>768</v>
      </c>
      <c r="AC22" s="329" t="str">
        <f t="shared" si="0"/>
        <v/>
      </c>
      <c r="AD22" s="329"/>
      <c r="AE22" s="329" t="s">
        <v>262</v>
      </c>
      <c r="AF22" s="329"/>
      <c r="AG22" s="329"/>
      <c r="AH22" s="329"/>
      <c r="AI22" s="329"/>
      <c r="AJ22" s="329"/>
      <c r="AK22" s="329"/>
      <c r="AL22" s="329"/>
      <c r="AM22" s="329"/>
      <c r="AN22" s="329"/>
      <c r="AO22" s="329"/>
      <c r="AP22" s="329"/>
      <c r="AQ22" s="329"/>
      <c r="AR22" s="329" t="s">
        <v>370</v>
      </c>
      <c r="AS22" s="329"/>
      <c r="AT22" s="329"/>
      <c r="AU22" s="329"/>
      <c r="AV22" s="329"/>
      <c r="AW22" s="329"/>
      <c r="AX22" s="329"/>
      <c r="AY22" s="329"/>
      <c r="AZ22" s="329"/>
      <c r="BA22" s="329" t="s">
        <v>453</v>
      </c>
      <c r="BB22" s="329" t="s">
        <v>467</v>
      </c>
    </row>
    <row r="23" spans="2:54" ht="30" customHeight="1" x14ac:dyDescent="0.25">
      <c r="B23" s="124" t="s">
        <v>178</v>
      </c>
      <c r="C23" s="257"/>
      <c r="D23" s="258"/>
      <c r="E23" s="259"/>
      <c r="F23" s="257"/>
      <c r="G23" s="260"/>
      <c r="H23" s="261"/>
      <c r="I23" s="262"/>
      <c r="J23" s="263"/>
      <c r="K23" s="260"/>
      <c r="L23" s="260"/>
      <c r="M23" s="260"/>
      <c r="N23" s="260"/>
      <c r="O23" s="226" t="s">
        <v>789</v>
      </c>
      <c r="AA23" s="329" t="s">
        <v>810</v>
      </c>
      <c r="AB23" s="329" t="s">
        <v>769</v>
      </c>
      <c r="AC23" s="329" t="str">
        <f t="shared" si="0"/>
        <v/>
      </c>
      <c r="AD23" s="329"/>
      <c r="AE23" s="329" t="s">
        <v>263</v>
      </c>
      <c r="AF23" s="329"/>
      <c r="AG23" s="329"/>
      <c r="AH23" s="329"/>
      <c r="AI23" s="329"/>
      <c r="AJ23" s="329"/>
      <c r="AK23" s="329"/>
      <c r="AL23" s="329"/>
      <c r="AM23" s="329"/>
      <c r="AN23" s="329"/>
      <c r="AO23" s="329"/>
      <c r="AP23" s="329"/>
      <c r="AQ23" s="329"/>
      <c r="AR23" s="329"/>
      <c r="AS23" s="329"/>
      <c r="AT23" s="329"/>
      <c r="AU23" s="329"/>
      <c r="AV23" s="329"/>
      <c r="AW23" s="329"/>
      <c r="AX23" s="329"/>
      <c r="AY23" s="329"/>
      <c r="AZ23" s="329"/>
      <c r="BA23" s="329"/>
      <c r="BB23" s="329" t="s">
        <v>468</v>
      </c>
    </row>
    <row r="24" spans="2:54" ht="30" customHeight="1" x14ac:dyDescent="0.25">
      <c r="B24" s="124" t="s">
        <v>179</v>
      </c>
      <c r="C24" s="257"/>
      <c r="D24" s="258"/>
      <c r="E24" s="259"/>
      <c r="F24" s="257"/>
      <c r="G24" s="260"/>
      <c r="H24" s="261"/>
      <c r="I24" s="262"/>
      <c r="J24" s="263"/>
      <c r="K24" s="260"/>
      <c r="L24" s="260"/>
      <c r="M24" s="260"/>
      <c r="N24" s="260"/>
      <c r="O24" s="226" t="s">
        <v>789</v>
      </c>
      <c r="AA24" s="329" t="s">
        <v>811</v>
      </c>
      <c r="AB24" s="329" t="s">
        <v>770</v>
      </c>
      <c r="AC24" s="329" t="str">
        <f t="shared" si="0"/>
        <v/>
      </c>
      <c r="AD24" s="329"/>
      <c r="AE24" s="329" t="s">
        <v>264</v>
      </c>
      <c r="AF24" s="329"/>
      <c r="AG24" s="329"/>
      <c r="AH24" s="329"/>
      <c r="AI24" s="329"/>
      <c r="AJ24" s="329"/>
      <c r="AK24" s="329"/>
      <c r="AL24" s="329"/>
      <c r="AM24" s="329"/>
      <c r="AN24" s="329"/>
      <c r="AO24" s="329"/>
      <c r="AP24" s="329"/>
      <c r="AQ24" s="329"/>
      <c r="AR24" s="329"/>
      <c r="AS24" s="329"/>
      <c r="AT24" s="329"/>
      <c r="AU24" s="329"/>
      <c r="AV24" s="329"/>
      <c r="AW24" s="329"/>
      <c r="AX24" s="329"/>
      <c r="AY24" s="329"/>
      <c r="AZ24" s="329"/>
      <c r="BA24" s="329"/>
      <c r="BB24" s="329" t="s">
        <v>469</v>
      </c>
    </row>
    <row r="25" spans="2:54" ht="30" customHeight="1" x14ac:dyDescent="0.25">
      <c r="B25" s="124" t="s">
        <v>812</v>
      </c>
      <c r="C25" s="257"/>
      <c r="D25" s="258"/>
      <c r="E25" s="259"/>
      <c r="F25" s="257"/>
      <c r="G25" s="260"/>
      <c r="H25" s="261"/>
      <c r="I25" s="262"/>
      <c r="J25" s="263"/>
      <c r="K25" s="260"/>
      <c r="L25" s="260"/>
      <c r="M25" s="260"/>
      <c r="N25" s="260"/>
      <c r="O25" s="226" t="s">
        <v>789</v>
      </c>
      <c r="AA25" s="329" t="s">
        <v>782</v>
      </c>
      <c r="AB25" s="329" t="s">
        <v>771</v>
      </c>
      <c r="AC25" s="329" t="str">
        <f t="shared" si="0"/>
        <v/>
      </c>
      <c r="AD25" s="329"/>
      <c r="AE25" s="329" t="s">
        <v>265</v>
      </c>
      <c r="AF25" s="329"/>
      <c r="AG25" s="329"/>
      <c r="AH25" s="329"/>
      <c r="AI25" s="329"/>
      <c r="AJ25" s="329"/>
      <c r="AK25" s="329"/>
      <c r="AL25" s="329"/>
      <c r="AM25" s="329"/>
      <c r="AN25" s="329"/>
      <c r="AO25" s="329"/>
      <c r="AP25" s="329"/>
      <c r="AQ25" s="329"/>
      <c r="AR25" s="329"/>
      <c r="AS25" s="329"/>
      <c r="AT25" s="329"/>
      <c r="AU25" s="329"/>
      <c r="AV25" s="329"/>
      <c r="AW25" s="329"/>
      <c r="AX25" s="329"/>
      <c r="AY25" s="329"/>
      <c r="AZ25" s="329"/>
      <c r="BA25" s="329"/>
      <c r="BB25" s="329" t="s">
        <v>470</v>
      </c>
    </row>
    <row r="26" spans="2:54" ht="30" customHeight="1" x14ac:dyDescent="0.25">
      <c r="B26" s="124" t="s">
        <v>813</v>
      </c>
      <c r="C26" s="257"/>
      <c r="D26" s="258"/>
      <c r="E26" s="259"/>
      <c r="F26" s="257"/>
      <c r="G26" s="260"/>
      <c r="H26" s="261"/>
      <c r="I26" s="262"/>
      <c r="J26" s="263"/>
      <c r="K26" s="260"/>
      <c r="L26" s="260"/>
      <c r="M26" s="260"/>
      <c r="N26" s="260"/>
      <c r="O26" s="226" t="s">
        <v>789</v>
      </c>
      <c r="AA26" s="329" t="s">
        <v>814</v>
      </c>
      <c r="AB26" s="329" t="s">
        <v>772</v>
      </c>
      <c r="AC26" s="329" t="str">
        <f t="shared" si="0"/>
        <v/>
      </c>
      <c r="AD26" s="329"/>
      <c r="AE26" s="329" t="s">
        <v>266</v>
      </c>
      <c r="AF26" s="329"/>
      <c r="AG26" s="329"/>
      <c r="AH26" s="329"/>
      <c r="AI26" s="329"/>
      <c r="AJ26" s="329"/>
      <c r="AK26" s="329"/>
      <c r="AL26" s="329"/>
      <c r="AM26" s="329"/>
      <c r="AN26" s="329"/>
      <c r="AO26" s="329"/>
      <c r="AP26" s="329"/>
      <c r="AQ26" s="329"/>
      <c r="AR26" s="329"/>
      <c r="AS26" s="329"/>
      <c r="AT26" s="329"/>
      <c r="AU26" s="329"/>
      <c r="AV26" s="329"/>
      <c r="AW26" s="329"/>
      <c r="AX26" s="329"/>
      <c r="AY26" s="329"/>
      <c r="AZ26" s="329"/>
      <c r="BA26" s="329"/>
      <c r="BB26" s="329" t="s">
        <v>471</v>
      </c>
    </row>
    <row r="27" spans="2:54" ht="30" customHeight="1" x14ac:dyDescent="0.25">
      <c r="B27" s="124" t="s">
        <v>815</v>
      </c>
      <c r="C27" s="257"/>
      <c r="D27" s="258"/>
      <c r="E27" s="259"/>
      <c r="F27" s="257"/>
      <c r="G27" s="260"/>
      <c r="H27" s="261"/>
      <c r="I27" s="262"/>
      <c r="J27" s="263"/>
      <c r="K27" s="260"/>
      <c r="L27" s="260"/>
      <c r="M27" s="260"/>
      <c r="N27" s="260"/>
      <c r="O27" s="226" t="s">
        <v>789</v>
      </c>
      <c r="AA27" s="329" t="s">
        <v>816</v>
      </c>
      <c r="AB27" s="329" t="s">
        <v>773</v>
      </c>
      <c r="AC27" s="329" t="str">
        <f t="shared" si="0"/>
        <v/>
      </c>
      <c r="AD27" s="329"/>
      <c r="AE27" s="329"/>
      <c r="AF27" s="329"/>
      <c r="AG27" s="329"/>
      <c r="AH27" s="329"/>
      <c r="AI27" s="329"/>
      <c r="AJ27" s="329"/>
      <c r="AK27" s="329"/>
      <c r="AL27" s="329"/>
      <c r="AM27" s="329"/>
      <c r="AN27" s="329"/>
      <c r="AO27" s="329"/>
      <c r="AP27" s="329"/>
      <c r="AQ27" s="329"/>
      <c r="AR27" s="329"/>
      <c r="AS27" s="329"/>
      <c r="AT27" s="329"/>
      <c r="AU27" s="329"/>
      <c r="AV27" s="329"/>
      <c r="AW27" s="329"/>
      <c r="AX27" s="329"/>
      <c r="AY27" s="329"/>
      <c r="AZ27" s="329"/>
      <c r="BA27" s="329"/>
      <c r="BB27" s="329" t="s">
        <v>817</v>
      </c>
    </row>
    <row r="28" spans="2:54" ht="30" customHeight="1" x14ac:dyDescent="0.25">
      <c r="B28" s="124" t="s">
        <v>818</v>
      </c>
      <c r="C28" s="257"/>
      <c r="D28" s="258"/>
      <c r="E28" s="259"/>
      <c r="F28" s="257"/>
      <c r="G28" s="260"/>
      <c r="H28" s="261"/>
      <c r="I28" s="262"/>
      <c r="J28" s="263"/>
      <c r="K28" s="260"/>
      <c r="L28" s="260"/>
      <c r="M28" s="260"/>
      <c r="N28" s="260"/>
      <c r="O28" s="226" t="s">
        <v>789</v>
      </c>
      <c r="AA28" s="329" t="s">
        <v>819</v>
      </c>
      <c r="AB28" s="329" t="s">
        <v>774</v>
      </c>
      <c r="AC28" s="329" t="str">
        <f t="shared" si="0"/>
        <v/>
      </c>
      <c r="AD28" s="329"/>
      <c r="AE28" s="329"/>
      <c r="AF28" s="329"/>
      <c r="AG28" s="329"/>
      <c r="AH28" s="329"/>
      <c r="AI28" s="329"/>
      <c r="AJ28" s="329"/>
      <c r="AK28" s="329"/>
      <c r="AL28" s="329"/>
      <c r="AM28" s="329"/>
      <c r="AN28" s="329"/>
      <c r="AO28" s="329"/>
      <c r="AP28" s="329"/>
      <c r="AQ28" s="329"/>
      <c r="AR28" s="329"/>
      <c r="AS28" s="329"/>
      <c r="AT28" s="329"/>
      <c r="AU28" s="329"/>
      <c r="AV28" s="329"/>
      <c r="AW28" s="329"/>
      <c r="AX28" s="329"/>
      <c r="AY28" s="329"/>
      <c r="AZ28" s="329"/>
      <c r="BA28" s="329"/>
      <c r="BB28" s="329" t="s">
        <v>820</v>
      </c>
    </row>
    <row r="29" spans="2:54" ht="30" customHeight="1" x14ac:dyDescent="0.25">
      <c r="B29" s="124" t="s">
        <v>821</v>
      </c>
      <c r="C29" s="257"/>
      <c r="D29" s="258"/>
      <c r="E29" s="259"/>
      <c r="F29" s="257"/>
      <c r="G29" s="260"/>
      <c r="H29" s="261"/>
      <c r="I29" s="262"/>
      <c r="J29" s="263"/>
      <c r="K29" s="260"/>
      <c r="L29" s="260"/>
      <c r="M29" s="260"/>
      <c r="N29" s="260"/>
      <c r="O29" s="226" t="s">
        <v>789</v>
      </c>
      <c r="AA29" s="329" t="s">
        <v>822</v>
      </c>
      <c r="AB29" s="329" t="s">
        <v>775</v>
      </c>
      <c r="AC29" s="329" t="str">
        <f t="shared" si="0"/>
        <v/>
      </c>
      <c r="AD29" s="329"/>
      <c r="AE29" s="329"/>
      <c r="AF29" s="329"/>
      <c r="AG29" s="329"/>
      <c r="AH29" s="329"/>
      <c r="AI29" s="329"/>
      <c r="AJ29" s="329"/>
      <c r="AK29" s="329"/>
      <c r="AL29" s="329"/>
      <c r="AM29" s="329"/>
      <c r="AN29" s="329"/>
      <c r="AO29" s="329"/>
      <c r="AP29" s="329"/>
      <c r="AQ29" s="329"/>
      <c r="AR29" s="329"/>
      <c r="AS29" s="329"/>
      <c r="AT29" s="329"/>
      <c r="AU29" s="329"/>
      <c r="AV29" s="329"/>
      <c r="AW29" s="329"/>
      <c r="AX29" s="329"/>
      <c r="AY29" s="329"/>
      <c r="AZ29" s="329"/>
      <c r="BA29" s="329"/>
      <c r="BB29" s="329" t="s">
        <v>474</v>
      </c>
    </row>
    <row r="30" spans="2:54" ht="30" customHeight="1" x14ac:dyDescent="0.25">
      <c r="B30" s="124" t="s">
        <v>823</v>
      </c>
      <c r="C30" s="257"/>
      <c r="D30" s="258"/>
      <c r="E30" s="259"/>
      <c r="F30" s="257"/>
      <c r="G30" s="260"/>
      <c r="H30" s="261"/>
      <c r="I30" s="262"/>
      <c r="J30" s="263"/>
      <c r="K30" s="260"/>
      <c r="L30" s="260"/>
      <c r="M30" s="260"/>
      <c r="N30" s="260"/>
      <c r="O30" s="226" t="s">
        <v>789</v>
      </c>
      <c r="AA30" s="329" t="s">
        <v>824</v>
      </c>
      <c r="AB30" s="329" t="s">
        <v>776</v>
      </c>
      <c r="AC30" s="329" t="str">
        <f t="shared" si="0"/>
        <v/>
      </c>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329" t="s">
        <v>475</v>
      </c>
    </row>
    <row r="31" spans="2:54" ht="30" customHeight="1" x14ac:dyDescent="0.25">
      <c r="B31" s="124" t="s">
        <v>825</v>
      </c>
      <c r="C31" s="257"/>
      <c r="D31" s="258"/>
      <c r="E31" s="259"/>
      <c r="F31" s="257"/>
      <c r="G31" s="260"/>
      <c r="H31" s="261"/>
      <c r="I31" s="262"/>
      <c r="J31" s="263"/>
      <c r="K31" s="260"/>
      <c r="L31" s="260"/>
      <c r="M31" s="260"/>
      <c r="N31" s="260"/>
      <c r="O31" s="226" t="s">
        <v>789</v>
      </c>
      <c r="AA31" s="329" t="s">
        <v>826</v>
      </c>
      <c r="AB31" s="329" t="s">
        <v>777</v>
      </c>
      <c r="AC31" s="329" t="str">
        <f t="shared" si="0"/>
        <v/>
      </c>
      <c r="AD31" s="329"/>
      <c r="AE31" s="329"/>
      <c r="AF31" s="329"/>
      <c r="AG31" s="329"/>
      <c r="AH31" s="329"/>
      <c r="AI31" s="329"/>
      <c r="AJ31" s="329"/>
      <c r="AK31" s="329"/>
      <c r="AL31" s="329"/>
      <c r="AM31" s="329"/>
      <c r="AN31" s="329"/>
      <c r="AO31" s="329"/>
      <c r="AP31" s="329"/>
      <c r="AQ31" s="329"/>
      <c r="AR31" s="329"/>
      <c r="AS31" s="329"/>
      <c r="AT31" s="329"/>
      <c r="AU31" s="329"/>
      <c r="AV31" s="329"/>
      <c r="AW31" s="329"/>
      <c r="AX31" s="329"/>
      <c r="AY31" s="329"/>
      <c r="AZ31" s="329"/>
      <c r="BA31" s="329"/>
      <c r="BB31" s="329" t="s">
        <v>476</v>
      </c>
    </row>
    <row r="32" spans="2:54" ht="30" customHeight="1" x14ac:dyDescent="0.25">
      <c r="B32" s="124" t="s">
        <v>827</v>
      </c>
      <c r="C32" s="257"/>
      <c r="D32" s="258"/>
      <c r="E32" s="259"/>
      <c r="F32" s="257"/>
      <c r="G32" s="260"/>
      <c r="H32" s="261"/>
      <c r="I32" s="262"/>
      <c r="J32" s="263"/>
      <c r="K32" s="260"/>
      <c r="L32" s="260"/>
      <c r="M32" s="260"/>
      <c r="N32" s="260"/>
      <c r="O32" s="226" t="s">
        <v>789</v>
      </c>
      <c r="AA32" s="329" t="s">
        <v>828</v>
      </c>
      <c r="AB32" s="329" t="s">
        <v>778</v>
      </c>
      <c r="AC32" s="329" t="str">
        <f t="shared" si="0"/>
        <v/>
      </c>
      <c r="AD32" s="329"/>
      <c r="AE32" s="329"/>
      <c r="AF32" s="329"/>
      <c r="AG32" s="329"/>
      <c r="AH32" s="329"/>
      <c r="AI32" s="329"/>
      <c r="AJ32" s="329"/>
      <c r="AK32" s="329"/>
      <c r="AL32" s="329"/>
      <c r="AM32" s="329"/>
      <c r="AN32" s="329"/>
      <c r="AO32" s="329"/>
      <c r="AP32" s="329"/>
      <c r="AQ32" s="329"/>
      <c r="AR32" s="329"/>
      <c r="AS32" s="329"/>
      <c r="AT32" s="329"/>
      <c r="AU32" s="329"/>
      <c r="AV32" s="329"/>
      <c r="AW32" s="329"/>
      <c r="AX32" s="329"/>
      <c r="AY32" s="329"/>
      <c r="AZ32" s="329"/>
      <c r="BA32" s="329"/>
      <c r="BB32" s="329" t="s">
        <v>477</v>
      </c>
    </row>
    <row r="33" spans="2:54" ht="30" customHeight="1" x14ac:dyDescent="0.25">
      <c r="B33" s="124" t="s">
        <v>829</v>
      </c>
      <c r="C33" s="257"/>
      <c r="D33" s="258"/>
      <c r="E33" s="259"/>
      <c r="F33" s="257"/>
      <c r="G33" s="260"/>
      <c r="H33" s="261"/>
      <c r="I33" s="262"/>
      <c r="J33" s="263"/>
      <c r="K33" s="260"/>
      <c r="L33" s="260"/>
      <c r="M33" s="260"/>
      <c r="N33" s="260"/>
      <c r="O33" s="226" t="s">
        <v>789</v>
      </c>
      <c r="AA33" s="329" t="s">
        <v>440</v>
      </c>
      <c r="AB33" s="329" t="s">
        <v>779</v>
      </c>
      <c r="AC33" s="329" t="str">
        <f t="shared" si="0"/>
        <v/>
      </c>
      <c r="AD33" s="329"/>
      <c r="AE33" s="329"/>
      <c r="AF33" s="329"/>
      <c r="AG33" s="329"/>
      <c r="AH33" s="329"/>
      <c r="AI33" s="329"/>
      <c r="AJ33" s="329"/>
      <c r="AK33" s="329"/>
      <c r="AL33" s="329"/>
      <c r="AM33" s="329"/>
      <c r="AN33" s="329"/>
      <c r="AO33" s="329"/>
      <c r="AP33" s="329"/>
      <c r="AQ33" s="329"/>
      <c r="AR33" s="329"/>
      <c r="AS33" s="329"/>
      <c r="AT33" s="329"/>
      <c r="AU33" s="329"/>
      <c r="AV33" s="329"/>
      <c r="AW33" s="329"/>
      <c r="AX33" s="329"/>
      <c r="AY33" s="329"/>
      <c r="AZ33" s="329"/>
      <c r="BA33" s="329"/>
      <c r="BB33" s="329" t="s">
        <v>478</v>
      </c>
    </row>
    <row r="34" spans="2:54" ht="30" customHeight="1" thickBot="1" x14ac:dyDescent="0.3">
      <c r="B34" s="134" t="s">
        <v>830</v>
      </c>
      <c r="C34" s="264"/>
      <c r="D34" s="265"/>
      <c r="E34" s="266"/>
      <c r="F34" s="264"/>
      <c r="G34" s="267"/>
      <c r="H34" s="268"/>
      <c r="I34" s="269"/>
      <c r="J34" s="270"/>
      <c r="K34" s="267"/>
      <c r="L34" s="267"/>
      <c r="M34" s="267"/>
      <c r="N34" s="267"/>
      <c r="O34" s="229" t="s">
        <v>789</v>
      </c>
      <c r="AA34" s="329" t="s">
        <v>831</v>
      </c>
      <c r="AB34" s="329" t="s">
        <v>780</v>
      </c>
      <c r="AC34" s="329" t="str">
        <f t="shared" si="0"/>
        <v/>
      </c>
      <c r="AD34" s="329"/>
      <c r="AE34" s="329"/>
      <c r="AF34" s="329"/>
      <c r="AG34" s="329"/>
      <c r="AH34" s="329"/>
      <c r="AI34" s="329"/>
      <c r="AJ34" s="329"/>
      <c r="AK34" s="329"/>
      <c r="AL34" s="329"/>
      <c r="AM34" s="329"/>
      <c r="AN34" s="329"/>
      <c r="AO34" s="329"/>
      <c r="AP34" s="329"/>
      <c r="AQ34" s="329"/>
      <c r="AR34" s="329"/>
      <c r="AS34" s="329"/>
      <c r="AT34" s="329"/>
      <c r="AU34" s="329"/>
      <c r="AV34" s="329"/>
      <c r="AW34" s="329"/>
      <c r="AX34" s="329"/>
      <c r="AY34" s="329"/>
      <c r="AZ34" s="329"/>
      <c r="BA34" s="329"/>
      <c r="BB34" s="329" t="s">
        <v>479</v>
      </c>
    </row>
    <row r="35" spans="2:54" ht="30" customHeight="1" x14ac:dyDescent="0.25">
      <c r="B35" s="610" t="s">
        <v>94</v>
      </c>
      <c r="C35" s="611"/>
      <c r="D35" s="537"/>
      <c r="E35" s="538"/>
      <c r="F35" s="538"/>
      <c r="G35" s="538"/>
      <c r="H35" s="538"/>
      <c r="I35" s="538"/>
      <c r="J35" s="538"/>
      <c r="K35" s="538"/>
      <c r="L35" s="538"/>
      <c r="M35" s="538"/>
      <c r="N35" s="538"/>
      <c r="O35" s="539"/>
      <c r="BB35" s="19" t="s">
        <v>480</v>
      </c>
    </row>
    <row r="36" spans="2:54" x14ac:dyDescent="0.25">
      <c r="B36" s="36"/>
      <c r="C36" s="28"/>
      <c r="D36" s="77"/>
      <c r="E36" s="77"/>
      <c r="F36" s="77"/>
      <c r="G36" s="77"/>
      <c r="H36" s="77"/>
      <c r="I36" s="77"/>
      <c r="J36" s="77"/>
      <c r="K36" s="77"/>
      <c r="L36" s="77"/>
      <c r="M36" s="77"/>
      <c r="N36" s="77"/>
      <c r="O36" s="106"/>
    </row>
    <row r="37" spans="2:54" ht="13.5" thickBot="1" x14ac:dyDescent="0.3">
      <c r="B37" s="390" t="s">
        <v>9</v>
      </c>
      <c r="C37" s="391"/>
      <c r="D37" s="391"/>
      <c r="E37" s="391"/>
      <c r="F37" s="391"/>
      <c r="G37" s="391"/>
      <c r="H37" s="391"/>
      <c r="I37" s="391"/>
      <c r="J37" s="391"/>
      <c r="K37" s="391"/>
      <c r="L37" s="391"/>
      <c r="M37" s="391"/>
      <c r="N37" s="391"/>
      <c r="O37" s="392"/>
    </row>
  </sheetData>
  <sheetProtection password="C288" sheet="1"/>
  <mergeCells count="23">
    <mergeCell ref="B35:C35"/>
    <mergeCell ref="D35:O35"/>
    <mergeCell ref="B37:O37"/>
    <mergeCell ref="I7:I8"/>
    <mergeCell ref="J7:J8"/>
    <mergeCell ref="K7:K8"/>
    <mergeCell ref="L7:L8"/>
    <mergeCell ref="M7:M8"/>
    <mergeCell ref="N7:N8"/>
    <mergeCell ref="C7:C8"/>
    <mergeCell ref="D7:D8"/>
    <mergeCell ref="E7:E8"/>
    <mergeCell ref="F7:F8"/>
    <mergeCell ref="G7:G8"/>
    <mergeCell ref="H7:H8"/>
    <mergeCell ref="F2:H2"/>
    <mergeCell ref="B2:C2"/>
    <mergeCell ref="B4:O4"/>
    <mergeCell ref="C6:E6"/>
    <mergeCell ref="F6:H6"/>
    <mergeCell ref="J6:O6"/>
    <mergeCell ref="O7:O8"/>
    <mergeCell ref="B7:B8"/>
  </mergeCells>
  <dataValidations count="7">
    <dataValidation type="list" allowBlank="1" showInputMessage="1" showErrorMessage="1" sqref="C10:C34">
      <formula1>ProductCats</formula1>
    </dataValidation>
    <dataValidation type="list" allowBlank="1" showInputMessage="1" showErrorMessage="1" sqref="D10:D34">
      <formula1>INDIRECT(AC10)</formula1>
    </dataValidation>
    <dataValidation type="list" allowBlank="1" showInputMessage="1" showErrorMessage="1" sqref="G10:G34">
      <formula1>State</formula1>
    </dataValidation>
    <dataValidation type="list" allowBlank="1" showInputMessage="1" showErrorMessage="1" sqref="H10:H34">
      <formula1>Country</formula1>
    </dataValidation>
    <dataValidation type="list" allowBlank="1" showInputMessage="1" showErrorMessage="1" sqref="I10:I34">
      <formula1>PSLSort</formula1>
    </dataValidation>
    <dataValidation type="list" allowBlank="1" showInputMessage="1" showErrorMessage="1" sqref="J10:J34 L10:L34 M10:M34 N10:N34">
      <formula1>YNUnk</formula1>
    </dataValidation>
    <dataValidation type="list" allowBlank="1" showInputMessage="1" showErrorMessage="1" sqref="K10:K34">
      <formula1>SoleSingle</formula1>
    </dataValidation>
  </dataValidations>
  <hyperlinks>
    <hyperlink ref="B2:C2" location="'4b'!A1" display="Previous Page"/>
    <hyperlink ref="F2:H2" location="'Table of Contents'!A1" display="Table of Contents"/>
    <hyperlink ref="O2" location="'6'!A1" display="Next Page"/>
  </hyperlinks>
  <printOptions horizontalCentered="1"/>
  <pageMargins left="0.25" right="0.25" top="0.75" bottom="0.75" header="0.3" footer="0.3"/>
  <pageSetup scale="52" orientation="landscape"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H41"/>
  <sheetViews>
    <sheetView showGridLines="0" showRowColHeaders="0" workbookViewId="0"/>
  </sheetViews>
  <sheetFormatPr defaultRowHeight="12.75" x14ac:dyDescent="0.25"/>
  <cols>
    <col min="1" max="1" width="9.140625" style="19"/>
    <col min="2" max="2" width="3.85546875" style="19" customWidth="1"/>
    <col min="3" max="3" width="28.28515625" style="19" customWidth="1"/>
    <col min="4" max="4" width="16.85546875" style="19" customWidth="1"/>
    <col min="5" max="5" width="18.85546875" style="19" customWidth="1"/>
    <col min="6" max="8" width="17.7109375" style="19" customWidth="1"/>
    <col min="9" max="16384" width="9.140625" style="19"/>
  </cols>
  <sheetData>
    <row r="1" spans="2:8" ht="13.5" thickBot="1" x14ac:dyDescent="0.3"/>
    <row r="2" spans="2:8" x14ac:dyDescent="0.25">
      <c r="B2" s="548" t="s">
        <v>10</v>
      </c>
      <c r="C2" s="549"/>
      <c r="D2" s="605" t="s">
        <v>11</v>
      </c>
      <c r="E2" s="605"/>
      <c r="F2" s="605"/>
      <c r="G2" s="21"/>
      <c r="H2" s="138" t="s">
        <v>0</v>
      </c>
    </row>
    <row r="3" spans="2:8" x14ac:dyDescent="0.25">
      <c r="B3" s="52" t="s">
        <v>832</v>
      </c>
      <c r="C3" s="57"/>
      <c r="D3" s="57"/>
      <c r="E3" s="57"/>
      <c r="F3" s="57"/>
      <c r="G3" s="57"/>
      <c r="H3" s="58"/>
    </row>
    <row r="4" spans="2:8" ht="49.5" customHeight="1" thickBot="1" x14ac:dyDescent="0.3">
      <c r="B4" s="621" t="s">
        <v>833</v>
      </c>
      <c r="C4" s="622"/>
      <c r="D4" s="622"/>
      <c r="E4" s="622"/>
      <c r="F4" s="622"/>
      <c r="G4" s="622"/>
      <c r="H4" s="623"/>
    </row>
    <row r="5" spans="2:8" x14ac:dyDescent="0.25">
      <c r="B5" s="437" t="s">
        <v>34</v>
      </c>
      <c r="C5" s="148"/>
      <c r="D5" s="145"/>
      <c r="E5" s="145"/>
      <c r="F5" s="108">
        <v>2013</v>
      </c>
      <c r="G5" s="108">
        <v>2014</v>
      </c>
      <c r="H5" s="146">
        <v>2015</v>
      </c>
    </row>
    <row r="6" spans="2:8" ht="22.5" customHeight="1" x14ac:dyDescent="0.25">
      <c r="B6" s="484"/>
      <c r="C6" s="618" t="s">
        <v>834</v>
      </c>
      <c r="D6" s="567"/>
      <c r="E6" s="619"/>
      <c r="F6" s="330"/>
      <c r="G6" s="330"/>
      <c r="H6" s="331"/>
    </row>
    <row r="7" spans="2:8" ht="22.5" customHeight="1" thickBot="1" x14ac:dyDescent="0.3">
      <c r="B7" s="485"/>
      <c r="C7" s="598" t="s">
        <v>835</v>
      </c>
      <c r="D7" s="584"/>
      <c r="E7" s="620"/>
      <c r="F7" s="332"/>
      <c r="G7" s="332"/>
      <c r="H7" s="333"/>
    </row>
    <row r="8" spans="2:8" ht="25.5" customHeight="1" x14ac:dyDescent="0.25">
      <c r="B8" s="437" t="s">
        <v>35</v>
      </c>
      <c r="C8" s="455" t="s">
        <v>836</v>
      </c>
      <c r="D8" s="456"/>
      <c r="E8" s="511"/>
      <c r="F8" s="624"/>
      <c r="G8" s="624"/>
      <c r="H8" s="149"/>
    </row>
    <row r="9" spans="2:8" ht="17.25" customHeight="1" x14ac:dyDescent="0.25">
      <c r="B9" s="484"/>
      <c r="C9" s="509" t="s">
        <v>837</v>
      </c>
      <c r="D9" s="449"/>
      <c r="E9" s="449"/>
      <c r="F9" s="449"/>
      <c r="G9" s="449"/>
      <c r="H9" s="625"/>
    </row>
    <row r="10" spans="2:8" ht="27.75" customHeight="1" x14ac:dyDescent="0.25">
      <c r="B10" s="484"/>
      <c r="C10" s="150"/>
      <c r="D10" s="70" t="s">
        <v>838</v>
      </c>
      <c r="E10" s="82" t="s">
        <v>839</v>
      </c>
      <c r="F10" s="151" t="s">
        <v>840</v>
      </c>
      <c r="G10" s="70" t="s">
        <v>841</v>
      </c>
      <c r="H10" s="69" t="s">
        <v>138</v>
      </c>
    </row>
    <row r="11" spans="2:8" x14ac:dyDescent="0.25">
      <c r="B11" s="484"/>
      <c r="C11" s="156" t="s">
        <v>834</v>
      </c>
      <c r="D11" s="330"/>
      <c r="E11" s="330"/>
      <c r="F11" s="330"/>
      <c r="G11" s="330"/>
      <c r="H11" s="331"/>
    </row>
    <row r="12" spans="2:8" x14ac:dyDescent="0.25">
      <c r="B12" s="484"/>
      <c r="C12" s="156" t="s">
        <v>835</v>
      </c>
      <c r="D12" s="330"/>
      <c r="E12" s="330"/>
      <c r="F12" s="330"/>
      <c r="G12" s="330"/>
      <c r="H12" s="331"/>
    </row>
    <row r="13" spans="2:8" ht="27.75" customHeight="1" x14ac:dyDescent="0.25">
      <c r="B13" s="484"/>
      <c r="C13" s="532" t="s">
        <v>842</v>
      </c>
      <c r="D13" s="534"/>
      <c r="E13" s="534"/>
      <c r="F13" s="534"/>
      <c r="G13" s="534"/>
      <c r="H13" s="547"/>
    </row>
    <row r="14" spans="2:8" ht="27.75" customHeight="1" x14ac:dyDescent="0.25">
      <c r="B14" s="484"/>
      <c r="C14" s="152" t="s">
        <v>108</v>
      </c>
      <c r="D14" s="70" t="s">
        <v>838</v>
      </c>
      <c r="E14" s="70" t="s">
        <v>839</v>
      </c>
      <c r="F14" s="70" t="s">
        <v>840</v>
      </c>
      <c r="G14" s="70" t="s">
        <v>841</v>
      </c>
      <c r="H14" s="69" t="s">
        <v>138</v>
      </c>
    </row>
    <row r="15" spans="2:8" x14ac:dyDescent="0.25">
      <c r="B15" s="484"/>
      <c r="C15" s="230"/>
      <c r="D15" s="330"/>
      <c r="E15" s="330"/>
      <c r="F15" s="330"/>
      <c r="G15" s="330"/>
      <c r="H15" s="331"/>
    </row>
    <row r="16" spans="2:8" x14ac:dyDescent="0.25">
      <c r="B16" s="484"/>
      <c r="C16" s="230"/>
      <c r="D16" s="330"/>
      <c r="E16" s="330"/>
      <c r="F16" s="330"/>
      <c r="G16" s="330"/>
      <c r="H16" s="331"/>
    </row>
    <row r="17" spans="2:8" x14ac:dyDescent="0.25">
      <c r="B17" s="484"/>
      <c r="C17" s="230"/>
      <c r="D17" s="330"/>
      <c r="E17" s="330"/>
      <c r="F17" s="330"/>
      <c r="G17" s="330"/>
      <c r="H17" s="331"/>
    </row>
    <row r="18" spans="2:8" x14ac:dyDescent="0.25">
      <c r="B18" s="484"/>
      <c r="C18" s="230"/>
      <c r="D18" s="330"/>
      <c r="E18" s="330"/>
      <c r="F18" s="330"/>
      <c r="G18" s="330"/>
      <c r="H18" s="331"/>
    </row>
    <row r="19" spans="2:8" x14ac:dyDescent="0.25">
      <c r="B19" s="484"/>
      <c r="C19" s="230"/>
      <c r="D19" s="330"/>
      <c r="E19" s="330"/>
      <c r="F19" s="330"/>
      <c r="G19" s="330"/>
      <c r="H19" s="331"/>
    </row>
    <row r="20" spans="2:8" x14ac:dyDescent="0.25">
      <c r="B20" s="484"/>
      <c r="C20" s="230"/>
      <c r="D20" s="330"/>
      <c r="E20" s="330"/>
      <c r="F20" s="330"/>
      <c r="G20" s="330"/>
      <c r="H20" s="331"/>
    </row>
    <row r="21" spans="2:8" x14ac:dyDescent="0.25">
      <c r="B21" s="484"/>
      <c r="C21" s="230"/>
      <c r="D21" s="330"/>
      <c r="E21" s="330"/>
      <c r="F21" s="330"/>
      <c r="G21" s="330"/>
      <c r="H21" s="331"/>
    </row>
    <row r="22" spans="2:8" x14ac:dyDescent="0.25">
      <c r="B22" s="484"/>
      <c r="C22" s="230"/>
      <c r="D22" s="330"/>
      <c r="E22" s="330"/>
      <c r="F22" s="330"/>
      <c r="G22" s="330"/>
      <c r="H22" s="331"/>
    </row>
    <row r="23" spans="2:8" x14ac:dyDescent="0.25">
      <c r="B23" s="484"/>
      <c r="C23" s="230"/>
      <c r="D23" s="330"/>
      <c r="E23" s="330"/>
      <c r="F23" s="330"/>
      <c r="G23" s="330"/>
      <c r="H23" s="331"/>
    </row>
    <row r="24" spans="2:8" x14ac:dyDescent="0.25">
      <c r="B24" s="484"/>
      <c r="C24" s="230"/>
      <c r="D24" s="330"/>
      <c r="E24" s="330"/>
      <c r="F24" s="330"/>
      <c r="G24" s="330"/>
      <c r="H24" s="331"/>
    </row>
    <row r="25" spans="2:8" x14ac:dyDescent="0.25">
      <c r="B25" s="484"/>
      <c r="C25" s="230"/>
      <c r="D25" s="330"/>
      <c r="E25" s="330"/>
      <c r="F25" s="330"/>
      <c r="G25" s="330"/>
      <c r="H25" s="331"/>
    </row>
    <row r="26" spans="2:8" x14ac:dyDescent="0.25">
      <c r="B26" s="484"/>
      <c r="C26" s="230"/>
      <c r="D26" s="330"/>
      <c r="E26" s="330"/>
      <c r="F26" s="330"/>
      <c r="G26" s="330"/>
      <c r="H26" s="331"/>
    </row>
    <row r="27" spans="2:8" x14ac:dyDescent="0.25">
      <c r="B27" s="484"/>
      <c r="C27" s="230"/>
      <c r="D27" s="330"/>
      <c r="E27" s="330"/>
      <c r="F27" s="330"/>
      <c r="G27" s="330"/>
      <c r="H27" s="331"/>
    </row>
    <row r="28" spans="2:8" x14ac:dyDescent="0.25">
      <c r="B28" s="484"/>
      <c r="C28" s="230"/>
      <c r="D28" s="330"/>
      <c r="E28" s="330"/>
      <c r="F28" s="330"/>
      <c r="G28" s="330"/>
      <c r="H28" s="331"/>
    </row>
    <row r="29" spans="2:8" ht="13.5" thickBot="1" x14ac:dyDescent="0.3">
      <c r="B29" s="485"/>
      <c r="C29" s="230"/>
      <c r="D29" s="330"/>
      <c r="E29" s="330"/>
      <c r="F29" s="330"/>
      <c r="G29" s="330"/>
      <c r="H29" s="331"/>
    </row>
    <row r="30" spans="2:8" x14ac:dyDescent="0.25">
      <c r="B30" s="437" t="s">
        <v>37</v>
      </c>
      <c r="C30" s="629" t="s">
        <v>843</v>
      </c>
      <c r="D30" s="496"/>
      <c r="E30" s="496"/>
      <c r="F30" s="154" t="s">
        <v>844</v>
      </c>
      <c r="G30" s="154" t="s">
        <v>845</v>
      </c>
      <c r="H30" s="153" t="s">
        <v>846</v>
      </c>
    </row>
    <row r="31" spans="2:8" ht="27" customHeight="1" thickBot="1" x14ac:dyDescent="0.3">
      <c r="B31" s="485"/>
      <c r="C31" s="630"/>
      <c r="D31" s="622"/>
      <c r="E31" s="622"/>
      <c r="F31" s="332"/>
      <c r="G31" s="332"/>
      <c r="H31" s="333"/>
    </row>
    <row r="32" spans="2:8" ht="27" customHeight="1" x14ac:dyDescent="0.25">
      <c r="B32" s="440" t="s">
        <v>38</v>
      </c>
      <c r="C32" s="490" t="s">
        <v>847</v>
      </c>
      <c r="D32" s="490"/>
      <c r="E32" s="490"/>
      <c r="F32" s="577"/>
      <c r="G32" s="631"/>
      <c r="H32" s="632"/>
    </row>
    <row r="33" spans="2:8" ht="15.75" customHeight="1" x14ac:dyDescent="0.25">
      <c r="B33" s="441"/>
      <c r="C33" s="467" t="s">
        <v>848</v>
      </c>
      <c r="D33" s="467"/>
      <c r="E33" s="60" t="s">
        <v>849</v>
      </c>
      <c r="F33" s="467" t="s">
        <v>850</v>
      </c>
      <c r="G33" s="467"/>
      <c r="H33" s="474"/>
    </row>
    <row r="34" spans="2:8" ht="30" customHeight="1" x14ac:dyDescent="0.25">
      <c r="B34" s="441"/>
      <c r="C34" s="450" t="s">
        <v>851</v>
      </c>
      <c r="D34" s="446"/>
      <c r="E34" s="251"/>
      <c r="F34" s="626"/>
      <c r="G34" s="627"/>
      <c r="H34" s="628"/>
    </row>
    <row r="35" spans="2:8" ht="30" customHeight="1" x14ac:dyDescent="0.25">
      <c r="B35" s="441"/>
      <c r="C35" s="471" t="s">
        <v>852</v>
      </c>
      <c r="D35" s="448"/>
      <c r="E35" s="251"/>
      <c r="F35" s="626"/>
      <c r="G35" s="627"/>
      <c r="H35" s="628"/>
    </row>
    <row r="36" spans="2:8" ht="30" customHeight="1" x14ac:dyDescent="0.25">
      <c r="B36" s="441"/>
      <c r="C36" s="471" t="s">
        <v>853</v>
      </c>
      <c r="D36" s="448"/>
      <c r="E36" s="230"/>
      <c r="F36" s="626"/>
      <c r="G36" s="627"/>
      <c r="H36" s="628"/>
    </row>
    <row r="37" spans="2:8" ht="30" customHeight="1" x14ac:dyDescent="0.25">
      <c r="B37" s="441"/>
      <c r="C37" s="449" t="s">
        <v>854</v>
      </c>
      <c r="D37" s="449"/>
      <c r="E37" s="230"/>
      <c r="F37" s="627"/>
      <c r="G37" s="627"/>
      <c r="H37" s="628"/>
    </row>
    <row r="38" spans="2:8" ht="30" customHeight="1" thickBot="1" x14ac:dyDescent="0.3">
      <c r="B38" s="442"/>
      <c r="C38" s="155" t="s">
        <v>138</v>
      </c>
      <c r="D38" s="252" t="s">
        <v>139</v>
      </c>
      <c r="E38" s="234"/>
      <c r="F38" s="563"/>
      <c r="G38" s="563"/>
      <c r="H38" s="564"/>
    </row>
    <row r="39" spans="2:8" ht="27" customHeight="1" x14ac:dyDescent="0.25">
      <c r="B39" s="437" t="s">
        <v>94</v>
      </c>
      <c r="C39" s="438"/>
      <c r="D39" s="537"/>
      <c r="E39" s="538"/>
      <c r="F39" s="538"/>
      <c r="G39" s="538"/>
      <c r="H39" s="539"/>
    </row>
    <row r="40" spans="2:8" x14ac:dyDescent="0.25">
      <c r="B40" s="64"/>
      <c r="C40" s="77"/>
      <c r="D40" s="77"/>
      <c r="E40" s="77"/>
      <c r="F40" s="77"/>
      <c r="G40" s="77"/>
      <c r="H40" s="106"/>
    </row>
    <row r="41" spans="2:8" ht="13.5" thickBot="1" x14ac:dyDescent="0.3">
      <c r="B41" s="390" t="s">
        <v>9</v>
      </c>
      <c r="C41" s="391"/>
      <c r="D41" s="391"/>
      <c r="E41" s="391"/>
      <c r="F41" s="391"/>
      <c r="G41" s="391"/>
      <c r="H41" s="392"/>
    </row>
  </sheetData>
  <sheetProtection password="C288" sheet="1"/>
  <mergeCells count="30">
    <mergeCell ref="C35:D35"/>
    <mergeCell ref="F35:H35"/>
    <mergeCell ref="F34:H34"/>
    <mergeCell ref="C30:E31"/>
    <mergeCell ref="F33:H33"/>
    <mergeCell ref="B39:C39"/>
    <mergeCell ref="B41:H41"/>
    <mergeCell ref="F38:H38"/>
    <mergeCell ref="D39:H39"/>
    <mergeCell ref="C33:D33"/>
    <mergeCell ref="C34:D34"/>
    <mergeCell ref="C36:D36"/>
    <mergeCell ref="F36:H36"/>
    <mergeCell ref="B32:B38"/>
    <mergeCell ref="C37:D37"/>
    <mergeCell ref="F37:H37"/>
    <mergeCell ref="C32:F32"/>
    <mergeCell ref="G32:H32"/>
    <mergeCell ref="B30:B31"/>
    <mergeCell ref="C6:E6"/>
    <mergeCell ref="C7:E7"/>
    <mergeCell ref="D2:F2"/>
    <mergeCell ref="B2:C2"/>
    <mergeCell ref="B4:H4"/>
    <mergeCell ref="B5:B7"/>
    <mergeCell ref="B8:B29"/>
    <mergeCell ref="C8:E8"/>
    <mergeCell ref="F8:G8"/>
    <mergeCell ref="C9:H9"/>
    <mergeCell ref="C13:H13"/>
  </mergeCells>
  <dataValidations count="4">
    <dataValidation type="whole" operator="greaterThanOrEqual" allowBlank="1" showInputMessage="1" showErrorMessage="1" sqref="D11:G11 F6:H7 F8:G8 D11:H12 D15:H29 F31:H31">
      <formula1>0</formula1>
    </dataValidation>
    <dataValidation type="list" allowBlank="1" showInputMessage="1" showErrorMessage="1" sqref="C15:C29">
      <formula1>Country</formula1>
    </dataValidation>
    <dataValidation type="list" allowBlank="1" showInputMessage="1" showErrorMessage="1" sqref="G32:H32">
      <formula1>YesNo</formula1>
    </dataValidation>
    <dataValidation type="list" allowBlank="1" showInputMessage="1" showErrorMessage="1" sqref="E34:E38">
      <formula1>DiffWorkforce</formula1>
    </dataValidation>
  </dataValidations>
  <hyperlinks>
    <hyperlink ref="B2:C2" location="'5'!A1" display="Previous Page"/>
    <hyperlink ref="D2:F2" location="'Table of Contents'!A1" display="Table of Contents"/>
    <hyperlink ref="H2" location="'7'!A1" display="Next Page"/>
  </hyperlinks>
  <printOptions horizontalCentered="1"/>
  <pageMargins left="0.25" right="0.25" top="0.75" bottom="0.75" header="0.3" footer="0.3"/>
  <pageSetup scale="68" orientation="landscape"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22"/>
  <sheetViews>
    <sheetView showGridLines="0" showRowColHeaders="0" workbookViewId="0"/>
  </sheetViews>
  <sheetFormatPr defaultRowHeight="12.75" x14ac:dyDescent="0.25"/>
  <cols>
    <col min="1" max="1" width="9.140625" style="19"/>
    <col min="2" max="2" width="5.7109375" style="19" customWidth="1"/>
    <col min="3" max="6" width="12.42578125" style="19" customWidth="1"/>
    <col min="7" max="9" width="13" style="19" customWidth="1"/>
    <col min="10" max="16384" width="9.140625" style="19"/>
  </cols>
  <sheetData>
    <row r="1" spans="2:9" ht="13.5" thickBot="1" x14ac:dyDescent="0.3"/>
    <row r="2" spans="2:9" ht="13.5" customHeight="1" thickBot="1" x14ac:dyDescent="0.3">
      <c r="B2" s="30" t="s">
        <v>10</v>
      </c>
      <c r="C2" s="31"/>
      <c r="D2" s="32"/>
      <c r="E2" s="380"/>
      <c r="F2" s="380"/>
      <c r="G2" s="380"/>
      <c r="H2" s="32"/>
      <c r="I2" s="33" t="s">
        <v>0</v>
      </c>
    </row>
    <row r="3" spans="2:9" ht="13.5" customHeight="1" x14ac:dyDescent="0.25">
      <c r="B3" s="381" t="s">
        <v>12</v>
      </c>
      <c r="C3" s="382"/>
      <c r="D3" s="382"/>
      <c r="E3" s="382"/>
      <c r="F3" s="382"/>
      <c r="G3" s="382"/>
      <c r="H3" s="382"/>
      <c r="I3" s="383"/>
    </row>
    <row r="4" spans="2:9" ht="15" customHeight="1" x14ac:dyDescent="0.25">
      <c r="B4" s="38" t="s">
        <v>13</v>
      </c>
      <c r="C4" s="384" t="s">
        <v>14</v>
      </c>
      <c r="D4" s="384"/>
      <c r="E4" s="384"/>
      <c r="F4" s="384"/>
      <c r="G4" s="384"/>
      <c r="H4" s="384"/>
      <c r="I4" s="387"/>
    </row>
    <row r="5" spans="2:9" ht="15" customHeight="1" x14ac:dyDescent="0.25">
      <c r="B5" s="38" t="s">
        <v>15</v>
      </c>
      <c r="C5" s="384" t="s">
        <v>16</v>
      </c>
      <c r="D5" s="384"/>
      <c r="E5" s="384"/>
      <c r="F5" s="384"/>
      <c r="G5" s="384"/>
      <c r="H5" s="384"/>
      <c r="I5" s="387"/>
    </row>
    <row r="6" spans="2:9" ht="15" customHeight="1" x14ac:dyDescent="0.25">
      <c r="B6" s="38" t="s">
        <v>17</v>
      </c>
      <c r="C6" s="384" t="s">
        <v>18</v>
      </c>
      <c r="D6" s="384"/>
      <c r="E6" s="384"/>
      <c r="F6" s="384"/>
      <c r="G6" s="384"/>
      <c r="H6" s="384"/>
      <c r="I6" s="387"/>
    </row>
    <row r="7" spans="2:9" ht="15" customHeight="1" x14ac:dyDescent="0.25">
      <c r="B7" s="38">
        <v>1</v>
      </c>
      <c r="C7" s="384" t="s">
        <v>19</v>
      </c>
      <c r="D7" s="384"/>
      <c r="E7" s="384"/>
      <c r="F7" s="384"/>
      <c r="G7" s="384"/>
      <c r="H7" s="384"/>
      <c r="I7" s="387"/>
    </row>
    <row r="8" spans="2:9" ht="15" customHeight="1" thickBot="1" x14ac:dyDescent="0.3">
      <c r="B8" s="38">
        <v>2</v>
      </c>
      <c r="C8" s="384" t="s">
        <v>20</v>
      </c>
      <c r="D8" s="384"/>
      <c r="E8" s="384"/>
      <c r="F8" s="384"/>
      <c r="G8" s="385"/>
      <c r="H8" s="385"/>
      <c r="I8" s="386"/>
    </row>
    <row r="9" spans="2:9" ht="15" customHeight="1" x14ac:dyDescent="0.25">
      <c r="B9" s="38">
        <v>3</v>
      </c>
      <c r="C9" s="384" t="s">
        <v>21</v>
      </c>
      <c r="D9" s="384"/>
      <c r="E9" s="384"/>
      <c r="F9" s="402"/>
      <c r="G9" s="393" t="s">
        <v>2599</v>
      </c>
      <c r="H9" s="394"/>
      <c r="I9" s="395"/>
    </row>
    <row r="10" spans="2:9" ht="15" customHeight="1" x14ac:dyDescent="0.25">
      <c r="B10" s="38">
        <v>4</v>
      </c>
      <c r="C10" s="384" t="s">
        <v>22</v>
      </c>
      <c r="D10" s="384"/>
      <c r="E10" s="384"/>
      <c r="F10" s="402"/>
      <c r="G10" s="396"/>
      <c r="H10" s="397"/>
      <c r="I10" s="398"/>
    </row>
    <row r="11" spans="2:9" ht="15" customHeight="1" x14ac:dyDescent="0.25">
      <c r="B11" s="38">
        <v>5</v>
      </c>
      <c r="C11" s="384" t="s">
        <v>23</v>
      </c>
      <c r="D11" s="384"/>
      <c r="E11" s="384"/>
      <c r="F11" s="402"/>
      <c r="G11" s="396"/>
      <c r="H11" s="397"/>
      <c r="I11" s="398"/>
    </row>
    <row r="12" spans="2:9" ht="15" customHeight="1" x14ac:dyDescent="0.25">
      <c r="B12" s="38">
        <v>6</v>
      </c>
      <c r="C12" s="384" t="s">
        <v>24</v>
      </c>
      <c r="D12" s="384"/>
      <c r="E12" s="384"/>
      <c r="F12" s="402"/>
      <c r="G12" s="396"/>
      <c r="H12" s="397"/>
      <c r="I12" s="398"/>
    </row>
    <row r="13" spans="2:9" ht="15" customHeight="1" x14ac:dyDescent="0.25">
      <c r="B13" s="38">
        <v>7</v>
      </c>
      <c r="C13" s="384" t="s">
        <v>25</v>
      </c>
      <c r="D13" s="384"/>
      <c r="E13" s="384"/>
      <c r="F13" s="402"/>
      <c r="G13" s="396"/>
      <c r="H13" s="397"/>
      <c r="I13" s="398"/>
    </row>
    <row r="14" spans="2:9" ht="15" customHeight="1" x14ac:dyDescent="0.25">
      <c r="B14" s="38">
        <v>8</v>
      </c>
      <c r="C14" s="384" t="s">
        <v>26</v>
      </c>
      <c r="D14" s="384"/>
      <c r="E14" s="384"/>
      <c r="F14" s="402"/>
      <c r="G14" s="396"/>
      <c r="H14" s="397"/>
      <c r="I14" s="398"/>
    </row>
    <row r="15" spans="2:9" ht="15" customHeight="1" thickBot="1" x14ac:dyDescent="0.3">
      <c r="B15" s="38">
        <v>9</v>
      </c>
      <c r="C15" s="384" t="s">
        <v>27</v>
      </c>
      <c r="D15" s="384"/>
      <c r="E15" s="384"/>
      <c r="F15" s="402"/>
      <c r="G15" s="399"/>
      <c r="H15" s="400"/>
      <c r="I15" s="401"/>
    </row>
    <row r="16" spans="2:9" ht="15" customHeight="1" x14ac:dyDescent="0.25">
      <c r="B16" s="38">
        <v>10</v>
      </c>
      <c r="C16" s="384" t="s">
        <v>28</v>
      </c>
      <c r="D16" s="384"/>
      <c r="E16" s="384"/>
      <c r="F16" s="384"/>
      <c r="G16" s="388"/>
      <c r="H16" s="388"/>
      <c r="I16" s="389"/>
    </row>
    <row r="17" spans="2:9" ht="15" customHeight="1" x14ac:dyDescent="0.25">
      <c r="B17" s="38">
        <v>11</v>
      </c>
      <c r="C17" s="384" t="s">
        <v>29</v>
      </c>
      <c r="D17" s="384"/>
      <c r="E17" s="384"/>
      <c r="F17" s="384"/>
      <c r="G17" s="384"/>
      <c r="H17" s="384"/>
      <c r="I17" s="387"/>
    </row>
    <row r="18" spans="2:9" ht="15" customHeight="1" x14ac:dyDescent="0.25">
      <c r="B18" s="38">
        <v>12</v>
      </c>
      <c r="C18" s="384" t="s">
        <v>30</v>
      </c>
      <c r="D18" s="384"/>
      <c r="E18" s="384"/>
      <c r="F18" s="384"/>
      <c r="G18" s="384"/>
      <c r="H18" s="384"/>
      <c r="I18" s="387"/>
    </row>
    <row r="19" spans="2:9" ht="15" customHeight="1" x14ac:dyDescent="0.25">
      <c r="B19" s="38">
        <v>13</v>
      </c>
      <c r="C19" s="384" t="s">
        <v>31</v>
      </c>
      <c r="D19" s="384"/>
      <c r="E19" s="384"/>
      <c r="F19" s="384"/>
      <c r="G19" s="384"/>
      <c r="H19" s="384"/>
      <c r="I19" s="387"/>
    </row>
    <row r="20" spans="2:9" ht="15" customHeight="1" thickBot="1" x14ac:dyDescent="0.3">
      <c r="B20" s="39">
        <v>14</v>
      </c>
      <c r="C20" s="403" t="s">
        <v>32</v>
      </c>
      <c r="D20" s="403"/>
      <c r="E20" s="403"/>
      <c r="F20" s="403"/>
      <c r="G20" s="403"/>
      <c r="H20" s="403"/>
      <c r="I20" s="404"/>
    </row>
    <row r="21" spans="2:9" x14ac:dyDescent="0.25">
      <c r="B21" s="36"/>
      <c r="C21" s="28"/>
      <c r="D21" s="28"/>
      <c r="E21" s="28"/>
      <c r="F21" s="28"/>
      <c r="G21" s="28"/>
      <c r="H21" s="28"/>
      <c r="I21" s="29"/>
    </row>
    <row r="22" spans="2:9" ht="13.5" thickBot="1" x14ac:dyDescent="0.3">
      <c r="B22" s="390" t="s">
        <v>9</v>
      </c>
      <c r="C22" s="391"/>
      <c r="D22" s="391"/>
      <c r="E22" s="391"/>
      <c r="F22" s="391"/>
      <c r="G22" s="391"/>
      <c r="H22" s="391"/>
      <c r="I22" s="392"/>
    </row>
  </sheetData>
  <sheetProtection password="C288" sheet="1"/>
  <mergeCells count="21">
    <mergeCell ref="C19:I19"/>
    <mergeCell ref="C6:I6"/>
    <mergeCell ref="C16:I16"/>
    <mergeCell ref="C7:I7"/>
    <mergeCell ref="B22:I22"/>
    <mergeCell ref="G9:I15"/>
    <mergeCell ref="C9:F9"/>
    <mergeCell ref="C18:I18"/>
    <mergeCell ref="C20:I20"/>
    <mergeCell ref="C14:F14"/>
    <mergeCell ref="C17:I17"/>
    <mergeCell ref="C10:F10"/>
    <mergeCell ref="C15:F15"/>
    <mergeCell ref="C12:F12"/>
    <mergeCell ref="C13:F13"/>
    <mergeCell ref="C11:F11"/>
    <mergeCell ref="E2:G2"/>
    <mergeCell ref="B3:I3"/>
    <mergeCell ref="C8:I8"/>
    <mergeCell ref="C4:I4"/>
    <mergeCell ref="C5:I5"/>
  </mergeCells>
  <hyperlinks>
    <hyperlink ref="B2" location="'Cover Page'!A1" display="Previous Page"/>
    <hyperlink ref="I2" location="'General Instructions'!A1" display="Next Page"/>
    <hyperlink ref="C4" location="'General Instructions'!A1" display="General Instructions"/>
    <hyperlink ref="C5" location="Definitions!A1" display="Definitions"/>
    <hyperlink ref="C6" location="'Reporting Level'!A1" display="Reporting Level / Multiple Facility Instructions"/>
    <hyperlink ref="C7" location="'1a'!A1" display="Location and Organization Information"/>
    <hyperlink ref="C8" location="'2'!A1" display="Mergers, Acquisitions, Divestitures, and Joint Ventures"/>
    <hyperlink ref="C9" location="'3a'!A1" display="Products and Services"/>
    <hyperlink ref="C10" location="'4a'!A1" display="U.S. Government Support"/>
    <hyperlink ref="C11" location="'5'!A1" display="Critical Suppliers"/>
    <hyperlink ref="C12" location="'6'!A1" display="Employment"/>
    <hyperlink ref="C13" location="'7'!A1" display="Sales"/>
    <hyperlink ref="C14" location="'8'!A1" display="Customers"/>
    <hyperlink ref="C15" location="'9a'!A1" display="Security Procedures"/>
    <hyperlink ref="C16" location="'10'!A1" display="Classified Contract Information"/>
    <hyperlink ref="C17" location="'11'!A1" display="Research and Development"/>
    <hyperlink ref="C18" location="'12'!A1" display="Financial Information"/>
    <hyperlink ref="C19" location="'13'!A1" display="Organizational Challenges and Outreach Information"/>
    <hyperlink ref="C20" location="'14'!A1" display="Certification"/>
  </hyperlinks>
  <printOptions horizontalCentered="1"/>
  <pageMargins left="0.25" right="0.25" top="0.75" bottom="0.75" header="0.3" footer="0.3"/>
  <pageSetup orientation="landscape"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P18"/>
  <sheetViews>
    <sheetView showGridLines="0" showRowColHeaders="0" workbookViewId="0"/>
  </sheetViews>
  <sheetFormatPr defaultRowHeight="12.75" x14ac:dyDescent="0.25"/>
  <cols>
    <col min="1" max="1" width="9.140625" style="19"/>
    <col min="2" max="2" width="3.7109375" style="19" customWidth="1"/>
    <col min="3" max="3" width="2" style="19" customWidth="1"/>
    <col min="4" max="4" width="30.85546875" style="19" customWidth="1"/>
    <col min="5" max="5" width="17.140625" style="19" customWidth="1"/>
    <col min="6" max="7" width="12.7109375" style="19" customWidth="1"/>
    <col min="8" max="8" width="1.42578125" style="19" customWidth="1"/>
    <col min="9" max="10" width="12.7109375" style="19" customWidth="1"/>
    <col min="11" max="11" width="1.42578125" style="19" customWidth="1"/>
    <col min="12" max="13" width="12.7109375" style="19" customWidth="1"/>
    <col min="14" max="14" width="9.140625" style="19"/>
    <col min="15" max="16" width="11.28515625" style="19" customWidth="1"/>
    <col min="17" max="16384" width="9.140625" style="19"/>
  </cols>
  <sheetData>
    <row r="1" spans="2:16" ht="13.5" thickBot="1" x14ac:dyDescent="0.3"/>
    <row r="2" spans="2:16" x14ac:dyDescent="0.25">
      <c r="B2" s="493" t="s">
        <v>10</v>
      </c>
      <c r="C2" s="494"/>
      <c r="D2" s="494"/>
      <c r="E2" s="21"/>
      <c r="F2" s="405" t="s">
        <v>11</v>
      </c>
      <c r="G2" s="405"/>
      <c r="H2" s="21"/>
      <c r="I2" s="21"/>
      <c r="J2" s="21"/>
      <c r="K2" s="21"/>
      <c r="L2" s="21"/>
      <c r="M2" s="26" t="s">
        <v>0</v>
      </c>
    </row>
    <row r="3" spans="2:16" ht="13.5" thickBot="1" x14ac:dyDescent="0.3">
      <c r="B3" s="44" t="s">
        <v>855</v>
      </c>
      <c r="C3" s="45"/>
      <c r="D3" s="45"/>
      <c r="E3" s="45"/>
      <c r="F3" s="45"/>
      <c r="G3" s="45"/>
      <c r="H3" s="45"/>
      <c r="I3" s="45"/>
      <c r="J3" s="45"/>
      <c r="K3" s="45"/>
      <c r="L3" s="45"/>
      <c r="M3" s="46"/>
    </row>
    <row r="4" spans="2:16" ht="105.75" customHeight="1" x14ac:dyDescent="0.25">
      <c r="B4" s="540" t="s">
        <v>2612</v>
      </c>
      <c r="C4" s="496"/>
      <c r="D4" s="496"/>
      <c r="E4" s="496"/>
      <c r="F4" s="496"/>
      <c r="G4" s="496"/>
      <c r="H4" s="496"/>
      <c r="I4" s="496"/>
      <c r="J4" s="496"/>
      <c r="K4" s="496"/>
      <c r="L4" s="496"/>
      <c r="M4" s="497"/>
    </row>
    <row r="5" spans="2:16" ht="15.75" customHeight="1" x14ac:dyDescent="0.25">
      <c r="B5" s="163"/>
      <c r="C5" s="114"/>
      <c r="D5" s="114"/>
      <c r="E5" s="114"/>
      <c r="F5" s="114"/>
      <c r="G5" s="636" t="s">
        <v>856</v>
      </c>
      <c r="H5" s="636"/>
      <c r="I5" s="636"/>
      <c r="J5" s="587"/>
      <c r="K5" s="588"/>
      <c r="L5" s="588"/>
      <c r="M5" s="638"/>
      <c r="O5" s="642" t="str">
        <f>IF(NOT(ISBLANK($J$5)), IF(AND($J$5&lt;&gt;"Single Corporate Location", $J$5&lt;&gt;"Location"), "Location-based data is STRONGLY preferred.", ""), "")</f>
        <v/>
      </c>
      <c r="P5" s="642"/>
    </row>
    <row r="6" spans="2:16" ht="15.75" customHeight="1" thickBot="1" x14ac:dyDescent="0.3">
      <c r="B6" s="125"/>
      <c r="C6" s="63"/>
      <c r="D6" s="63"/>
      <c r="E6" s="63"/>
      <c r="F6" s="63"/>
      <c r="G6" s="637" t="s">
        <v>857</v>
      </c>
      <c r="H6" s="637"/>
      <c r="I6" s="637"/>
      <c r="J6" s="639"/>
      <c r="K6" s="640"/>
      <c r="L6" s="640"/>
      <c r="M6" s="641"/>
      <c r="O6" s="642"/>
      <c r="P6" s="642"/>
    </row>
    <row r="7" spans="2:16" ht="15.75" customHeight="1" thickBot="1" x14ac:dyDescent="0.3">
      <c r="B7" s="157"/>
      <c r="C7" s="145"/>
      <c r="D7" s="145"/>
      <c r="E7" s="145"/>
      <c r="F7" s="644" t="s">
        <v>858</v>
      </c>
      <c r="G7" s="644"/>
      <c r="H7" s="644"/>
      <c r="I7" s="644"/>
      <c r="J7" s="644"/>
      <c r="K7" s="644"/>
      <c r="L7" s="644"/>
      <c r="M7" s="645"/>
      <c r="O7" s="643"/>
      <c r="P7" s="643"/>
    </row>
    <row r="8" spans="2:16" ht="15" customHeight="1" x14ac:dyDescent="0.25">
      <c r="B8" s="91"/>
      <c r="C8" s="59"/>
      <c r="D8" s="59"/>
      <c r="E8" s="59"/>
      <c r="F8" s="646">
        <v>2013</v>
      </c>
      <c r="G8" s="520"/>
      <c r="H8" s="169"/>
      <c r="I8" s="646">
        <v>2014</v>
      </c>
      <c r="J8" s="520"/>
      <c r="K8" s="169"/>
      <c r="L8" s="646" t="s">
        <v>859</v>
      </c>
      <c r="M8" s="520"/>
      <c r="O8" s="633" t="s">
        <v>860</v>
      </c>
      <c r="P8" s="633"/>
    </row>
    <row r="9" spans="2:16" x14ac:dyDescent="0.25">
      <c r="B9" s="164"/>
      <c r="C9" s="165"/>
      <c r="D9" s="165"/>
      <c r="E9" s="166"/>
      <c r="F9" s="167" t="s">
        <v>861</v>
      </c>
      <c r="G9" s="69" t="s">
        <v>862</v>
      </c>
      <c r="H9" s="60"/>
      <c r="I9" s="168" t="s">
        <v>861</v>
      </c>
      <c r="J9" s="69" t="s">
        <v>862</v>
      </c>
      <c r="K9" s="60"/>
      <c r="L9" s="167" t="s">
        <v>861</v>
      </c>
      <c r="M9" s="69" t="s">
        <v>862</v>
      </c>
      <c r="O9" s="634" t="s">
        <v>863</v>
      </c>
      <c r="P9" s="634"/>
    </row>
    <row r="10" spans="2:16" ht="27" customHeight="1" thickBot="1" x14ac:dyDescent="0.3">
      <c r="B10" s="39" t="s">
        <v>34</v>
      </c>
      <c r="C10" s="463" t="s">
        <v>864</v>
      </c>
      <c r="D10" s="463"/>
      <c r="E10" s="463"/>
      <c r="F10" s="334"/>
      <c r="G10" s="335"/>
      <c r="H10" s="63"/>
      <c r="I10" s="336"/>
      <c r="J10" s="335"/>
      <c r="K10" s="63"/>
      <c r="L10" s="337"/>
      <c r="M10" s="335"/>
      <c r="O10" s="635" t="str">
        <f>IF(SUM($L$10:$M$10)=0, "None", IF(SUM(L10:M10)&lt;1000, "$"&amp;SUM(L10:M10)&amp;" Thousand", IF(SUM(L10:M10)&lt;1000000,"$"&amp;SUM(L10:M10)/1000&amp;" Million", IF(SUM(L10:M10)&lt;1000000000,"$"&amp;SUM(L10:M10)/1000000&amp;" Billion", "Sales Exceed One Trillion Dollars"))))</f>
        <v>None</v>
      </c>
      <c r="P10" s="635"/>
    </row>
    <row r="11" spans="2:16" ht="27" customHeight="1" thickBot="1" x14ac:dyDescent="0.3">
      <c r="B11" s="650" t="s">
        <v>2631</v>
      </c>
      <c r="C11" s="651"/>
      <c r="D11" s="651"/>
      <c r="E11" s="651"/>
      <c r="F11" s="651"/>
      <c r="G11" s="651"/>
      <c r="H11" s="651"/>
      <c r="I11" s="651"/>
      <c r="J11" s="651"/>
      <c r="K11" s="651"/>
      <c r="L11" s="651"/>
      <c r="M11" s="652"/>
    </row>
    <row r="12" spans="2:16" ht="27" customHeight="1" thickBot="1" x14ac:dyDescent="0.3">
      <c r="B12" s="161" t="s">
        <v>35</v>
      </c>
      <c r="C12" s="170"/>
      <c r="D12" s="647" t="s">
        <v>866</v>
      </c>
      <c r="E12" s="647"/>
      <c r="F12" s="338"/>
      <c r="G12" s="339"/>
      <c r="H12" s="159"/>
      <c r="I12" s="338"/>
      <c r="J12" s="339"/>
      <c r="K12" s="159"/>
      <c r="L12" s="338"/>
      <c r="M12" s="339"/>
    </row>
    <row r="13" spans="2:16" ht="27" customHeight="1" thickTop="1" thickBot="1" x14ac:dyDescent="0.3">
      <c r="B13" s="162" t="s">
        <v>37</v>
      </c>
      <c r="C13" s="171"/>
      <c r="D13" s="648" t="s">
        <v>867</v>
      </c>
      <c r="E13" s="648"/>
      <c r="F13" s="340"/>
      <c r="G13" s="341"/>
      <c r="H13" s="160"/>
      <c r="I13" s="340"/>
      <c r="J13" s="341"/>
      <c r="K13" s="160"/>
      <c r="L13" s="344"/>
      <c r="M13" s="341"/>
    </row>
    <row r="14" spans="2:16" ht="27" customHeight="1" thickTop="1" thickBot="1" x14ac:dyDescent="0.3">
      <c r="B14" s="132" t="s">
        <v>38</v>
      </c>
      <c r="C14" s="172"/>
      <c r="D14" s="463" t="s">
        <v>868</v>
      </c>
      <c r="E14" s="463"/>
      <c r="F14" s="342"/>
      <c r="G14" s="343"/>
      <c r="H14" s="63"/>
      <c r="I14" s="342"/>
      <c r="J14" s="343"/>
      <c r="K14" s="63"/>
      <c r="L14" s="342"/>
      <c r="M14" s="343"/>
    </row>
    <row r="15" spans="2:16" ht="15.75" customHeight="1" thickBot="1" x14ac:dyDescent="0.3">
      <c r="B15" s="649" t="s">
        <v>2613</v>
      </c>
      <c r="C15" s="429"/>
      <c r="D15" s="429"/>
      <c r="E15" s="429"/>
      <c r="F15" s="429"/>
      <c r="G15" s="429"/>
      <c r="H15" s="429"/>
      <c r="I15" s="429"/>
      <c r="J15" s="429"/>
      <c r="K15" s="429"/>
      <c r="L15" s="429"/>
      <c r="M15" s="430"/>
    </row>
    <row r="16" spans="2:16" ht="27" customHeight="1" x14ac:dyDescent="0.25">
      <c r="B16" s="437" t="s">
        <v>94</v>
      </c>
      <c r="C16" s="438"/>
      <c r="D16" s="438"/>
      <c r="E16" s="537"/>
      <c r="F16" s="538"/>
      <c r="G16" s="538"/>
      <c r="H16" s="538"/>
      <c r="I16" s="538"/>
      <c r="J16" s="538"/>
      <c r="K16" s="538"/>
      <c r="L16" s="538"/>
      <c r="M16" s="539"/>
    </row>
    <row r="17" spans="2:13" x14ac:dyDescent="0.25">
      <c r="B17" s="64"/>
      <c r="C17" s="77"/>
      <c r="D17" s="77"/>
      <c r="E17" s="28"/>
      <c r="F17" s="28"/>
      <c r="G17" s="28"/>
      <c r="H17" s="28"/>
      <c r="I17" s="28"/>
      <c r="J17" s="28"/>
      <c r="K17" s="28"/>
      <c r="L17" s="28"/>
      <c r="M17" s="29"/>
    </row>
    <row r="18" spans="2:13" ht="13.5" thickBot="1" x14ac:dyDescent="0.3">
      <c r="B18" s="390" t="s">
        <v>9</v>
      </c>
      <c r="C18" s="391"/>
      <c r="D18" s="391"/>
      <c r="E18" s="391"/>
      <c r="F18" s="391"/>
      <c r="G18" s="391"/>
      <c r="H18" s="391"/>
      <c r="I18" s="391"/>
      <c r="J18" s="391"/>
      <c r="K18" s="391"/>
      <c r="L18" s="391"/>
      <c r="M18" s="392"/>
    </row>
  </sheetData>
  <sheetProtection password="C288" sheet="1"/>
  <mergeCells count="24">
    <mergeCell ref="B18:M18"/>
    <mergeCell ref="F8:G8"/>
    <mergeCell ref="I8:J8"/>
    <mergeCell ref="L8:M8"/>
    <mergeCell ref="E16:M16"/>
    <mergeCell ref="D12:E12"/>
    <mergeCell ref="D13:E13"/>
    <mergeCell ref="B16:D16"/>
    <mergeCell ref="B15:M15"/>
    <mergeCell ref="D14:E14"/>
    <mergeCell ref="B11:M11"/>
    <mergeCell ref="C10:E10"/>
    <mergeCell ref="O10:P10"/>
    <mergeCell ref="G5:I5"/>
    <mergeCell ref="G6:I6"/>
    <mergeCell ref="J5:M5"/>
    <mergeCell ref="J6:M6"/>
    <mergeCell ref="O5:P7"/>
    <mergeCell ref="F7:M7"/>
    <mergeCell ref="B2:D2"/>
    <mergeCell ref="F2:G2"/>
    <mergeCell ref="B4:M4"/>
    <mergeCell ref="O8:P8"/>
    <mergeCell ref="O9:P9"/>
  </mergeCells>
  <dataValidations count="4">
    <dataValidation type="list" allowBlank="1" showInputMessage="1" showErrorMessage="1" sqref="J5:M5">
      <formula1>Level</formula1>
    </dataValidation>
    <dataValidation type="list" allowBlank="1" showInputMessage="1" showErrorMessage="1" sqref="J6:M6">
      <formula1>YearType</formula1>
    </dataValidation>
    <dataValidation type="decimal" operator="greaterThanOrEqual" allowBlank="1" showInputMessage="1" showErrorMessage="1" sqref="F10:G10 I10:J10 L10:M10">
      <formula1>0</formula1>
    </dataValidation>
    <dataValidation type="decimal" allowBlank="1" showInputMessage="1" showErrorMessage="1" sqref="F12:G14 I12:J14 L12:M14">
      <formula1>0</formula1>
      <formula2>1</formula2>
    </dataValidation>
  </dataValidations>
  <hyperlinks>
    <hyperlink ref="B2:D2" location="'6'!A1" display="Previous Page"/>
    <hyperlink ref="F2:G2" location="'Table of Contents'!A1" display="Table of Contents"/>
    <hyperlink ref="M2" location="'8'!A1" display="Next Page"/>
  </hyperlinks>
  <printOptions horizontalCentered="1"/>
  <pageMargins left="0.25" right="0.25" top="0.75" bottom="0.75" header="0.3" footer="0.3"/>
  <pageSetup orientation="landscape"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F35"/>
  <sheetViews>
    <sheetView showGridLines="0" showRowColHeaders="0" workbookViewId="0"/>
  </sheetViews>
  <sheetFormatPr defaultRowHeight="12.75" x14ac:dyDescent="0.25"/>
  <cols>
    <col min="1" max="1" width="9.140625" style="19"/>
    <col min="2" max="2" width="3.7109375" style="19" customWidth="1"/>
    <col min="3" max="3" width="40.5703125" style="19" customWidth="1"/>
    <col min="4" max="4" width="30.85546875" style="19" customWidth="1"/>
    <col min="5" max="5" width="22" style="19" customWidth="1"/>
    <col min="6" max="6" width="23.42578125" style="19" customWidth="1"/>
    <col min="7" max="16384" width="9.140625" style="19"/>
  </cols>
  <sheetData>
    <row r="1" spans="2:6" ht="13.5" thickBot="1" x14ac:dyDescent="0.3"/>
    <row r="2" spans="2:6" x14ac:dyDescent="0.25">
      <c r="B2" s="548" t="s">
        <v>10</v>
      </c>
      <c r="C2" s="549"/>
      <c r="D2" s="137" t="s">
        <v>11</v>
      </c>
      <c r="E2" s="21"/>
      <c r="F2" s="138" t="s">
        <v>0</v>
      </c>
    </row>
    <row r="3" spans="2:6" ht="13.5" thickBot="1" x14ac:dyDescent="0.3">
      <c r="B3" s="44" t="s">
        <v>870</v>
      </c>
      <c r="C3" s="45"/>
      <c r="D3" s="45"/>
      <c r="E3" s="45"/>
      <c r="F3" s="46"/>
    </row>
    <row r="4" spans="2:6" ht="39.75" customHeight="1" x14ac:dyDescent="0.25">
      <c r="B4" s="540" t="s">
        <v>871</v>
      </c>
      <c r="C4" s="496"/>
      <c r="D4" s="496"/>
      <c r="E4" s="496"/>
      <c r="F4" s="497"/>
    </row>
    <row r="5" spans="2:6" ht="13.5" thickBot="1" x14ac:dyDescent="0.3">
      <c r="B5" s="653" t="s">
        <v>872</v>
      </c>
      <c r="C5" s="654"/>
      <c r="D5" s="654"/>
      <c r="E5" s="654"/>
      <c r="F5" s="655"/>
    </row>
    <row r="6" spans="2:6" ht="27" customHeight="1" x14ac:dyDescent="0.25">
      <c r="B6" s="157"/>
      <c r="C6" s="664" t="s">
        <v>2614</v>
      </c>
      <c r="D6" s="664"/>
      <c r="E6" s="345"/>
      <c r="F6" s="149"/>
    </row>
    <row r="7" spans="2:6" x14ac:dyDescent="0.25">
      <c r="B7" s="656" t="s">
        <v>873</v>
      </c>
      <c r="C7" s="466"/>
      <c r="D7" s="658" t="s">
        <v>874</v>
      </c>
      <c r="E7" s="660" t="s">
        <v>875</v>
      </c>
      <c r="F7" s="662" t="s">
        <v>876</v>
      </c>
    </row>
    <row r="8" spans="2:6" x14ac:dyDescent="0.25">
      <c r="B8" s="484"/>
      <c r="C8" s="657"/>
      <c r="D8" s="659"/>
      <c r="E8" s="661"/>
      <c r="F8" s="663"/>
    </row>
    <row r="9" spans="2:6" x14ac:dyDescent="0.25">
      <c r="B9" s="174" t="s">
        <v>159</v>
      </c>
      <c r="C9" s="240"/>
      <c r="D9" s="230"/>
      <c r="E9" s="230"/>
      <c r="F9" s="226"/>
    </row>
    <row r="10" spans="2:6" x14ac:dyDescent="0.25">
      <c r="B10" s="174" t="s">
        <v>160</v>
      </c>
      <c r="C10" s="240"/>
      <c r="D10" s="230"/>
      <c r="E10" s="230"/>
      <c r="F10" s="226"/>
    </row>
    <row r="11" spans="2:6" x14ac:dyDescent="0.25">
      <c r="B11" s="174" t="s">
        <v>161</v>
      </c>
      <c r="C11" s="240"/>
      <c r="D11" s="230"/>
      <c r="E11" s="230"/>
      <c r="F11" s="226"/>
    </row>
    <row r="12" spans="2:6" x14ac:dyDescent="0.25">
      <c r="B12" s="174" t="s">
        <v>162</v>
      </c>
      <c r="C12" s="240"/>
      <c r="D12" s="230"/>
      <c r="E12" s="230"/>
      <c r="F12" s="226"/>
    </row>
    <row r="13" spans="2:6" x14ac:dyDescent="0.25">
      <c r="B13" s="174" t="s">
        <v>163</v>
      </c>
      <c r="C13" s="240"/>
      <c r="D13" s="230"/>
      <c r="E13" s="230"/>
      <c r="F13" s="226"/>
    </row>
    <row r="14" spans="2:6" x14ac:dyDescent="0.25">
      <c r="B14" s="174" t="s">
        <v>164</v>
      </c>
      <c r="C14" s="240"/>
      <c r="D14" s="230"/>
      <c r="E14" s="230"/>
      <c r="F14" s="226"/>
    </row>
    <row r="15" spans="2:6" x14ac:dyDescent="0.25">
      <c r="B15" s="174" t="s">
        <v>165</v>
      </c>
      <c r="C15" s="240"/>
      <c r="D15" s="230"/>
      <c r="E15" s="230"/>
      <c r="F15" s="226"/>
    </row>
    <row r="16" spans="2:6" x14ac:dyDescent="0.25">
      <c r="B16" s="174" t="s">
        <v>166</v>
      </c>
      <c r="C16" s="240"/>
      <c r="D16" s="230"/>
      <c r="E16" s="230"/>
      <c r="F16" s="226"/>
    </row>
    <row r="17" spans="2:6" x14ac:dyDescent="0.25">
      <c r="B17" s="174" t="s">
        <v>167</v>
      </c>
      <c r="C17" s="240"/>
      <c r="D17" s="230"/>
      <c r="E17" s="230"/>
      <c r="F17" s="226"/>
    </row>
    <row r="18" spans="2:6" ht="13.5" thickBot="1" x14ac:dyDescent="0.3">
      <c r="B18" s="173" t="s">
        <v>168</v>
      </c>
      <c r="C18" s="240"/>
      <c r="D18" s="230"/>
      <c r="E18" s="230"/>
      <c r="F18" s="226"/>
    </row>
    <row r="19" spans="2:6" ht="13.5" thickBot="1" x14ac:dyDescent="0.3">
      <c r="B19" s="653" t="s">
        <v>877</v>
      </c>
      <c r="C19" s="654"/>
      <c r="D19" s="654"/>
      <c r="E19" s="654"/>
      <c r="F19" s="655"/>
    </row>
    <row r="20" spans="2:6" ht="27" customHeight="1" x14ac:dyDescent="0.25">
      <c r="B20" s="157"/>
      <c r="C20" s="664" t="s">
        <v>2615</v>
      </c>
      <c r="D20" s="664"/>
      <c r="E20" s="346"/>
      <c r="F20" s="176"/>
    </row>
    <row r="21" spans="2:6" x14ac:dyDescent="0.25">
      <c r="B21" s="656" t="s">
        <v>873</v>
      </c>
      <c r="C21" s="466"/>
      <c r="D21" s="658" t="s">
        <v>874</v>
      </c>
      <c r="E21" s="665" t="s">
        <v>875</v>
      </c>
      <c r="F21" s="666" t="s">
        <v>878</v>
      </c>
    </row>
    <row r="22" spans="2:6" x14ac:dyDescent="0.25">
      <c r="B22" s="484"/>
      <c r="C22" s="657"/>
      <c r="D22" s="659"/>
      <c r="E22" s="659"/>
      <c r="F22" s="663"/>
    </row>
    <row r="23" spans="2:6" x14ac:dyDescent="0.25">
      <c r="B23" s="174" t="s">
        <v>159</v>
      </c>
      <c r="C23" s="240"/>
      <c r="D23" s="230"/>
      <c r="E23" s="230"/>
      <c r="F23" s="226"/>
    </row>
    <row r="24" spans="2:6" x14ac:dyDescent="0.25">
      <c r="B24" s="174" t="s">
        <v>160</v>
      </c>
      <c r="C24" s="240"/>
      <c r="D24" s="230"/>
      <c r="E24" s="230"/>
      <c r="F24" s="226"/>
    </row>
    <row r="25" spans="2:6" x14ac:dyDescent="0.25">
      <c r="B25" s="174" t="s">
        <v>161</v>
      </c>
      <c r="C25" s="240"/>
      <c r="D25" s="230"/>
      <c r="E25" s="230"/>
      <c r="F25" s="226"/>
    </row>
    <row r="26" spans="2:6" x14ac:dyDescent="0.25">
      <c r="B26" s="174" t="s">
        <v>162</v>
      </c>
      <c r="C26" s="240"/>
      <c r="D26" s="230"/>
      <c r="E26" s="230"/>
      <c r="F26" s="226"/>
    </row>
    <row r="27" spans="2:6" x14ac:dyDescent="0.25">
      <c r="B27" s="174" t="s">
        <v>163</v>
      </c>
      <c r="C27" s="240"/>
      <c r="D27" s="230"/>
      <c r="E27" s="230"/>
      <c r="F27" s="226"/>
    </row>
    <row r="28" spans="2:6" x14ac:dyDescent="0.25">
      <c r="B28" s="175" t="s">
        <v>164</v>
      </c>
      <c r="C28" s="240"/>
      <c r="D28" s="230"/>
      <c r="E28" s="230"/>
      <c r="F28" s="226"/>
    </row>
    <row r="29" spans="2:6" x14ac:dyDescent="0.25">
      <c r="B29" s="27" t="s">
        <v>165</v>
      </c>
      <c r="C29" s="240"/>
      <c r="D29" s="230"/>
      <c r="E29" s="230"/>
      <c r="F29" s="226"/>
    </row>
    <row r="30" spans="2:6" x14ac:dyDescent="0.25">
      <c r="B30" s="174" t="s">
        <v>166</v>
      </c>
      <c r="C30" s="240"/>
      <c r="D30" s="230"/>
      <c r="E30" s="230"/>
      <c r="F30" s="226"/>
    </row>
    <row r="31" spans="2:6" x14ac:dyDescent="0.25">
      <c r="B31" s="174" t="s">
        <v>167</v>
      </c>
      <c r="C31" s="240"/>
      <c r="D31" s="230"/>
      <c r="E31" s="230"/>
      <c r="F31" s="226"/>
    </row>
    <row r="32" spans="2:6" ht="13.5" thickBot="1" x14ac:dyDescent="0.3">
      <c r="B32" s="173" t="s">
        <v>168</v>
      </c>
      <c r="C32" s="240"/>
      <c r="D32" s="230"/>
      <c r="E32" s="230"/>
      <c r="F32" s="226"/>
    </row>
    <row r="33" spans="2:6" ht="27" customHeight="1" x14ac:dyDescent="0.25">
      <c r="B33" s="516" t="s">
        <v>94</v>
      </c>
      <c r="C33" s="518"/>
      <c r="D33" s="537"/>
      <c r="E33" s="538"/>
      <c r="F33" s="539"/>
    </row>
    <row r="34" spans="2:6" x14ac:dyDescent="0.25">
      <c r="B34" s="36"/>
      <c r="C34" s="28"/>
      <c r="D34" s="28"/>
      <c r="E34" s="28"/>
      <c r="F34" s="29"/>
    </row>
    <row r="35" spans="2:6" ht="13.5" thickBot="1" x14ac:dyDescent="0.3">
      <c r="B35" s="390" t="s">
        <v>9</v>
      </c>
      <c r="C35" s="391"/>
      <c r="D35" s="391"/>
      <c r="E35" s="391"/>
      <c r="F35" s="392"/>
    </row>
  </sheetData>
  <sheetProtection password="C288" sheet="1"/>
  <mergeCells count="17">
    <mergeCell ref="B35:F35"/>
    <mergeCell ref="C6:D6"/>
    <mergeCell ref="C20:D20"/>
    <mergeCell ref="B4:F4"/>
    <mergeCell ref="B21:C22"/>
    <mergeCell ref="D21:D22"/>
    <mergeCell ref="E21:E22"/>
    <mergeCell ref="F21:F22"/>
    <mergeCell ref="B33:C33"/>
    <mergeCell ref="D33:F33"/>
    <mergeCell ref="B2:C2"/>
    <mergeCell ref="B5:F5"/>
    <mergeCell ref="B19:F19"/>
    <mergeCell ref="B7:C8"/>
    <mergeCell ref="D7:D8"/>
    <mergeCell ref="E7:E8"/>
    <mergeCell ref="F7:F8"/>
  </mergeCells>
  <dataValidations count="4">
    <dataValidation type="list" allowBlank="1" showInputMessage="1" showErrorMessage="1" sqref="D23:D32 D9:D18">
      <formula1>CustomerType</formula1>
    </dataValidation>
    <dataValidation type="list" allowBlank="1" showInputMessage="1" showErrorMessage="1" sqref="F9:F18">
      <formula1>State</formula1>
    </dataValidation>
    <dataValidation type="list" allowBlank="1" showInputMessage="1" showErrorMessage="1" sqref="F23:F32">
      <formula1>Foreign</formula1>
    </dataValidation>
    <dataValidation type="whole" operator="greaterThanOrEqual" allowBlank="1" showInputMessage="1" showErrorMessage="1" sqref="E6 E20">
      <formula1>0</formula1>
    </dataValidation>
  </dataValidations>
  <hyperlinks>
    <hyperlink ref="B2:C2" location="'7'!A1" display="Previous Page"/>
    <hyperlink ref="D2" location="'Table of Contents'!A1" display="Table of Contents"/>
    <hyperlink ref="F2" location="'9a'!A1" display="Next Page"/>
  </hyperlinks>
  <printOptions horizontalCentered="1"/>
  <pageMargins left="0.25" right="0.25" top="0.75" bottom="0.75" header="0.3" footer="0.3"/>
  <pageSetup orientation="landscape" verticalDpi="12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S39"/>
  <sheetViews>
    <sheetView showGridLines="0" showRowColHeaders="0" workbookViewId="0"/>
  </sheetViews>
  <sheetFormatPr defaultRowHeight="12.75" x14ac:dyDescent="0.25"/>
  <cols>
    <col min="1" max="1" width="9.140625" style="19"/>
    <col min="2" max="2" width="3.7109375" style="19" customWidth="1"/>
    <col min="3" max="3" width="7.140625" style="19" customWidth="1"/>
    <col min="4" max="4" width="21.85546875" style="19" customWidth="1"/>
    <col min="5" max="5" width="6.5703125" style="19" customWidth="1"/>
    <col min="6" max="6" width="13.28515625" style="19" customWidth="1"/>
    <col min="7" max="7" width="1.42578125" style="19" customWidth="1"/>
    <col min="8" max="8" width="7.42578125" style="19" customWidth="1"/>
    <col min="9" max="9" width="18.5703125" style="19" customWidth="1"/>
    <col min="10" max="10" width="13.7109375" style="19" customWidth="1"/>
    <col min="11" max="11" width="14" style="19" customWidth="1"/>
    <col min="12" max="12" width="8.85546875" style="19" customWidth="1"/>
    <col min="13" max="13" width="25.5703125" style="19" customWidth="1"/>
    <col min="14" max="14" width="13.42578125" style="19" customWidth="1"/>
    <col min="15" max="15" width="13.5703125" style="19" customWidth="1"/>
    <col min="16" max="16384" width="9.140625" style="19"/>
  </cols>
  <sheetData>
    <row r="1" spans="2:15" ht="13.5" thickBot="1" x14ac:dyDescent="0.3"/>
    <row r="2" spans="2:15" x14ac:dyDescent="0.25">
      <c r="B2" s="548" t="s">
        <v>10</v>
      </c>
      <c r="C2" s="549"/>
      <c r="D2" s="549"/>
      <c r="E2" s="21"/>
      <c r="F2" s="21"/>
      <c r="G2" s="21"/>
      <c r="H2" s="21"/>
      <c r="I2" s="605" t="s">
        <v>11</v>
      </c>
      <c r="J2" s="605"/>
      <c r="K2" s="605"/>
      <c r="L2" s="21"/>
      <c r="M2" s="21"/>
      <c r="N2" s="21"/>
      <c r="O2" s="138" t="s">
        <v>0</v>
      </c>
    </row>
    <row r="3" spans="2:15" ht="13.5" thickBot="1" x14ac:dyDescent="0.3">
      <c r="B3" s="44" t="s">
        <v>879</v>
      </c>
      <c r="C3" s="45"/>
      <c r="D3" s="45"/>
      <c r="E3" s="45"/>
      <c r="F3" s="45"/>
      <c r="G3" s="45"/>
      <c r="H3" s="45"/>
      <c r="I3" s="45"/>
      <c r="J3" s="45"/>
      <c r="K3" s="45"/>
      <c r="L3" s="45"/>
      <c r="M3" s="45"/>
      <c r="N3" s="45"/>
      <c r="O3" s="46"/>
    </row>
    <row r="4" spans="2:15" ht="27" customHeight="1" x14ac:dyDescent="0.25">
      <c r="B4" s="437" t="s">
        <v>34</v>
      </c>
      <c r="C4" s="668" t="s">
        <v>880</v>
      </c>
      <c r="D4" s="429"/>
      <c r="E4" s="429"/>
      <c r="F4" s="429"/>
      <c r="G4" s="429"/>
      <c r="H4" s="429"/>
      <c r="I4" s="429"/>
      <c r="J4" s="429"/>
      <c r="K4" s="429"/>
      <c r="L4" s="429"/>
      <c r="M4" s="429"/>
      <c r="N4" s="429"/>
      <c r="O4" s="271"/>
    </row>
    <row r="5" spans="2:15" ht="27" customHeight="1" x14ac:dyDescent="0.25">
      <c r="B5" s="484"/>
      <c r="C5" s="450" t="s">
        <v>881</v>
      </c>
      <c r="D5" s="445"/>
      <c r="E5" s="445"/>
      <c r="F5" s="445"/>
      <c r="G5" s="445"/>
      <c r="H5" s="445"/>
      <c r="I5" s="445"/>
      <c r="J5" s="445"/>
      <c r="K5" s="445"/>
      <c r="L5" s="445"/>
      <c r="M5" s="445"/>
      <c r="N5" s="445"/>
      <c r="O5" s="625"/>
    </row>
    <row r="6" spans="2:15" x14ac:dyDescent="0.25">
      <c r="B6" s="484"/>
      <c r="C6" s="471" t="s">
        <v>882</v>
      </c>
      <c r="D6" s="447"/>
      <c r="E6" s="447"/>
      <c r="F6" s="447"/>
      <c r="G6" s="447"/>
      <c r="H6" s="447"/>
      <c r="I6" s="587"/>
      <c r="J6" s="667"/>
      <c r="K6" s="447" t="s">
        <v>883</v>
      </c>
      <c r="L6" s="447"/>
      <c r="M6" s="447"/>
      <c r="N6" s="587"/>
      <c r="O6" s="638"/>
    </row>
    <row r="7" spans="2:15" x14ac:dyDescent="0.25">
      <c r="B7" s="484"/>
      <c r="C7" s="471" t="s">
        <v>884</v>
      </c>
      <c r="D7" s="447"/>
      <c r="E7" s="447"/>
      <c r="F7" s="447"/>
      <c r="G7" s="447"/>
      <c r="H7" s="447"/>
      <c r="I7" s="587"/>
      <c r="J7" s="667"/>
      <c r="K7" s="447" t="s">
        <v>885</v>
      </c>
      <c r="L7" s="447"/>
      <c r="M7" s="447"/>
      <c r="N7" s="587"/>
      <c r="O7" s="638"/>
    </row>
    <row r="8" spans="2:15" x14ac:dyDescent="0.25">
      <c r="B8" s="484"/>
      <c r="C8" s="471" t="s">
        <v>886</v>
      </c>
      <c r="D8" s="447"/>
      <c r="E8" s="447"/>
      <c r="F8" s="447"/>
      <c r="G8" s="447"/>
      <c r="H8" s="447"/>
      <c r="I8" s="587"/>
      <c r="J8" s="667"/>
      <c r="K8" s="447" t="s">
        <v>887</v>
      </c>
      <c r="L8" s="447"/>
      <c r="M8" s="447"/>
      <c r="N8" s="587"/>
      <c r="O8" s="638"/>
    </row>
    <row r="9" spans="2:15" x14ac:dyDescent="0.25">
      <c r="B9" s="484"/>
      <c r="C9" s="471" t="s">
        <v>888</v>
      </c>
      <c r="D9" s="447"/>
      <c r="E9" s="447"/>
      <c r="F9" s="447"/>
      <c r="G9" s="447"/>
      <c r="H9" s="447"/>
      <c r="I9" s="587"/>
      <c r="J9" s="667"/>
      <c r="K9" s="447" t="s">
        <v>889</v>
      </c>
      <c r="L9" s="447"/>
      <c r="M9" s="447"/>
      <c r="N9" s="587"/>
      <c r="O9" s="638"/>
    </row>
    <row r="10" spans="2:15" x14ac:dyDescent="0.25">
      <c r="B10" s="484"/>
      <c r="C10" s="471" t="s">
        <v>498</v>
      </c>
      <c r="D10" s="447"/>
      <c r="E10" s="447"/>
      <c r="F10" s="447"/>
      <c r="G10" s="447"/>
      <c r="H10" s="447"/>
      <c r="I10" s="587"/>
      <c r="J10" s="667"/>
      <c r="K10" s="447" t="s">
        <v>890</v>
      </c>
      <c r="L10" s="447"/>
      <c r="M10" s="447"/>
      <c r="N10" s="587"/>
      <c r="O10" s="638"/>
    </row>
    <row r="11" spans="2:15" x14ac:dyDescent="0.25">
      <c r="B11" s="484"/>
      <c r="C11" s="471" t="s">
        <v>495</v>
      </c>
      <c r="D11" s="447"/>
      <c r="E11" s="447"/>
      <c r="F11" s="447"/>
      <c r="G11" s="447"/>
      <c r="H11" s="447"/>
      <c r="I11" s="587"/>
      <c r="J11" s="667"/>
      <c r="K11" s="447" t="s">
        <v>891</v>
      </c>
      <c r="L11" s="447"/>
      <c r="M11" s="447"/>
      <c r="N11" s="587"/>
      <c r="O11" s="638"/>
    </row>
    <row r="12" spans="2:15" x14ac:dyDescent="0.25">
      <c r="B12" s="484"/>
      <c r="C12" s="471" t="s">
        <v>892</v>
      </c>
      <c r="D12" s="447"/>
      <c r="E12" s="447"/>
      <c r="F12" s="447"/>
      <c r="G12" s="447"/>
      <c r="H12" s="447"/>
      <c r="I12" s="587"/>
      <c r="J12" s="667"/>
      <c r="K12" s="447" t="s">
        <v>893</v>
      </c>
      <c r="L12" s="447"/>
      <c r="M12" s="447"/>
      <c r="N12" s="587"/>
      <c r="O12" s="638"/>
    </row>
    <row r="13" spans="2:15" x14ac:dyDescent="0.25">
      <c r="B13" s="484"/>
      <c r="C13" s="471" t="s">
        <v>894</v>
      </c>
      <c r="D13" s="447"/>
      <c r="E13" s="447"/>
      <c r="F13" s="447"/>
      <c r="G13" s="447"/>
      <c r="H13" s="447"/>
      <c r="I13" s="587"/>
      <c r="J13" s="667"/>
      <c r="K13" s="672" t="s">
        <v>2629</v>
      </c>
      <c r="L13" s="445"/>
      <c r="M13" s="445"/>
      <c r="N13" s="587"/>
      <c r="O13" s="638"/>
    </row>
    <row r="14" spans="2:15" x14ac:dyDescent="0.25">
      <c r="B14" s="484"/>
      <c r="C14" s="471" t="s">
        <v>895</v>
      </c>
      <c r="D14" s="447"/>
      <c r="E14" s="447"/>
      <c r="F14" s="447"/>
      <c r="G14" s="447"/>
      <c r="H14" s="447"/>
      <c r="I14" s="587"/>
      <c r="J14" s="667"/>
      <c r="K14" s="59" t="s">
        <v>138</v>
      </c>
      <c r="L14" s="669" t="s">
        <v>139</v>
      </c>
      <c r="M14" s="670"/>
      <c r="N14" s="587"/>
      <c r="O14" s="638"/>
    </row>
    <row r="15" spans="2:15" ht="13.5" thickBot="1" x14ac:dyDescent="0.3">
      <c r="B15" s="485"/>
      <c r="C15" s="460" t="s">
        <v>896</v>
      </c>
      <c r="D15" s="461"/>
      <c r="E15" s="461"/>
      <c r="F15" s="461"/>
      <c r="G15" s="461"/>
      <c r="H15" s="461"/>
      <c r="I15" s="639"/>
      <c r="J15" s="671"/>
      <c r="K15" s="181" t="s">
        <v>138</v>
      </c>
      <c r="L15" s="639" t="s">
        <v>139</v>
      </c>
      <c r="M15" s="671"/>
      <c r="N15" s="639"/>
      <c r="O15" s="641"/>
    </row>
    <row r="16" spans="2:15" ht="30" customHeight="1" x14ac:dyDescent="0.25">
      <c r="B16" s="437" t="s">
        <v>35</v>
      </c>
      <c r="C16" s="668" t="s">
        <v>897</v>
      </c>
      <c r="D16" s="429"/>
      <c r="E16" s="429"/>
      <c r="F16" s="429"/>
      <c r="G16" s="429"/>
      <c r="H16" s="429"/>
      <c r="I16" s="429"/>
      <c r="J16" s="429"/>
      <c r="K16" s="429"/>
      <c r="L16" s="673"/>
      <c r="M16" s="183" t="s">
        <v>156</v>
      </c>
      <c r="N16" s="182" t="s">
        <v>898</v>
      </c>
      <c r="O16" s="177" t="s">
        <v>899</v>
      </c>
    </row>
    <row r="17" spans="2:19" x14ac:dyDescent="0.25">
      <c r="B17" s="484"/>
      <c r="C17" s="509"/>
      <c r="D17" s="449"/>
      <c r="E17" s="449"/>
      <c r="F17" s="449"/>
      <c r="G17" s="449"/>
      <c r="H17" s="449"/>
      <c r="I17" s="449"/>
      <c r="J17" s="449"/>
      <c r="K17" s="449"/>
      <c r="L17" s="674"/>
      <c r="M17" s="60">
        <v>2013</v>
      </c>
      <c r="N17" s="330"/>
      <c r="O17" s="331"/>
    </row>
    <row r="18" spans="2:19" x14ac:dyDescent="0.25">
      <c r="B18" s="484"/>
      <c r="C18" s="509"/>
      <c r="D18" s="449"/>
      <c r="E18" s="449"/>
      <c r="F18" s="449"/>
      <c r="G18" s="449"/>
      <c r="H18" s="449"/>
      <c r="I18" s="449"/>
      <c r="J18" s="449"/>
      <c r="K18" s="449"/>
      <c r="L18" s="674"/>
      <c r="M18" s="156">
        <v>2014</v>
      </c>
      <c r="N18" s="330"/>
      <c r="O18" s="331"/>
    </row>
    <row r="19" spans="2:19" ht="13.5" thickBot="1" x14ac:dyDescent="0.3">
      <c r="B19" s="485"/>
      <c r="C19" s="581"/>
      <c r="D19" s="463"/>
      <c r="E19" s="463"/>
      <c r="F19" s="463"/>
      <c r="G19" s="463"/>
      <c r="H19" s="463"/>
      <c r="I19" s="463"/>
      <c r="J19" s="463"/>
      <c r="K19" s="463"/>
      <c r="L19" s="675"/>
      <c r="M19" s="184">
        <v>2015</v>
      </c>
      <c r="N19" s="332"/>
      <c r="O19" s="333"/>
    </row>
    <row r="20" spans="2:19" ht="24.75" customHeight="1" x14ac:dyDescent="0.25">
      <c r="B20" s="440" t="s">
        <v>37</v>
      </c>
      <c r="C20" s="429" t="s">
        <v>900</v>
      </c>
      <c r="D20" s="429"/>
      <c r="E20" s="429"/>
      <c r="F20" s="429"/>
      <c r="G20" s="429"/>
      <c r="H20" s="429"/>
      <c r="I20" s="429"/>
      <c r="J20" s="429"/>
      <c r="K20" s="429"/>
      <c r="L20" s="429"/>
      <c r="M20" s="429"/>
      <c r="N20" s="429"/>
      <c r="O20" s="430"/>
    </row>
    <row r="21" spans="2:19" ht="33" customHeight="1" thickBot="1" x14ac:dyDescent="0.3">
      <c r="B21" s="441"/>
      <c r="C21" s="676" t="s">
        <v>901</v>
      </c>
      <c r="D21" s="676"/>
      <c r="E21" s="676"/>
      <c r="F21" s="677"/>
      <c r="G21" s="180"/>
      <c r="H21" s="678" t="s">
        <v>67</v>
      </c>
      <c r="I21" s="676"/>
      <c r="J21" s="676"/>
      <c r="K21" s="676"/>
      <c r="L21" s="676"/>
      <c r="M21" s="676"/>
      <c r="N21" s="676"/>
      <c r="O21" s="679"/>
    </row>
    <row r="22" spans="2:19" ht="13.5" thickTop="1" x14ac:dyDescent="0.25">
      <c r="B22" s="441"/>
      <c r="C22" s="680" t="s">
        <v>902</v>
      </c>
      <c r="D22" s="681"/>
      <c r="E22" s="682"/>
      <c r="F22" s="274"/>
      <c r="G22" s="178"/>
      <c r="H22" s="680" t="s">
        <v>903</v>
      </c>
      <c r="I22" s="681"/>
      <c r="J22" s="682"/>
      <c r="K22" s="273"/>
      <c r="L22" s="680" t="s">
        <v>904</v>
      </c>
      <c r="M22" s="681"/>
      <c r="N22" s="682"/>
      <c r="O22" s="272"/>
    </row>
    <row r="23" spans="2:19" x14ac:dyDescent="0.25">
      <c r="B23" s="441"/>
      <c r="C23" s="565" t="s">
        <v>905</v>
      </c>
      <c r="D23" s="683"/>
      <c r="E23" s="471"/>
      <c r="F23" s="275"/>
      <c r="G23" s="178"/>
      <c r="H23" s="565" t="s">
        <v>906</v>
      </c>
      <c r="I23" s="683"/>
      <c r="J23" s="471"/>
      <c r="K23" s="230"/>
      <c r="L23" s="565" t="s">
        <v>907</v>
      </c>
      <c r="M23" s="683"/>
      <c r="N23" s="471"/>
      <c r="O23" s="224"/>
    </row>
    <row r="24" spans="2:19" x14ac:dyDescent="0.25">
      <c r="B24" s="441"/>
      <c r="C24" s="565" t="s">
        <v>908</v>
      </c>
      <c r="D24" s="683"/>
      <c r="E24" s="471"/>
      <c r="F24" s="275"/>
      <c r="G24" s="178"/>
      <c r="H24" s="565" t="s">
        <v>909</v>
      </c>
      <c r="I24" s="683"/>
      <c r="J24" s="471"/>
      <c r="K24" s="230"/>
      <c r="L24" s="565" t="s">
        <v>910</v>
      </c>
      <c r="M24" s="683"/>
      <c r="N24" s="471"/>
      <c r="O24" s="224"/>
    </row>
    <row r="25" spans="2:19" x14ac:dyDescent="0.25">
      <c r="B25" s="441"/>
      <c r="C25" s="565" t="s">
        <v>911</v>
      </c>
      <c r="D25" s="683"/>
      <c r="E25" s="471"/>
      <c r="F25" s="275"/>
      <c r="G25" s="178"/>
      <c r="H25" s="565" t="s">
        <v>912</v>
      </c>
      <c r="I25" s="683"/>
      <c r="J25" s="471"/>
      <c r="K25" s="230"/>
      <c r="L25" s="565" t="s">
        <v>913</v>
      </c>
      <c r="M25" s="683"/>
      <c r="N25" s="471"/>
      <c r="O25" s="224"/>
    </row>
    <row r="26" spans="2:19" x14ac:dyDescent="0.25">
      <c r="B26" s="441"/>
      <c r="C26" s="565" t="s">
        <v>914</v>
      </c>
      <c r="D26" s="683"/>
      <c r="E26" s="471"/>
      <c r="F26" s="275"/>
      <c r="G26" s="178"/>
      <c r="H26" s="565" t="s">
        <v>915</v>
      </c>
      <c r="I26" s="683"/>
      <c r="J26" s="471"/>
      <c r="K26" s="230"/>
      <c r="L26" s="565" t="s">
        <v>916</v>
      </c>
      <c r="M26" s="683"/>
      <c r="N26" s="471"/>
      <c r="O26" s="224"/>
      <c r="S26" s="19" t="s">
        <v>736</v>
      </c>
    </row>
    <row r="27" spans="2:19" x14ac:dyDescent="0.25">
      <c r="B27" s="441"/>
      <c r="C27" s="565" t="s">
        <v>917</v>
      </c>
      <c r="D27" s="683"/>
      <c r="E27" s="471"/>
      <c r="F27" s="275"/>
      <c r="G27" s="178"/>
      <c r="H27" s="565" t="s">
        <v>918</v>
      </c>
      <c r="I27" s="683"/>
      <c r="J27" s="471"/>
      <c r="K27" s="230"/>
      <c r="L27" s="565" t="s">
        <v>919</v>
      </c>
      <c r="M27" s="683"/>
      <c r="N27" s="471"/>
      <c r="O27" s="224"/>
    </row>
    <row r="28" spans="2:19" x14ac:dyDescent="0.25">
      <c r="B28" s="441"/>
      <c r="C28" s="565" t="s">
        <v>920</v>
      </c>
      <c r="D28" s="683"/>
      <c r="E28" s="471"/>
      <c r="F28" s="275"/>
      <c r="G28" s="178"/>
      <c r="H28" s="565" t="s">
        <v>921</v>
      </c>
      <c r="I28" s="683"/>
      <c r="J28" s="471"/>
      <c r="K28" s="230"/>
      <c r="L28" s="565" t="s">
        <v>922</v>
      </c>
      <c r="M28" s="683"/>
      <c r="N28" s="471"/>
      <c r="O28" s="224"/>
    </row>
    <row r="29" spans="2:19" x14ac:dyDescent="0.25">
      <c r="B29" s="441"/>
      <c r="C29" s="565" t="s">
        <v>923</v>
      </c>
      <c r="D29" s="684"/>
      <c r="E29" s="450"/>
      <c r="F29" s="275"/>
      <c r="G29" s="178"/>
      <c r="H29" s="565" t="s">
        <v>924</v>
      </c>
      <c r="I29" s="683"/>
      <c r="J29" s="471"/>
      <c r="K29" s="230"/>
      <c r="L29" s="565" t="s">
        <v>925</v>
      </c>
      <c r="M29" s="683"/>
      <c r="N29" s="471"/>
      <c r="O29" s="224"/>
    </row>
    <row r="30" spans="2:19" x14ac:dyDescent="0.25">
      <c r="B30" s="441"/>
      <c r="C30" s="59" t="s">
        <v>138</v>
      </c>
      <c r="D30" s="587" t="s">
        <v>139</v>
      </c>
      <c r="E30" s="667"/>
      <c r="F30" s="276"/>
      <c r="G30" s="178"/>
      <c r="H30" s="565" t="s">
        <v>926</v>
      </c>
      <c r="I30" s="683"/>
      <c r="J30" s="471"/>
      <c r="K30" s="230"/>
      <c r="L30" s="565" t="s">
        <v>927</v>
      </c>
      <c r="M30" s="683"/>
      <c r="N30" s="471"/>
      <c r="O30" s="224"/>
    </row>
    <row r="31" spans="2:19" x14ac:dyDescent="0.25">
      <c r="B31" s="441"/>
      <c r="C31" s="218" t="s">
        <v>138</v>
      </c>
      <c r="D31" s="587" t="s">
        <v>139</v>
      </c>
      <c r="E31" s="667"/>
      <c r="F31" s="275"/>
      <c r="G31" s="178"/>
      <c r="H31" s="565" t="s">
        <v>928</v>
      </c>
      <c r="I31" s="684"/>
      <c r="J31" s="450"/>
      <c r="K31" s="230"/>
      <c r="L31" s="565" t="s">
        <v>929</v>
      </c>
      <c r="M31" s="684"/>
      <c r="N31" s="450"/>
      <c r="O31" s="224"/>
    </row>
    <row r="32" spans="2:19" ht="13.5" thickBot="1" x14ac:dyDescent="0.3">
      <c r="B32" s="442"/>
      <c r="C32" s="63" t="s">
        <v>138</v>
      </c>
      <c r="D32" s="639" t="s">
        <v>139</v>
      </c>
      <c r="E32" s="671"/>
      <c r="F32" s="277"/>
      <c r="G32" s="179"/>
      <c r="H32" s="63" t="s">
        <v>138</v>
      </c>
      <c r="I32" s="639" t="s">
        <v>139</v>
      </c>
      <c r="J32" s="671"/>
      <c r="K32" s="225"/>
      <c r="L32" s="181" t="s">
        <v>138</v>
      </c>
      <c r="M32" s="639" t="s">
        <v>139</v>
      </c>
      <c r="N32" s="640"/>
      <c r="O32" s="229"/>
    </row>
    <row r="33" spans="2:15" ht="22.5" customHeight="1" x14ac:dyDescent="0.25">
      <c r="B33" s="437" t="s">
        <v>38</v>
      </c>
      <c r="C33" s="455" t="s">
        <v>2616</v>
      </c>
      <c r="D33" s="456"/>
      <c r="E33" s="456"/>
      <c r="F33" s="456"/>
      <c r="G33" s="456"/>
      <c r="H33" s="456"/>
      <c r="I33" s="456"/>
      <c r="J33" s="456"/>
      <c r="K33" s="456"/>
      <c r="L33" s="456"/>
      <c r="M33" s="456"/>
      <c r="N33" s="511"/>
      <c r="O33" s="271"/>
    </row>
    <row r="34" spans="2:15" ht="22.5" customHeight="1" x14ac:dyDescent="0.25">
      <c r="B34" s="484"/>
      <c r="C34" s="471" t="s">
        <v>930</v>
      </c>
      <c r="D34" s="447"/>
      <c r="E34" s="447"/>
      <c r="F34" s="447"/>
      <c r="G34" s="447"/>
      <c r="H34" s="447"/>
      <c r="I34" s="447"/>
      <c r="J34" s="447"/>
      <c r="K34" s="447"/>
      <c r="L34" s="447"/>
      <c r="M34" s="447"/>
      <c r="N34" s="448"/>
      <c r="O34" s="224"/>
    </row>
    <row r="35" spans="2:15" ht="22.5" customHeight="1" x14ac:dyDescent="0.25">
      <c r="B35" s="484"/>
      <c r="C35" s="685" t="s">
        <v>931</v>
      </c>
      <c r="D35" s="686"/>
      <c r="E35" s="686"/>
      <c r="F35" s="686"/>
      <c r="G35" s="686"/>
      <c r="H35" s="686"/>
      <c r="I35" s="686"/>
      <c r="J35" s="686"/>
      <c r="K35" s="686"/>
      <c r="L35" s="686"/>
      <c r="M35" s="686"/>
      <c r="N35" s="686"/>
      <c r="O35" s="687"/>
    </row>
    <row r="36" spans="2:15" ht="47.25" customHeight="1" thickBot="1" x14ac:dyDescent="0.3">
      <c r="B36" s="485"/>
      <c r="C36" s="562"/>
      <c r="D36" s="563"/>
      <c r="E36" s="563"/>
      <c r="F36" s="563"/>
      <c r="G36" s="563"/>
      <c r="H36" s="563"/>
      <c r="I36" s="563"/>
      <c r="J36" s="563"/>
      <c r="K36" s="563"/>
      <c r="L36" s="563"/>
      <c r="M36" s="563"/>
      <c r="N36" s="563"/>
      <c r="O36" s="564"/>
    </row>
    <row r="37" spans="2:15" ht="27.75" customHeight="1" x14ac:dyDescent="0.25">
      <c r="B37" s="516" t="s">
        <v>94</v>
      </c>
      <c r="C37" s="517"/>
      <c r="D37" s="518"/>
      <c r="E37" s="569"/>
      <c r="F37" s="570"/>
      <c r="G37" s="570"/>
      <c r="H37" s="570"/>
      <c r="I37" s="570"/>
      <c r="J37" s="570"/>
      <c r="K37" s="570"/>
      <c r="L37" s="570"/>
      <c r="M37" s="570"/>
      <c r="N37" s="570"/>
      <c r="O37" s="571"/>
    </row>
    <row r="38" spans="2:15" x14ac:dyDescent="0.25">
      <c r="B38" s="36"/>
      <c r="C38" s="28"/>
      <c r="D38" s="28"/>
      <c r="E38" s="77"/>
      <c r="F38" s="77"/>
      <c r="G38" s="77"/>
      <c r="H38" s="77"/>
      <c r="I38" s="77"/>
      <c r="J38" s="77"/>
      <c r="K38" s="77"/>
      <c r="L38" s="77"/>
      <c r="M38" s="77"/>
      <c r="N38" s="77"/>
      <c r="O38" s="106"/>
    </row>
    <row r="39" spans="2:15" ht="15.75" customHeight="1" thickBot="1" x14ac:dyDescent="0.3">
      <c r="B39" s="390" t="s">
        <v>9</v>
      </c>
      <c r="C39" s="391"/>
      <c r="D39" s="391"/>
      <c r="E39" s="391"/>
      <c r="F39" s="391"/>
      <c r="G39" s="391"/>
      <c r="H39" s="391"/>
      <c r="I39" s="391"/>
      <c r="J39" s="391"/>
      <c r="K39" s="391"/>
      <c r="L39" s="391"/>
      <c r="M39" s="391"/>
      <c r="N39" s="391"/>
      <c r="O39" s="392"/>
    </row>
  </sheetData>
  <sheetProtection password="C288" sheet="1"/>
  <mergeCells count="92">
    <mergeCell ref="B39:O39"/>
    <mergeCell ref="C36:O36"/>
    <mergeCell ref="C35:O35"/>
    <mergeCell ref="C33:N33"/>
    <mergeCell ref="C34:N34"/>
    <mergeCell ref="B37:D37"/>
    <mergeCell ref="E37:O37"/>
    <mergeCell ref="B33:B36"/>
    <mergeCell ref="D30:E30"/>
    <mergeCell ref="D31:E31"/>
    <mergeCell ref="D32:E32"/>
    <mergeCell ref="H30:J30"/>
    <mergeCell ref="L30:N30"/>
    <mergeCell ref="H31:J31"/>
    <mergeCell ref="L31:N31"/>
    <mergeCell ref="I32:J32"/>
    <mergeCell ref="M32:N32"/>
    <mergeCell ref="C28:E28"/>
    <mergeCell ref="H28:J28"/>
    <mergeCell ref="L28:N28"/>
    <mergeCell ref="C29:E29"/>
    <mergeCell ref="H29:J29"/>
    <mergeCell ref="L29:N29"/>
    <mergeCell ref="C26:E26"/>
    <mergeCell ref="H26:J26"/>
    <mergeCell ref="L26:N26"/>
    <mergeCell ref="C27:E27"/>
    <mergeCell ref="H27:J27"/>
    <mergeCell ref="L27:N27"/>
    <mergeCell ref="C24:E24"/>
    <mergeCell ref="H24:J24"/>
    <mergeCell ref="L24:N24"/>
    <mergeCell ref="C25:E25"/>
    <mergeCell ref="H25:J25"/>
    <mergeCell ref="L25:N25"/>
    <mergeCell ref="C22:E22"/>
    <mergeCell ref="H22:J22"/>
    <mergeCell ref="L22:N22"/>
    <mergeCell ref="C23:E23"/>
    <mergeCell ref="H23:J23"/>
    <mergeCell ref="L23:N23"/>
    <mergeCell ref="C16:L19"/>
    <mergeCell ref="C21:F21"/>
    <mergeCell ref="C20:O20"/>
    <mergeCell ref="H21:O21"/>
    <mergeCell ref="C15:H15"/>
    <mergeCell ref="I15:J15"/>
    <mergeCell ref="C13:H13"/>
    <mergeCell ref="I13:J13"/>
    <mergeCell ref="K13:M13"/>
    <mergeCell ref="N13:O13"/>
    <mergeCell ref="C14:H14"/>
    <mergeCell ref="I14:J14"/>
    <mergeCell ref="I11:J11"/>
    <mergeCell ref="K11:M11"/>
    <mergeCell ref="N11:O11"/>
    <mergeCell ref="L14:M14"/>
    <mergeCell ref="L15:M15"/>
    <mergeCell ref="N14:O14"/>
    <mergeCell ref="N15:O15"/>
    <mergeCell ref="I12:J12"/>
    <mergeCell ref="K12:M12"/>
    <mergeCell ref="N12:O12"/>
    <mergeCell ref="N7:O7"/>
    <mergeCell ref="C8:H8"/>
    <mergeCell ref="I8:J8"/>
    <mergeCell ref="K8:M8"/>
    <mergeCell ref="N8:O8"/>
    <mergeCell ref="C9:H9"/>
    <mergeCell ref="I9:J9"/>
    <mergeCell ref="K9:M9"/>
    <mergeCell ref="N9:O9"/>
    <mergeCell ref="C7:H7"/>
    <mergeCell ref="I7:J7"/>
    <mergeCell ref="N10:O10"/>
    <mergeCell ref="C11:H11"/>
    <mergeCell ref="I2:K2"/>
    <mergeCell ref="B2:D2"/>
    <mergeCell ref="B4:B15"/>
    <mergeCell ref="B16:B19"/>
    <mergeCell ref="B20:B32"/>
    <mergeCell ref="K7:M7"/>
    <mergeCell ref="C10:H10"/>
    <mergeCell ref="I10:J10"/>
    <mergeCell ref="K10:M10"/>
    <mergeCell ref="C4:N4"/>
    <mergeCell ref="C5:O5"/>
    <mergeCell ref="C6:H6"/>
    <mergeCell ref="I6:J6"/>
    <mergeCell ref="K6:M6"/>
    <mergeCell ref="N6:O6"/>
    <mergeCell ref="C12:H12"/>
  </mergeCells>
  <dataValidations count="4">
    <dataValidation type="list" allowBlank="1" showInputMessage="1" showErrorMessage="1" sqref="O4 O33">
      <formula1>YesNo</formula1>
    </dataValidation>
    <dataValidation type="whole" operator="greaterThanOrEqual" allowBlank="1" showInputMessage="1" showErrorMessage="1" sqref="N17:O19">
      <formula1>0</formula1>
    </dataValidation>
    <dataValidation type="list" allowBlank="1" showInputMessage="1" showErrorMessage="1" sqref="O22:O32 K22:K32 F22:F32">
      <formula1>YNUnk</formula1>
    </dataValidation>
    <dataValidation type="list" allowBlank="1" showInputMessage="1" showErrorMessage="1" sqref="O34">
      <formula1>HowMany</formula1>
    </dataValidation>
  </dataValidations>
  <hyperlinks>
    <hyperlink ref="B2:D2" location="'8'!A1" display="Previous Page"/>
    <hyperlink ref="I2:K2" location="'Table of Contents'!A1" display="Table of Contents"/>
    <hyperlink ref="O2" location="'9b'!A1" display="Next Page"/>
  </hyperlinks>
  <printOptions horizontalCentered="1"/>
  <pageMargins left="0.25" right="0.25" top="0.75" bottom="0.75" header="0.3" footer="0.3"/>
  <pageSetup scale="79" orientation="landscape" verticalDpi="1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N44"/>
  <sheetViews>
    <sheetView showGridLines="0" showRowColHeaders="0" workbookViewId="0"/>
  </sheetViews>
  <sheetFormatPr defaultRowHeight="12.75" x14ac:dyDescent="0.25"/>
  <cols>
    <col min="1" max="1" width="9.140625" style="19"/>
    <col min="2" max="3" width="3.7109375" style="19" customWidth="1"/>
    <col min="4" max="4" width="35.7109375" style="19" customWidth="1"/>
    <col min="5" max="5" width="16.5703125" style="19" customWidth="1"/>
    <col min="6" max="6" width="19.28515625" style="19" customWidth="1"/>
    <col min="7" max="7" width="19" style="19" customWidth="1"/>
    <col min="8" max="8" width="10.42578125" style="19" customWidth="1"/>
    <col min="9" max="11" width="16.28515625" style="19" customWidth="1"/>
    <col min="12" max="16384" width="9.140625" style="19"/>
  </cols>
  <sheetData>
    <row r="1" spans="2:14" ht="13.5" thickBot="1" x14ac:dyDescent="0.3"/>
    <row r="2" spans="2:14" x14ac:dyDescent="0.25">
      <c r="B2" s="493" t="s">
        <v>10</v>
      </c>
      <c r="C2" s="494"/>
      <c r="D2" s="494"/>
      <c r="E2" s="21"/>
      <c r="F2" s="405" t="s">
        <v>11</v>
      </c>
      <c r="G2" s="405"/>
      <c r="H2" s="21"/>
      <c r="I2" s="21"/>
      <c r="J2" s="21"/>
      <c r="K2" s="26" t="s">
        <v>0</v>
      </c>
    </row>
    <row r="3" spans="2:14" ht="13.5" thickBot="1" x14ac:dyDescent="0.3">
      <c r="B3" s="44" t="s">
        <v>932</v>
      </c>
      <c r="C3" s="45"/>
      <c r="D3" s="45"/>
      <c r="E3" s="45"/>
      <c r="F3" s="45"/>
      <c r="G3" s="45"/>
      <c r="H3" s="45"/>
      <c r="I3" s="45"/>
      <c r="J3" s="45"/>
      <c r="K3" s="46"/>
    </row>
    <row r="4" spans="2:14" ht="42" customHeight="1" x14ac:dyDescent="0.25">
      <c r="B4" s="440" t="s">
        <v>34</v>
      </c>
      <c r="C4" s="489" t="s">
        <v>2635</v>
      </c>
      <c r="D4" s="490"/>
      <c r="E4" s="490"/>
      <c r="F4" s="490"/>
      <c r="G4" s="490"/>
      <c r="H4" s="490"/>
      <c r="I4" s="490"/>
      <c r="J4" s="577"/>
      <c r="K4" s="271"/>
    </row>
    <row r="5" spans="2:14" ht="42" customHeight="1" x14ac:dyDescent="0.25">
      <c r="B5" s="441"/>
      <c r="C5" s="558" t="s">
        <v>933</v>
      </c>
      <c r="D5" s="558"/>
      <c r="E5" s="558"/>
      <c r="F5" s="558"/>
      <c r="G5" s="558"/>
      <c r="H5" s="558"/>
      <c r="I5" s="558"/>
      <c r="J5" s="558"/>
      <c r="K5" s="566"/>
    </row>
    <row r="6" spans="2:14" x14ac:dyDescent="0.25">
      <c r="B6" s="441"/>
      <c r="C6" s="59"/>
      <c r="D6" s="59"/>
      <c r="E6" s="59"/>
      <c r="F6" s="59"/>
      <c r="G6" s="59"/>
      <c r="H6" s="599" t="s">
        <v>510</v>
      </c>
      <c r="I6" s="599"/>
      <c r="J6" s="599"/>
      <c r="K6" s="600"/>
    </row>
    <row r="7" spans="2:14" ht="15" customHeight="1" x14ac:dyDescent="0.25">
      <c r="B7" s="441"/>
      <c r="C7" s="114"/>
      <c r="D7" s="114"/>
      <c r="E7" s="114"/>
      <c r="F7" s="636" t="s">
        <v>934</v>
      </c>
      <c r="G7" s="636"/>
      <c r="H7" s="636"/>
      <c r="I7" s="472"/>
      <c r="J7" s="472"/>
      <c r="K7" s="495"/>
    </row>
    <row r="8" spans="2:14" ht="15" customHeight="1" x14ac:dyDescent="0.25">
      <c r="B8" s="441"/>
      <c r="C8" s="114"/>
      <c r="D8" s="114"/>
      <c r="E8" s="114"/>
      <c r="F8" s="636" t="s">
        <v>857</v>
      </c>
      <c r="G8" s="636"/>
      <c r="H8" s="636"/>
      <c r="I8" s="472"/>
      <c r="J8" s="472"/>
      <c r="K8" s="495"/>
    </row>
    <row r="9" spans="2:14" x14ac:dyDescent="0.25">
      <c r="B9" s="441"/>
      <c r="C9" s="192"/>
      <c r="D9" s="114"/>
      <c r="E9" s="114"/>
      <c r="F9" s="114"/>
      <c r="G9" s="114"/>
      <c r="H9" s="114"/>
      <c r="I9" s="196">
        <v>2013</v>
      </c>
      <c r="J9" s="197">
        <v>2014</v>
      </c>
      <c r="K9" s="67" t="s">
        <v>859</v>
      </c>
      <c r="M9" s="706" t="s">
        <v>860</v>
      </c>
      <c r="N9" s="707"/>
    </row>
    <row r="10" spans="2:14" ht="27" customHeight="1" x14ac:dyDescent="0.25">
      <c r="B10" s="441"/>
      <c r="C10" s="195">
        <v>1</v>
      </c>
      <c r="D10" s="447" t="s">
        <v>901</v>
      </c>
      <c r="E10" s="447"/>
      <c r="F10" s="447"/>
      <c r="G10" s="447"/>
      <c r="H10" s="447"/>
      <c r="I10" s="347"/>
      <c r="J10" s="347"/>
      <c r="K10" s="348"/>
      <c r="M10" s="708" t="s">
        <v>935</v>
      </c>
      <c r="N10" s="709"/>
    </row>
    <row r="11" spans="2:14" ht="27" customHeight="1" thickBot="1" x14ac:dyDescent="0.3">
      <c r="B11" s="442"/>
      <c r="C11" s="76">
        <v>2</v>
      </c>
      <c r="D11" s="463" t="s">
        <v>67</v>
      </c>
      <c r="E11" s="463"/>
      <c r="F11" s="463"/>
      <c r="G11" s="463"/>
      <c r="H11" s="463"/>
      <c r="I11" s="349"/>
      <c r="J11" s="349"/>
      <c r="K11" s="335"/>
      <c r="M11" s="710" t="str">
        <f>IF(SUM($K$10:$K$11)=0, "None", IF(SUM($K$10:$K$11)&lt;1000, "$"&amp;SUM($K$10:$K$11)&amp;" Thousand", IF(SUM($K$10:$K$11)&lt;1000000,"$"&amp;SUM($K$10:$K$11)/1000&amp;" Million", IF(SUM($K$10:$K$11)&lt;1000000000,"$"&amp;SUM($K$10:$K$11)/1000000&amp;" Billion", "Exceed One Trillion Dollars"))))</f>
        <v>None</v>
      </c>
      <c r="N11" s="711"/>
    </row>
    <row r="12" spans="2:14" ht="13.5" thickBot="1" x14ac:dyDescent="0.3">
      <c r="B12" s="688" t="s">
        <v>869</v>
      </c>
      <c r="C12" s="482"/>
      <c r="D12" s="482"/>
      <c r="E12" s="482"/>
      <c r="F12" s="482"/>
      <c r="G12" s="482"/>
      <c r="H12" s="482"/>
      <c r="I12" s="482"/>
      <c r="J12" s="482"/>
      <c r="K12" s="689"/>
    </row>
    <row r="13" spans="2:14" ht="27" customHeight="1" x14ac:dyDescent="0.25">
      <c r="B13" s="440" t="s">
        <v>35</v>
      </c>
      <c r="C13" s="429" t="s">
        <v>936</v>
      </c>
      <c r="D13" s="429"/>
      <c r="E13" s="429"/>
      <c r="F13" s="429"/>
      <c r="G13" s="429"/>
      <c r="H13" s="429"/>
      <c r="I13" s="429"/>
      <c r="J13" s="429"/>
      <c r="K13" s="430"/>
    </row>
    <row r="14" spans="2:14" x14ac:dyDescent="0.25">
      <c r="B14" s="441"/>
      <c r="C14" s="658">
        <v>1</v>
      </c>
      <c r="D14" s="471" t="s">
        <v>937</v>
      </c>
      <c r="E14" s="445"/>
      <c r="F14" s="445"/>
      <c r="G14" s="446"/>
      <c r="H14" s="691"/>
      <c r="I14" s="691"/>
      <c r="J14" s="186"/>
      <c r="K14" s="278"/>
    </row>
    <row r="15" spans="2:14" ht="27" customHeight="1" x14ac:dyDescent="0.25">
      <c r="B15" s="441"/>
      <c r="C15" s="690"/>
      <c r="D15" s="198" t="s">
        <v>484</v>
      </c>
      <c r="E15" s="692"/>
      <c r="F15" s="692"/>
      <c r="G15" s="692"/>
      <c r="H15" s="692"/>
      <c r="I15" s="692"/>
      <c r="J15" s="692"/>
      <c r="K15" s="693"/>
    </row>
    <row r="16" spans="2:14" x14ac:dyDescent="0.25">
      <c r="B16" s="441"/>
      <c r="C16" s="595">
        <v>2</v>
      </c>
      <c r="D16" s="449" t="s">
        <v>938</v>
      </c>
      <c r="E16" s="449"/>
      <c r="F16" s="449"/>
      <c r="G16" s="449"/>
      <c r="H16" s="472"/>
      <c r="I16" s="472"/>
      <c r="J16" s="59"/>
      <c r="K16" s="61"/>
    </row>
    <row r="17" spans="2:11" ht="27" customHeight="1" thickBot="1" x14ac:dyDescent="0.3">
      <c r="B17" s="442"/>
      <c r="C17" s="596"/>
      <c r="D17" s="184" t="s">
        <v>484</v>
      </c>
      <c r="E17" s="698"/>
      <c r="F17" s="698"/>
      <c r="G17" s="698"/>
      <c r="H17" s="698"/>
      <c r="I17" s="698"/>
      <c r="J17" s="698"/>
      <c r="K17" s="699"/>
    </row>
    <row r="18" spans="2:11" ht="27" customHeight="1" x14ac:dyDescent="0.25">
      <c r="B18" s="440" t="s">
        <v>37</v>
      </c>
      <c r="C18" s="429" t="s">
        <v>939</v>
      </c>
      <c r="D18" s="429"/>
      <c r="E18" s="429"/>
      <c r="F18" s="429"/>
      <c r="G18" s="429"/>
      <c r="H18" s="429"/>
      <c r="I18" s="429"/>
      <c r="J18" s="429"/>
      <c r="K18" s="430"/>
    </row>
    <row r="19" spans="2:11" ht="18.75" customHeight="1" x14ac:dyDescent="0.25">
      <c r="B19" s="441"/>
      <c r="C19" s="83">
        <v>1</v>
      </c>
      <c r="D19" s="447" t="s">
        <v>940</v>
      </c>
      <c r="E19" s="447"/>
      <c r="F19" s="447"/>
      <c r="G19" s="447"/>
      <c r="H19" s="448"/>
      <c r="I19" s="231"/>
      <c r="J19" s="185" t="s">
        <v>941</v>
      </c>
      <c r="K19" s="350"/>
    </row>
    <row r="20" spans="2:11" ht="18.75" customHeight="1" x14ac:dyDescent="0.25">
      <c r="B20" s="441"/>
      <c r="C20" s="83">
        <v>2</v>
      </c>
      <c r="D20" s="449" t="s">
        <v>942</v>
      </c>
      <c r="E20" s="449"/>
      <c r="F20" s="449"/>
      <c r="G20" s="449"/>
      <c r="H20" s="449"/>
      <c r="I20" s="231"/>
      <c r="J20" s="185" t="s">
        <v>941</v>
      </c>
      <c r="K20" s="350"/>
    </row>
    <row r="21" spans="2:11" ht="18.75" customHeight="1" x14ac:dyDescent="0.25">
      <c r="B21" s="441"/>
      <c r="C21" s="83">
        <v>3</v>
      </c>
      <c r="D21" s="447" t="s">
        <v>943</v>
      </c>
      <c r="E21" s="447"/>
      <c r="F21" s="447"/>
      <c r="G21" s="447"/>
      <c r="H21" s="448"/>
      <c r="I21" s="231"/>
      <c r="J21" s="186"/>
      <c r="K21" s="61"/>
    </row>
    <row r="22" spans="2:11" ht="18.75" customHeight="1" x14ac:dyDescent="0.25">
      <c r="B22" s="441"/>
      <c r="C22" s="83">
        <v>4</v>
      </c>
      <c r="D22" s="447" t="s">
        <v>944</v>
      </c>
      <c r="E22" s="447"/>
      <c r="F22" s="447"/>
      <c r="G22" s="447"/>
      <c r="H22" s="448"/>
      <c r="I22" s="231"/>
      <c r="J22" s="187"/>
      <c r="K22" s="61"/>
    </row>
    <row r="23" spans="2:11" ht="18.75" customHeight="1" x14ac:dyDescent="0.25">
      <c r="B23" s="441"/>
      <c r="C23" s="83">
        <v>5</v>
      </c>
      <c r="D23" s="682" t="s">
        <v>945</v>
      </c>
      <c r="E23" s="694"/>
      <c r="F23" s="694"/>
      <c r="G23" s="694"/>
      <c r="H23" s="694"/>
      <c r="I23" s="694"/>
      <c r="J23" s="695"/>
      <c r="K23" s="351"/>
    </row>
    <row r="24" spans="2:11" ht="30" customHeight="1" x14ac:dyDescent="0.25">
      <c r="B24" s="441"/>
      <c r="C24" s="464">
        <v>6</v>
      </c>
      <c r="D24" s="716" t="s">
        <v>946</v>
      </c>
      <c r="E24" s="558"/>
      <c r="F24" s="558"/>
      <c r="G24" s="558"/>
      <c r="H24" s="558"/>
      <c r="I24" s="558"/>
      <c r="J24" s="717"/>
      <c r="K24" s="232"/>
    </row>
    <row r="25" spans="2:11" ht="34.5" customHeight="1" thickBot="1" x14ac:dyDescent="0.3">
      <c r="B25" s="442"/>
      <c r="C25" s="598"/>
      <c r="D25" s="696" t="s">
        <v>947</v>
      </c>
      <c r="E25" s="697"/>
      <c r="F25" s="562"/>
      <c r="G25" s="563"/>
      <c r="H25" s="563"/>
      <c r="I25" s="563"/>
      <c r="J25" s="563"/>
      <c r="K25" s="564"/>
    </row>
    <row r="26" spans="2:11" ht="25.5" customHeight="1" x14ac:dyDescent="0.25">
      <c r="B26" s="440" t="s">
        <v>38</v>
      </c>
      <c r="C26" s="429" t="s">
        <v>948</v>
      </c>
      <c r="D26" s="429"/>
      <c r="E26" s="429"/>
      <c r="F26" s="429"/>
      <c r="G26" s="429"/>
      <c r="H26" s="429"/>
      <c r="I26" s="429"/>
      <c r="J26" s="429"/>
      <c r="K26" s="430"/>
    </row>
    <row r="27" spans="2:11" ht="18.75" customHeight="1" x14ac:dyDescent="0.25">
      <c r="B27" s="441"/>
      <c r="C27" s="658">
        <v>1</v>
      </c>
      <c r="D27" s="450" t="s">
        <v>949</v>
      </c>
      <c r="E27" s="445"/>
      <c r="F27" s="445"/>
      <c r="G27" s="445"/>
      <c r="H27" s="445"/>
      <c r="I27" s="445"/>
      <c r="J27" s="446"/>
      <c r="K27" s="224"/>
    </row>
    <row r="28" spans="2:11" ht="18.75" customHeight="1" x14ac:dyDescent="0.25">
      <c r="B28" s="441"/>
      <c r="C28" s="595"/>
      <c r="D28" s="702" t="s">
        <v>950</v>
      </c>
      <c r="E28" s="703"/>
      <c r="F28" s="703"/>
      <c r="G28" s="703"/>
      <c r="H28" s="703"/>
      <c r="I28" s="704"/>
      <c r="J28" s="587"/>
      <c r="K28" s="638"/>
    </row>
    <row r="29" spans="2:11" ht="30.75" customHeight="1" x14ac:dyDescent="0.25">
      <c r="B29" s="441"/>
      <c r="C29" s="595"/>
      <c r="D29" s="190" t="s">
        <v>484</v>
      </c>
      <c r="E29" s="626"/>
      <c r="F29" s="627"/>
      <c r="G29" s="627"/>
      <c r="H29" s="627"/>
      <c r="I29" s="627"/>
      <c r="J29" s="627"/>
      <c r="K29" s="628"/>
    </row>
    <row r="30" spans="2:11" ht="7.5" customHeight="1" x14ac:dyDescent="0.25">
      <c r="B30" s="441"/>
      <c r="C30" s="191"/>
      <c r="D30" s="150"/>
      <c r="E30" s="59"/>
      <c r="F30" s="59"/>
      <c r="G30" s="59"/>
      <c r="H30" s="112"/>
      <c r="I30" s="112"/>
      <c r="J30" s="112"/>
      <c r="K30" s="61"/>
    </row>
    <row r="31" spans="2:11" ht="27" customHeight="1" x14ac:dyDescent="0.25">
      <c r="B31" s="441"/>
      <c r="C31" s="117">
        <v>2</v>
      </c>
      <c r="D31" s="471" t="s">
        <v>951</v>
      </c>
      <c r="E31" s="447"/>
      <c r="F31" s="448"/>
      <c r="G31" s="230"/>
      <c r="H31" s="700" t="s">
        <v>952</v>
      </c>
      <c r="I31" s="534"/>
      <c r="J31" s="701"/>
      <c r="K31" s="331"/>
    </row>
    <row r="32" spans="2:11" ht="7.5" customHeight="1" x14ac:dyDescent="0.25">
      <c r="B32" s="441"/>
      <c r="C32" s="117"/>
      <c r="D32" s="193"/>
      <c r="E32" s="165"/>
      <c r="F32" s="165"/>
      <c r="G32" s="165"/>
      <c r="H32" s="165"/>
      <c r="I32" s="165"/>
      <c r="J32" s="165"/>
      <c r="K32" s="166"/>
    </row>
    <row r="33" spans="2:11" ht="27" customHeight="1" x14ac:dyDescent="0.25">
      <c r="B33" s="441"/>
      <c r="C33" s="595">
        <v>3</v>
      </c>
      <c r="D33" s="471" t="s">
        <v>953</v>
      </c>
      <c r="E33" s="447"/>
      <c r="F33" s="447"/>
      <c r="G33" s="447"/>
      <c r="H33" s="447"/>
      <c r="I33" s="447"/>
      <c r="J33" s="447"/>
      <c r="K33" s="715"/>
    </row>
    <row r="34" spans="2:11" ht="18.75" customHeight="1" x14ac:dyDescent="0.25">
      <c r="B34" s="441"/>
      <c r="C34" s="595"/>
      <c r="D34" s="467" t="s">
        <v>954</v>
      </c>
      <c r="E34" s="467"/>
      <c r="F34" s="467"/>
      <c r="G34" s="464" t="s">
        <v>955</v>
      </c>
      <c r="H34" s="465"/>
      <c r="I34" s="465"/>
      <c r="J34" s="465"/>
      <c r="K34" s="524"/>
    </row>
    <row r="35" spans="2:11" ht="15" customHeight="1" x14ac:dyDescent="0.25">
      <c r="B35" s="441"/>
      <c r="C35" s="595"/>
      <c r="D35" s="447" t="s">
        <v>956</v>
      </c>
      <c r="E35" s="447"/>
      <c r="F35" s="230"/>
      <c r="G35" s="705" t="s">
        <v>957</v>
      </c>
      <c r="H35" s="705"/>
      <c r="I35" s="705"/>
      <c r="J35" s="705"/>
      <c r="K35" s="224"/>
    </row>
    <row r="36" spans="2:11" ht="15" customHeight="1" x14ac:dyDescent="0.25">
      <c r="B36" s="441"/>
      <c r="C36" s="595"/>
      <c r="D36" s="447" t="s">
        <v>958</v>
      </c>
      <c r="E36" s="447"/>
      <c r="F36" s="230"/>
      <c r="G36" s="705" t="s">
        <v>959</v>
      </c>
      <c r="H36" s="705"/>
      <c r="I36" s="705"/>
      <c r="J36" s="705"/>
      <c r="K36" s="224"/>
    </row>
    <row r="37" spans="2:11" ht="15" customHeight="1" x14ac:dyDescent="0.25">
      <c r="B37" s="441"/>
      <c r="C37" s="595"/>
      <c r="D37" s="447" t="s">
        <v>960</v>
      </c>
      <c r="E37" s="447"/>
      <c r="F37" s="230"/>
      <c r="G37" s="705" t="s">
        <v>961</v>
      </c>
      <c r="H37" s="705"/>
      <c r="I37" s="705"/>
      <c r="J37" s="705"/>
      <c r="K37" s="224"/>
    </row>
    <row r="38" spans="2:11" ht="15" customHeight="1" x14ac:dyDescent="0.25">
      <c r="B38" s="441"/>
      <c r="C38" s="595"/>
      <c r="D38" s="447" t="s">
        <v>962</v>
      </c>
      <c r="E38" s="447"/>
      <c r="F38" s="230"/>
      <c r="G38" s="705" t="s">
        <v>963</v>
      </c>
      <c r="H38" s="705"/>
      <c r="I38" s="705"/>
      <c r="J38" s="705"/>
      <c r="K38" s="224"/>
    </row>
    <row r="39" spans="2:11" ht="15" customHeight="1" x14ac:dyDescent="0.25">
      <c r="B39" s="441"/>
      <c r="C39" s="595"/>
      <c r="D39" s="447" t="s">
        <v>964</v>
      </c>
      <c r="E39" s="447"/>
      <c r="F39" s="230"/>
      <c r="G39" s="705" t="s">
        <v>965</v>
      </c>
      <c r="H39" s="703"/>
      <c r="I39" s="703"/>
      <c r="J39" s="703"/>
      <c r="K39" s="224"/>
    </row>
    <row r="40" spans="2:11" ht="15" customHeight="1" x14ac:dyDescent="0.25">
      <c r="B40" s="441"/>
      <c r="C40" s="595"/>
      <c r="D40" s="447" t="s">
        <v>966</v>
      </c>
      <c r="E40" s="447"/>
      <c r="F40" s="230"/>
      <c r="G40" s="189" t="s">
        <v>138</v>
      </c>
      <c r="H40" s="587" t="s">
        <v>139</v>
      </c>
      <c r="I40" s="588"/>
      <c r="J40" s="667"/>
      <c r="K40" s="224"/>
    </row>
    <row r="41" spans="2:11" ht="15" customHeight="1" thickBot="1" x14ac:dyDescent="0.3">
      <c r="B41" s="442"/>
      <c r="C41" s="596"/>
      <c r="D41" s="461" t="s">
        <v>967</v>
      </c>
      <c r="E41" s="461"/>
      <c r="F41" s="234"/>
      <c r="G41" s="194" t="s">
        <v>138</v>
      </c>
      <c r="H41" s="712" t="s">
        <v>139</v>
      </c>
      <c r="I41" s="713"/>
      <c r="J41" s="714"/>
      <c r="K41" s="229"/>
    </row>
    <row r="42" spans="2:11" ht="27" customHeight="1" x14ac:dyDescent="0.25">
      <c r="B42" s="516" t="s">
        <v>94</v>
      </c>
      <c r="C42" s="517"/>
      <c r="D42" s="518"/>
      <c r="E42" s="570"/>
      <c r="F42" s="570"/>
      <c r="G42" s="570"/>
      <c r="H42" s="570"/>
      <c r="I42" s="570"/>
      <c r="J42" s="570"/>
      <c r="K42" s="571"/>
    </row>
    <row r="43" spans="2:11" x14ac:dyDescent="0.25">
      <c r="B43" s="64"/>
      <c r="C43" s="77"/>
      <c r="D43" s="77"/>
      <c r="E43" s="77"/>
      <c r="F43" s="77"/>
      <c r="G43" s="77"/>
      <c r="H43" s="77"/>
      <c r="I43" s="77"/>
      <c r="J43" s="77"/>
      <c r="K43" s="106"/>
    </row>
    <row r="44" spans="2:11" ht="13.5" thickBot="1" x14ac:dyDescent="0.3">
      <c r="B44" s="390" t="s">
        <v>9</v>
      </c>
      <c r="C44" s="391"/>
      <c r="D44" s="391"/>
      <c r="E44" s="391"/>
      <c r="F44" s="391"/>
      <c r="G44" s="391"/>
      <c r="H44" s="391"/>
      <c r="I44" s="391"/>
      <c r="J44" s="391"/>
      <c r="K44" s="392"/>
    </row>
  </sheetData>
  <sheetProtection password="C288" sheet="1"/>
  <mergeCells count="67">
    <mergeCell ref="M9:N9"/>
    <mergeCell ref="M10:N10"/>
    <mergeCell ref="M11:N11"/>
    <mergeCell ref="D40:E40"/>
    <mergeCell ref="D41:E41"/>
    <mergeCell ref="H40:J40"/>
    <mergeCell ref="H41:J41"/>
    <mergeCell ref="D33:K33"/>
    <mergeCell ref="D34:F34"/>
    <mergeCell ref="G34:K34"/>
    <mergeCell ref="D24:J24"/>
    <mergeCell ref="C18:K18"/>
    <mergeCell ref="C24:C25"/>
    <mergeCell ref="D19:H19"/>
    <mergeCell ref="D20:H20"/>
    <mergeCell ref="D21:H21"/>
    <mergeCell ref="B44:K44"/>
    <mergeCell ref="E42:K42"/>
    <mergeCell ref="D37:E37"/>
    <mergeCell ref="G37:J37"/>
    <mergeCell ref="D38:E38"/>
    <mergeCell ref="G38:J38"/>
    <mergeCell ref="D39:E39"/>
    <mergeCell ref="G39:J39"/>
    <mergeCell ref="B42:D42"/>
    <mergeCell ref="B26:B41"/>
    <mergeCell ref="D35:E35"/>
    <mergeCell ref="G35:J35"/>
    <mergeCell ref="D36:E36"/>
    <mergeCell ref="G36:J36"/>
    <mergeCell ref="C26:K26"/>
    <mergeCell ref="C27:C29"/>
    <mergeCell ref="C33:C41"/>
    <mergeCell ref="H31:J31"/>
    <mergeCell ref="D27:J27"/>
    <mergeCell ref="D28:I28"/>
    <mergeCell ref="E29:K29"/>
    <mergeCell ref="J28:K28"/>
    <mergeCell ref="D31:F31"/>
    <mergeCell ref="D10:H10"/>
    <mergeCell ref="B2:D2"/>
    <mergeCell ref="F2:G2"/>
    <mergeCell ref="B4:B11"/>
    <mergeCell ref="B13:B17"/>
    <mergeCell ref="C4:J4"/>
    <mergeCell ref="C5:K5"/>
    <mergeCell ref="H6:K6"/>
    <mergeCell ref="F7:H7"/>
    <mergeCell ref="F8:H8"/>
    <mergeCell ref="I7:K7"/>
    <mergeCell ref="I8:K8"/>
    <mergeCell ref="D14:G14"/>
    <mergeCell ref="D16:G16"/>
    <mergeCell ref="H14:I14"/>
    <mergeCell ref="H16:I16"/>
    <mergeCell ref="B18:B25"/>
    <mergeCell ref="D11:H11"/>
    <mergeCell ref="B12:K12"/>
    <mergeCell ref="C13:K13"/>
    <mergeCell ref="C14:C15"/>
    <mergeCell ref="E15:K15"/>
    <mergeCell ref="D22:H22"/>
    <mergeCell ref="D23:J23"/>
    <mergeCell ref="D25:E25"/>
    <mergeCell ref="F25:K25"/>
    <mergeCell ref="C16:C17"/>
    <mergeCell ref="E17:K17"/>
  </mergeCells>
  <dataValidations count="10">
    <dataValidation type="list" allowBlank="1" showInputMessage="1" showErrorMessage="1" sqref="K4">
      <formula1>PossNon</formula1>
    </dataValidation>
    <dataValidation type="list" allowBlank="1" showInputMessage="1" showErrorMessage="1" sqref="I7:K7">
      <formula1>Level</formula1>
    </dataValidation>
    <dataValidation type="list" allowBlank="1" showInputMessage="1" showErrorMessage="1" sqref="I8:K8">
      <formula1>YearType</formula1>
    </dataValidation>
    <dataValidation type="decimal" operator="greaterThanOrEqual" allowBlank="1" showInputMessage="1" showErrorMessage="1" sqref="I10:K11">
      <formula1>0</formula1>
    </dataValidation>
    <dataValidation type="list" allowBlank="1" showInputMessage="1" showErrorMessage="1" sqref="H16:I16 H14:I14 K24 K27 G31 K35:K41 F35:F41">
      <formula1>YesNoNA</formula1>
    </dataValidation>
    <dataValidation type="list" allowBlank="1" showInputMessage="1" showErrorMessage="1" sqref="I19:I20">
      <formula1>LocPar</formula1>
    </dataValidation>
    <dataValidation type="list" allowBlank="1" showInputMessage="1" showErrorMessage="1" sqref="I21:I22">
      <formula1>YesNo</formula1>
    </dataValidation>
    <dataValidation type="whole" operator="greaterThanOrEqual" allowBlank="1" showInputMessage="1" showErrorMessage="1" sqref="K19:K20 K31">
      <formula1>0</formula1>
    </dataValidation>
    <dataValidation type="decimal" allowBlank="1" showInputMessage="1" showErrorMessage="1" sqref="K23">
      <formula1>0</formula1>
      <formula2>1</formula2>
    </dataValidation>
    <dataValidation type="list" allowBlank="1" showInputMessage="1" showErrorMessage="1" sqref="J28:K28">
      <formula1>CyberInvestigate</formula1>
    </dataValidation>
  </dataValidations>
  <hyperlinks>
    <hyperlink ref="B2:D2" location="'9a'!A1" display="Previous Page"/>
    <hyperlink ref="F2:G2" location="'Table of Contents'!A1" display="Table of Contents"/>
    <hyperlink ref="K2" location="'10'!A1" display="Next Page"/>
  </hyperlinks>
  <printOptions horizontalCentered="1"/>
  <pageMargins left="0.25" right="0.25" top="0.75" bottom="0.75" header="0.3" footer="0.3"/>
  <pageSetup scale="60" orientation="landscape" verticalDpi="12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25"/>
  <sheetViews>
    <sheetView showGridLines="0" showRowColHeaders="0" workbookViewId="0"/>
  </sheetViews>
  <sheetFormatPr defaultRowHeight="12.75" x14ac:dyDescent="0.25"/>
  <cols>
    <col min="1" max="1" width="9.140625" style="19"/>
    <col min="2" max="3" width="3.7109375" style="19" customWidth="1"/>
    <col min="4" max="4" width="20.28515625" style="19" customWidth="1"/>
    <col min="5" max="5" width="17" style="19" customWidth="1"/>
    <col min="6" max="6" width="33.140625" style="19" customWidth="1"/>
    <col min="7" max="7" width="65.5703125" style="19" customWidth="1"/>
    <col min="8" max="10" width="18.5703125" style="19" customWidth="1"/>
    <col min="11" max="16384" width="9.140625" style="19"/>
  </cols>
  <sheetData>
    <row r="1" spans="2:10" ht="13.5" thickBot="1" x14ac:dyDescent="0.3"/>
    <row r="2" spans="2:10" x14ac:dyDescent="0.25">
      <c r="B2" s="493" t="s">
        <v>10</v>
      </c>
      <c r="C2" s="494"/>
      <c r="D2" s="494"/>
      <c r="E2" s="21"/>
      <c r="F2" s="405" t="s">
        <v>11</v>
      </c>
      <c r="G2" s="405"/>
      <c r="H2" s="21"/>
      <c r="I2" s="21"/>
      <c r="J2" s="26" t="s">
        <v>0</v>
      </c>
    </row>
    <row r="3" spans="2:10" x14ac:dyDescent="0.25">
      <c r="B3" s="52" t="s">
        <v>968</v>
      </c>
      <c r="C3" s="57"/>
      <c r="D3" s="57"/>
      <c r="E3" s="57"/>
      <c r="F3" s="57"/>
      <c r="G3" s="57"/>
      <c r="H3" s="57"/>
      <c r="I3" s="57"/>
      <c r="J3" s="58"/>
    </row>
    <row r="4" spans="2:10" ht="13.5" customHeight="1" x14ac:dyDescent="0.25">
      <c r="B4" s="718" t="s">
        <v>969</v>
      </c>
      <c r="C4" s="449"/>
      <c r="D4" s="449"/>
      <c r="E4" s="449"/>
      <c r="F4" s="449"/>
      <c r="G4" s="449"/>
      <c r="H4" s="449"/>
      <c r="I4" s="449"/>
      <c r="J4" s="625"/>
    </row>
    <row r="5" spans="2:10" ht="22.5" customHeight="1" thickBot="1" x14ac:dyDescent="0.3">
      <c r="B5" s="719" t="s">
        <v>39</v>
      </c>
      <c r="C5" s="720"/>
      <c r="D5" s="720"/>
      <c r="E5" s="720"/>
      <c r="F5" s="720"/>
      <c r="G5" s="720"/>
      <c r="H5" s="720"/>
      <c r="I5" s="720"/>
      <c r="J5" s="721"/>
    </row>
    <row r="6" spans="2:10" x14ac:dyDescent="0.25">
      <c r="B6" s="440" t="s">
        <v>34</v>
      </c>
      <c r="C6" s="455" t="s">
        <v>970</v>
      </c>
      <c r="D6" s="456"/>
      <c r="E6" s="456"/>
      <c r="F6" s="456"/>
      <c r="G6" s="511"/>
      <c r="H6" s="722"/>
      <c r="I6" s="723"/>
      <c r="J6" s="724"/>
    </row>
    <row r="7" spans="2:10" x14ac:dyDescent="0.25">
      <c r="B7" s="441"/>
      <c r="C7" s="449" t="s">
        <v>971</v>
      </c>
      <c r="D7" s="449"/>
      <c r="E7" s="449"/>
      <c r="F7" s="449"/>
      <c r="G7" s="510"/>
      <c r="H7" s="726"/>
      <c r="I7" s="726"/>
      <c r="J7" s="727"/>
    </row>
    <row r="8" spans="2:10" x14ac:dyDescent="0.25">
      <c r="B8" s="441"/>
      <c r="C8" s="471" t="s">
        <v>972</v>
      </c>
      <c r="D8" s="447"/>
      <c r="E8" s="447"/>
      <c r="F8" s="447"/>
      <c r="G8" s="448"/>
      <c r="H8" s="669"/>
      <c r="I8" s="728"/>
      <c r="J8" s="729"/>
    </row>
    <row r="9" spans="2:10" ht="13.5" thickBot="1" x14ac:dyDescent="0.3">
      <c r="B9" s="442"/>
      <c r="C9" s="463" t="s">
        <v>973</v>
      </c>
      <c r="D9" s="463"/>
      <c r="E9" s="463"/>
      <c r="F9" s="463"/>
      <c r="G9" s="582"/>
      <c r="H9" s="639"/>
      <c r="I9" s="640"/>
      <c r="J9" s="641"/>
    </row>
    <row r="10" spans="2:10" ht="22.5" customHeight="1" thickBot="1" x14ac:dyDescent="0.3">
      <c r="B10" s="158" t="s">
        <v>35</v>
      </c>
      <c r="C10" s="429" t="s">
        <v>2640</v>
      </c>
      <c r="D10" s="429"/>
      <c r="E10" s="429"/>
      <c r="F10" s="730"/>
      <c r="G10" s="355"/>
      <c r="H10" s="731"/>
      <c r="I10" s="438"/>
      <c r="J10" s="439"/>
    </row>
    <row r="11" spans="2:10" ht="38.25" customHeight="1" x14ac:dyDescent="0.25">
      <c r="B11" s="440" t="s">
        <v>37</v>
      </c>
      <c r="C11" s="489" t="s">
        <v>2617</v>
      </c>
      <c r="D11" s="490"/>
      <c r="E11" s="490"/>
      <c r="F11" s="490"/>
      <c r="G11" s="490"/>
      <c r="H11" s="490"/>
      <c r="I11" s="490"/>
      <c r="J11" s="586"/>
    </row>
    <row r="12" spans="2:10" ht="30" customHeight="1" x14ac:dyDescent="0.25">
      <c r="B12" s="441"/>
      <c r="C12" s="117"/>
      <c r="D12" s="201" t="s">
        <v>974</v>
      </c>
      <c r="E12" s="79" t="s">
        <v>975</v>
      </c>
      <c r="F12" s="79" t="s">
        <v>976</v>
      </c>
      <c r="G12" s="79" t="s">
        <v>977</v>
      </c>
      <c r="H12" s="79" t="s">
        <v>978</v>
      </c>
      <c r="I12" s="80" t="s">
        <v>979</v>
      </c>
      <c r="J12" s="199" t="s">
        <v>980</v>
      </c>
    </row>
    <row r="13" spans="2:10" ht="30" customHeight="1" x14ac:dyDescent="0.25">
      <c r="B13" s="441"/>
      <c r="C13" s="60">
        <v>1</v>
      </c>
      <c r="D13" s="321"/>
      <c r="E13" s="321"/>
      <c r="F13" s="321"/>
      <c r="G13" s="373"/>
      <c r="H13" s="321"/>
      <c r="I13" s="321"/>
      <c r="J13" s="322"/>
    </row>
    <row r="14" spans="2:10" ht="30" customHeight="1" x14ac:dyDescent="0.25">
      <c r="B14" s="441"/>
      <c r="C14" s="200">
        <v>2</v>
      </c>
      <c r="D14" s="321"/>
      <c r="E14" s="321"/>
      <c r="F14" s="321"/>
      <c r="G14" s="373"/>
      <c r="H14" s="321"/>
      <c r="I14" s="321"/>
      <c r="J14" s="322"/>
    </row>
    <row r="15" spans="2:10" ht="30" customHeight="1" x14ac:dyDescent="0.25">
      <c r="B15" s="441"/>
      <c r="C15" s="200">
        <v>3</v>
      </c>
      <c r="D15" s="321"/>
      <c r="E15" s="321"/>
      <c r="F15" s="321"/>
      <c r="G15" s="373"/>
      <c r="H15" s="321"/>
      <c r="I15" s="321"/>
      <c r="J15" s="322"/>
    </row>
    <row r="16" spans="2:10" ht="30" customHeight="1" x14ac:dyDescent="0.25">
      <c r="B16" s="441"/>
      <c r="C16" s="200">
        <v>4</v>
      </c>
      <c r="D16" s="321"/>
      <c r="E16" s="321"/>
      <c r="F16" s="321"/>
      <c r="G16" s="373"/>
      <c r="H16" s="321"/>
      <c r="I16" s="321"/>
      <c r="J16" s="322"/>
    </row>
    <row r="17" spans="2:10" ht="30" customHeight="1" x14ac:dyDescent="0.25">
      <c r="B17" s="441"/>
      <c r="C17" s="200">
        <v>5</v>
      </c>
      <c r="D17" s="321"/>
      <c r="E17" s="321"/>
      <c r="F17" s="321"/>
      <c r="G17" s="373"/>
      <c r="H17" s="321"/>
      <c r="I17" s="321"/>
      <c r="J17" s="322"/>
    </row>
    <row r="18" spans="2:10" ht="30" customHeight="1" x14ac:dyDescent="0.25">
      <c r="B18" s="441"/>
      <c r="C18" s="200">
        <v>6</v>
      </c>
      <c r="D18" s="321"/>
      <c r="E18" s="321"/>
      <c r="F18" s="321"/>
      <c r="G18" s="373"/>
      <c r="H18" s="321"/>
      <c r="I18" s="321"/>
      <c r="J18" s="322"/>
    </row>
    <row r="19" spans="2:10" ht="30" customHeight="1" x14ac:dyDescent="0.25">
      <c r="B19" s="441"/>
      <c r="C19" s="200">
        <v>7</v>
      </c>
      <c r="D19" s="321"/>
      <c r="E19" s="321"/>
      <c r="F19" s="321"/>
      <c r="G19" s="373"/>
      <c r="H19" s="321"/>
      <c r="I19" s="321"/>
      <c r="J19" s="322"/>
    </row>
    <row r="20" spans="2:10" ht="30" customHeight="1" x14ac:dyDescent="0.25">
      <c r="B20" s="441"/>
      <c r="C20" s="200">
        <v>8</v>
      </c>
      <c r="D20" s="321"/>
      <c r="E20" s="321"/>
      <c r="F20" s="321"/>
      <c r="G20" s="373"/>
      <c r="H20" s="321"/>
      <c r="I20" s="321"/>
      <c r="J20" s="322"/>
    </row>
    <row r="21" spans="2:10" ht="30" customHeight="1" x14ac:dyDescent="0.25">
      <c r="B21" s="441"/>
      <c r="C21" s="60">
        <v>9</v>
      </c>
      <c r="D21" s="321"/>
      <c r="E21" s="321"/>
      <c r="F21" s="321"/>
      <c r="G21" s="373"/>
      <c r="H21" s="321"/>
      <c r="I21" s="321"/>
      <c r="J21" s="322"/>
    </row>
    <row r="22" spans="2:10" ht="30" customHeight="1" thickBot="1" x14ac:dyDescent="0.3">
      <c r="B22" s="442"/>
      <c r="C22" s="184">
        <v>10</v>
      </c>
      <c r="D22" s="323"/>
      <c r="E22" s="323"/>
      <c r="F22" s="323"/>
      <c r="G22" s="374"/>
      <c r="H22" s="323"/>
      <c r="I22" s="323"/>
      <c r="J22" s="324"/>
    </row>
    <row r="23" spans="2:10" ht="30" customHeight="1" x14ac:dyDescent="0.25">
      <c r="B23" s="610" t="s">
        <v>94</v>
      </c>
      <c r="C23" s="725"/>
      <c r="D23" s="611"/>
      <c r="E23" s="537"/>
      <c r="F23" s="538"/>
      <c r="G23" s="538"/>
      <c r="H23" s="538"/>
      <c r="I23" s="538"/>
      <c r="J23" s="539"/>
    </row>
    <row r="24" spans="2:10" x14ac:dyDescent="0.25">
      <c r="B24" s="36"/>
      <c r="C24" s="28"/>
      <c r="D24" s="28"/>
      <c r="E24" s="28"/>
      <c r="F24" s="28"/>
      <c r="G24" s="28" t="s">
        <v>736</v>
      </c>
      <c r="H24" s="28"/>
      <c r="I24" s="28"/>
      <c r="J24" s="29"/>
    </row>
    <row r="25" spans="2:10" ht="13.5" thickBot="1" x14ac:dyDescent="0.3">
      <c r="B25" s="390" t="s">
        <v>9</v>
      </c>
      <c r="C25" s="391"/>
      <c r="D25" s="391"/>
      <c r="E25" s="391"/>
      <c r="F25" s="391"/>
      <c r="G25" s="391"/>
      <c r="H25" s="391"/>
      <c r="I25" s="391"/>
      <c r="J25" s="392"/>
    </row>
  </sheetData>
  <sheetProtection password="C288" sheet="1" objects="1" scenarios="1"/>
  <mergeCells count="20">
    <mergeCell ref="C9:G9"/>
    <mergeCell ref="H9:J9"/>
    <mergeCell ref="C10:F10"/>
    <mergeCell ref="H10:J10"/>
    <mergeCell ref="B25:J25"/>
    <mergeCell ref="B2:D2"/>
    <mergeCell ref="F2:G2"/>
    <mergeCell ref="B4:J4"/>
    <mergeCell ref="B5:J5"/>
    <mergeCell ref="B6:B9"/>
    <mergeCell ref="B11:B22"/>
    <mergeCell ref="C6:G6"/>
    <mergeCell ref="H6:J6"/>
    <mergeCell ref="C7:G7"/>
    <mergeCell ref="C11:J11"/>
    <mergeCell ref="B23:D23"/>
    <mergeCell ref="E23:J23"/>
    <mergeCell ref="H7:J7"/>
    <mergeCell ref="C8:G8"/>
    <mergeCell ref="H8:J8"/>
  </mergeCells>
  <dataValidations count="3">
    <dataValidation type="list" allowBlank="1" showInputMessage="1" showErrorMessage="1" sqref="H6:J9 G10">
      <formula1>number</formula1>
    </dataValidation>
    <dataValidation type="list" allowBlank="1" showInputMessage="1" showErrorMessage="1" sqref="F13:F22">
      <formula1>AllAgencies</formula1>
    </dataValidation>
    <dataValidation type="list" allowBlank="1" showInputMessage="1" showErrorMessage="1" sqref="H13:J22">
      <formula1>PSLSort</formula1>
    </dataValidation>
  </dataValidations>
  <hyperlinks>
    <hyperlink ref="B2:D2" location="'9b'!A1" display="Previous Page"/>
    <hyperlink ref="F2:G2" location="'Table of Contents'!A1" display="Table of Contents"/>
    <hyperlink ref="J2" location="'11'!A1" display="Next Page"/>
  </hyperlinks>
  <printOptions horizontalCentered="1"/>
  <pageMargins left="0.25" right="0.25" top="0.75" bottom="0.75" header="0.3" footer="0.3"/>
  <pageSetup scale="68" orientation="landscape" verticalDpi="12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29"/>
  <sheetViews>
    <sheetView showGridLines="0" showRowColHeaders="0" workbookViewId="0"/>
  </sheetViews>
  <sheetFormatPr defaultRowHeight="12.75" x14ac:dyDescent="0.25"/>
  <cols>
    <col min="1" max="1" width="9.140625" style="19"/>
    <col min="2" max="3" width="3.7109375" style="19" customWidth="1"/>
    <col min="4" max="4" width="17.42578125" style="19" customWidth="1"/>
    <col min="5" max="5" width="39.28515625" style="19" customWidth="1"/>
    <col min="6" max="8" width="21" style="19" customWidth="1"/>
    <col min="9" max="16384" width="9.140625" style="19"/>
  </cols>
  <sheetData>
    <row r="1" spans="2:12" ht="13.5" thickBot="1" x14ac:dyDescent="0.3"/>
    <row r="2" spans="2:12" x14ac:dyDescent="0.25">
      <c r="B2" s="548" t="s">
        <v>10</v>
      </c>
      <c r="C2" s="549"/>
      <c r="D2" s="549"/>
      <c r="E2" s="605" t="s">
        <v>11</v>
      </c>
      <c r="F2" s="605"/>
      <c r="G2" s="21"/>
      <c r="H2" s="138" t="s">
        <v>0</v>
      </c>
    </row>
    <row r="3" spans="2:12" ht="13.5" thickBot="1" x14ac:dyDescent="0.3">
      <c r="B3" s="44" t="s">
        <v>981</v>
      </c>
      <c r="C3" s="45"/>
      <c r="D3" s="45"/>
      <c r="E3" s="45"/>
      <c r="F3" s="45"/>
      <c r="G3" s="45"/>
      <c r="H3" s="46"/>
    </row>
    <row r="4" spans="2:12" ht="30" customHeight="1" thickBot="1" x14ac:dyDescent="0.3">
      <c r="B4" s="62" t="s">
        <v>34</v>
      </c>
      <c r="C4" s="482" t="s">
        <v>982</v>
      </c>
      <c r="D4" s="482"/>
      <c r="E4" s="483"/>
      <c r="F4" s="315"/>
      <c r="G4" s="482" t="s">
        <v>983</v>
      </c>
      <c r="H4" s="689"/>
    </row>
    <row r="5" spans="2:12" ht="61.5" customHeight="1" thickBot="1" x14ac:dyDescent="0.3">
      <c r="B5" s="732" t="s">
        <v>984</v>
      </c>
      <c r="C5" s="435"/>
      <c r="D5" s="435"/>
      <c r="E5" s="435"/>
      <c r="F5" s="435"/>
      <c r="G5" s="435"/>
      <c r="H5" s="733"/>
    </row>
    <row r="6" spans="2:12" x14ac:dyDescent="0.25">
      <c r="B6" s="133"/>
      <c r="C6" s="147"/>
      <c r="D6" s="147"/>
      <c r="E6" s="204" t="s">
        <v>985</v>
      </c>
      <c r="F6" s="742"/>
      <c r="G6" s="743"/>
      <c r="H6" s="744"/>
      <c r="J6" s="642" t="str">
        <f>IF(NOT(ISBLANK($F$6)), IF(AND($F$6&lt;&gt;"Single Corporate Location",$F$6&lt;&gt;"Location"), "Location-based data is STRONGLY preferred.", ""), "")</f>
        <v/>
      </c>
      <c r="K6" s="642"/>
      <c r="L6" s="642"/>
    </row>
    <row r="7" spans="2:12" x14ac:dyDescent="0.25">
      <c r="B7" s="91"/>
      <c r="C7" s="192"/>
      <c r="D7" s="114"/>
      <c r="E7" s="209" t="s">
        <v>857</v>
      </c>
      <c r="F7" s="669"/>
      <c r="G7" s="728"/>
      <c r="H7" s="729"/>
      <c r="J7" s="642"/>
      <c r="K7" s="642"/>
      <c r="L7" s="642"/>
    </row>
    <row r="8" spans="2:12" x14ac:dyDescent="0.25">
      <c r="B8" s="568" t="s">
        <v>35</v>
      </c>
      <c r="C8" s="110"/>
      <c r="D8" s="59"/>
      <c r="E8" s="59"/>
      <c r="F8" s="745" t="s">
        <v>510</v>
      </c>
      <c r="G8" s="746"/>
      <c r="H8" s="747"/>
      <c r="J8" s="642"/>
      <c r="K8" s="642"/>
      <c r="L8" s="642"/>
    </row>
    <row r="9" spans="2:12" x14ac:dyDescent="0.25">
      <c r="B9" s="441"/>
      <c r="C9" s="193"/>
      <c r="D9" s="165"/>
      <c r="E9" s="165"/>
      <c r="F9" s="70">
        <v>2013</v>
      </c>
      <c r="G9" s="70">
        <v>2014</v>
      </c>
      <c r="H9" s="69" t="s">
        <v>859</v>
      </c>
      <c r="J9" s="642"/>
      <c r="K9" s="642"/>
      <c r="L9" s="642"/>
    </row>
    <row r="10" spans="2:12" ht="27" customHeight="1" thickBot="1" x14ac:dyDescent="0.3">
      <c r="B10" s="441"/>
      <c r="C10" s="205">
        <v>1</v>
      </c>
      <c r="D10" s="63" t="s">
        <v>986</v>
      </c>
      <c r="E10" s="202"/>
      <c r="F10" s="378"/>
      <c r="G10" s="378"/>
      <c r="H10" s="379"/>
      <c r="J10" s="633" t="s">
        <v>860</v>
      </c>
      <c r="K10" s="633"/>
    </row>
    <row r="11" spans="2:12" ht="27" customHeight="1" x14ac:dyDescent="0.25">
      <c r="B11" s="441"/>
      <c r="C11" s="116">
        <v>2</v>
      </c>
      <c r="D11" s="455" t="s">
        <v>2618</v>
      </c>
      <c r="E11" s="511"/>
      <c r="F11" s="356"/>
      <c r="G11" s="356"/>
      <c r="H11" s="357"/>
      <c r="J11" s="736" t="s">
        <v>987</v>
      </c>
      <c r="K11" s="736"/>
    </row>
    <row r="12" spans="2:12" ht="27" customHeight="1" x14ac:dyDescent="0.25">
      <c r="B12" s="441"/>
      <c r="C12" s="42">
        <v>3</v>
      </c>
      <c r="D12" s="471" t="s">
        <v>2619</v>
      </c>
      <c r="E12" s="448"/>
      <c r="F12" s="358"/>
      <c r="G12" s="358"/>
      <c r="H12" s="359"/>
      <c r="J12" s="737" t="str">
        <f>IF(H10=0, "None", IF(H10&lt;1000, "$"&amp;H10&amp;" Thousand", IF(H10&lt;1000000,"$"&amp;H10/1000&amp;" Million", IF(H10&lt;1000000000,"$"&amp;H10/1000000&amp;" Billion", "Exceed One Trillion Dollars"))))</f>
        <v>None</v>
      </c>
      <c r="K12" s="738"/>
    </row>
    <row r="13" spans="2:12" ht="27" customHeight="1" thickBot="1" x14ac:dyDescent="0.3">
      <c r="B13" s="441"/>
      <c r="C13" s="205">
        <v>4</v>
      </c>
      <c r="D13" s="460" t="s">
        <v>2620</v>
      </c>
      <c r="E13" s="462"/>
      <c r="F13" s="360"/>
      <c r="G13" s="360"/>
      <c r="H13" s="328"/>
    </row>
    <row r="14" spans="2:12" ht="27" customHeight="1" thickBot="1" x14ac:dyDescent="0.3">
      <c r="B14" s="442"/>
      <c r="C14" s="203">
        <v>5</v>
      </c>
      <c r="D14" s="481" t="s">
        <v>988</v>
      </c>
      <c r="E14" s="483"/>
      <c r="F14" s="362">
        <f>SUM(F11:F13)</f>
        <v>0</v>
      </c>
      <c r="G14" s="362">
        <f>SUM(G11:G13)</f>
        <v>0</v>
      </c>
      <c r="H14" s="363">
        <f>SUM(H11:H13)</f>
        <v>0</v>
      </c>
    </row>
    <row r="15" spans="2:12" x14ac:dyDescent="0.25">
      <c r="B15" s="440" t="s">
        <v>37</v>
      </c>
      <c r="C15" s="108"/>
      <c r="D15" s="145"/>
      <c r="E15" s="145"/>
      <c r="F15" s="739" t="s">
        <v>510</v>
      </c>
      <c r="G15" s="740"/>
      <c r="H15" s="741"/>
    </row>
    <row r="16" spans="2:12" x14ac:dyDescent="0.25">
      <c r="B16" s="441"/>
      <c r="C16" s="117"/>
      <c r="D16" s="165"/>
      <c r="E16" s="165"/>
      <c r="F16" s="152">
        <v>2013</v>
      </c>
      <c r="G16" s="70">
        <v>2014</v>
      </c>
      <c r="H16" s="67" t="s">
        <v>859</v>
      </c>
    </row>
    <row r="17" spans="2:8" ht="13.5" thickBot="1" x14ac:dyDescent="0.3">
      <c r="B17" s="441"/>
      <c r="C17" s="203">
        <v>1</v>
      </c>
      <c r="D17" s="581" t="s">
        <v>989</v>
      </c>
      <c r="E17" s="463"/>
      <c r="F17" s="349"/>
      <c r="G17" s="349"/>
      <c r="H17" s="335"/>
    </row>
    <row r="18" spans="2:8" x14ac:dyDescent="0.25">
      <c r="B18" s="441"/>
      <c r="C18" s="116">
        <v>2</v>
      </c>
      <c r="D18" s="682" t="s">
        <v>2621</v>
      </c>
      <c r="E18" s="694"/>
      <c r="F18" s="356"/>
      <c r="G18" s="356"/>
      <c r="H18" s="361"/>
    </row>
    <row r="19" spans="2:8" x14ac:dyDescent="0.25">
      <c r="B19" s="441"/>
      <c r="C19" s="42">
        <v>3</v>
      </c>
      <c r="D19" s="471" t="s">
        <v>2622</v>
      </c>
      <c r="E19" s="447"/>
      <c r="F19" s="358"/>
      <c r="G19" s="358"/>
      <c r="H19" s="327"/>
    </row>
    <row r="20" spans="2:8" x14ac:dyDescent="0.25">
      <c r="B20" s="441"/>
      <c r="C20" s="42">
        <v>4</v>
      </c>
      <c r="D20" s="471" t="s">
        <v>2623</v>
      </c>
      <c r="E20" s="447"/>
      <c r="F20" s="358"/>
      <c r="G20" s="358"/>
      <c r="H20" s="327"/>
    </row>
    <row r="21" spans="2:8" x14ac:dyDescent="0.25">
      <c r="B21" s="441"/>
      <c r="C21" s="42">
        <v>5</v>
      </c>
      <c r="D21" s="471" t="s">
        <v>2624</v>
      </c>
      <c r="E21" s="447"/>
      <c r="F21" s="358"/>
      <c r="G21" s="358"/>
      <c r="H21" s="327"/>
    </row>
    <row r="22" spans="2:8" x14ac:dyDescent="0.25">
      <c r="B22" s="441"/>
      <c r="C22" s="42">
        <v>6</v>
      </c>
      <c r="D22" s="471" t="s">
        <v>2625</v>
      </c>
      <c r="E22" s="447"/>
      <c r="F22" s="358"/>
      <c r="G22" s="358"/>
      <c r="H22" s="327"/>
    </row>
    <row r="23" spans="2:8" x14ac:dyDescent="0.25">
      <c r="B23" s="441"/>
      <c r="C23" s="188">
        <v>7</v>
      </c>
      <c r="D23" s="449" t="s">
        <v>2626</v>
      </c>
      <c r="E23" s="449"/>
      <c r="F23" s="358"/>
      <c r="G23" s="358"/>
      <c r="H23" s="327"/>
    </row>
    <row r="24" spans="2:8" ht="13.5" thickBot="1" x14ac:dyDescent="0.3">
      <c r="B24" s="441"/>
      <c r="C24" s="205">
        <v>8</v>
      </c>
      <c r="D24" s="206" t="s">
        <v>138</v>
      </c>
      <c r="E24" s="319" t="s">
        <v>139</v>
      </c>
      <c r="F24" s="360"/>
      <c r="G24" s="360"/>
      <c r="H24" s="328"/>
    </row>
    <row r="25" spans="2:8" ht="13.5" thickBot="1" x14ac:dyDescent="0.3">
      <c r="B25" s="442"/>
      <c r="C25" s="207">
        <v>9</v>
      </c>
      <c r="D25" s="481" t="s">
        <v>990</v>
      </c>
      <c r="E25" s="483"/>
      <c r="F25" s="364">
        <f>SUM(F18:F24)</f>
        <v>0</v>
      </c>
      <c r="G25" s="364">
        <f>SUM(G18:G24)</f>
        <v>0</v>
      </c>
      <c r="H25" s="365">
        <f>SUM(H18:H24)</f>
        <v>0</v>
      </c>
    </row>
    <row r="26" spans="2:8" ht="13.5" thickBot="1" x14ac:dyDescent="0.3">
      <c r="B26" s="734" t="s">
        <v>2613</v>
      </c>
      <c r="C26" s="463"/>
      <c r="D26" s="463"/>
      <c r="E26" s="463"/>
      <c r="F26" s="463"/>
      <c r="G26" s="463"/>
      <c r="H26" s="735"/>
    </row>
    <row r="27" spans="2:8" ht="27" customHeight="1" x14ac:dyDescent="0.25">
      <c r="B27" s="516" t="s">
        <v>94</v>
      </c>
      <c r="C27" s="517"/>
      <c r="D27" s="517"/>
      <c r="E27" s="537"/>
      <c r="F27" s="538"/>
      <c r="G27" s="538"/>
      <c r="H27" s="539"/>
    </row>
    <row r="28" spans="2:8" x14ac:dyDescent="0.25">
      <c r="B28" s="36"/>
      <c r="C28" s="28"/>
      <c r="D28" s="28"/>
      <c r="E28" s="28"/>
      <c r="F28" s="28"/>
      <c r="G28" s="28"/>
      <c r="H28" s="29"/>
    </row>
    <row r="29" spans="2:8" ht="13.5" thickBot="1" x14ac:dyDescent="0.3">
      <c r="B29" s="390" t="s">
        <v>9</v>
      </c>
      <c r="C29" s="391"/>
      <c r="D29" s="391"/>
      <c r="E29" s="391"/>
      <c r="F29" s="391"/>
      <c r="G29" s="391"/>
      <c r="H29" s="392"/>
    </row>
  </sheetData>
  <sheetProtection password="C288" sheet="1"/>
  <mergeCells count="31">
    <mergeCell ref="B2:D2"/>
    <mergeCell ref="E2:F2"/>
    <mergeCell ref="G4:H4"/>
    <mergeCell ref="F6:H6"/>
    <mergeCell ref="D21:E21"/>
    <mergeCell ref="F8:H8"/>
    <mergeCell ref="C4:E4"/>
    <mergeCell ref="J6:L9"/>
    <mergeCell ref="J10:K10"/>
    <mergeCell ref="J11:K11"/>
    <mergeCell ref="J12:K12"/>
    <mergeCell ref="D23:E23"/>
    <mergeCell ref="D11:E11"/>
    <mergeCell ref="D12:E12"/>
    <mergeCell ref="F15:H15"/>
    <mergeCell ref="D17:E17"/>
    <mergeCell ref="D13:E13"/>
    <mergeCell ref="D18:E18"/>
    <mergeCell ref="D22:E22"/>
    <mergeCell ref="D14:E14"/>
    <mergeCell ref="D20:E20"/>
    <mergeCell ref="B29:H29"/>
    <mergeCell ref="B27:D27"/>
    <mergeCell ref="B8:B14"/>
    <mergeCell ref="B15:B25"/>
    <mergeCell ref="B5:H5"/>
    <mergeCell ref="B26:H26"/>
    <mergeCell ref="F7:H7"/>
    <mergeCell ref="D19:E19"/>
    <mergeCell ref="E27:H27"/>
    <mergeCell ref="D25:E25"/>
  </mergeCells>
  <dataValidations count="5">
    <dataValidation type="list" allowBlank="1" showInputMessage="1" showErrorMessage="1" sqref="F4">
      <formula1>YesNo</formula1>
    </dataValidation>
    <dataValidation type="list" allowBlank="1" showInputMessage="1" showErrorMessage="1" sqref="F6:H6">
      <formula1>Level</formula1>
    </dataValidation>
    <dataValidation type="list" allowBlank="1" showInputMessage="1" showErrorMessage="1" sqref="F7:H7">
      <formula1>YearType</formula1>
    </dataValidation>
    <dataValidation type="decimal" allowBlank="1" showInputMessage="1" showErrorMessage="1" sqref="F17:H17 F10:H10">
      <formula1>-999999999</formula1>
      <formula2>999999999</formula2>
    </dataValidation>
    <dataValidation type="decimal" allowBlank="1" showInputMessage="1" showErrorMessage="1" sqref="F18:H24 F11:H13">
      <formula1>0</formula1>
      <formula2>1</formula2>
    </dataValidation>
  </dataValidations>
  <hyperlinks>
    <hyperlink ref="B2:D2" location="'10'!A1" display="Previous Page"/>
    <hyperlink ref="E2:F2" location="'Table of Contents'!A1" display="Table of Contents"/>
    <hyperlink ref="H2" location="'12'!A1" display="Next Page"/>
  </hyperlinks>
  <printOptions horizontalCentered="1"/>
  <pageMargins left="0.25" right="0.25" top="0.75" bottom="0.75" header="0.3" footer="0.3"/>
  <pageSetup orientation="landscape" verticalDpi="12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30"/>
  <sheetViews>
    <sheetView showGridLines="0" showRowColHeaders="0" workbookViewId="0"/>
  </sheetViews>
  <sheetFormatPr defaultRowHeight="12.75" x14ac:dyDescent="0.25"/>
  <cols>
    <col min="1" max="1" width="9.140625" style="19"/>
    <col min="2" max="2" width="3.7109375" style="19" customWidth="1"/>
    <col min="3" max="4" width="17.7109375" style="19" customWidth="1"/>
    <col min="5" max="7" width="20.7109375" style="19" customWidth="1"/>
    <col min="8" max="16384" width="9.140625" style="19"/>
  </cols>
  <sheetData>
    <row r="1" spans="2:11" ht="13.5" thickBot="1" x14ac:dyDescent="0.3"/>
    <row r="2" spans="2:11" x14ac:dyDescent="0.25">
      <c r="B2" s="493" t="s">
        <v>10</v>
      </c>
      <c r="C2" s="494"/>
      <c r="D2" s="21"/>
      <c r="E2" s="24" t="s">
        <v>11</v>
      </c>
      <c r="F2" s="21"/>
      <c r="G2" s="26" t="s">
        <v>0</v>
      </c>
    </row>
    <row r="3" spans="2:11" ht="13.5" thickBot="1" x14ac:dyDescent="0.3">
      <c r="B3" s="44" t="s">
        <v>991</v>
      </c>
      <c r="C3" s="45"/>
      <c r="D3" s="45"/>
      <c r="E3" s="45"/>
      <c r="F3" s="45"/>
      <c r="G3" s="46"/>
    </row>
    <row r="4" spans="2:11" ht="57" customHeight="1" thickBot="1" x14ac:dyDescent="0.3">
      <c r="B4" s="732" t="s">
        <v>992</v>
      </c>
      <c r="C4" s="435"/>
      <c r="D4" s="435"/>
      <c r="E4" s="435"/>
      <c r="F4" s="435"/>
      <c r="G4" s="733"/>
    </row>
    <row r="5" spans="2:11" x14ac:dyDescent="0.25">
      <c r="B5" s="748" t="s">
        <v>993</v>
      </c>
      <c r="C5" s="664"/>
      <c r="D5" s="749"/>
      <c r="E5" s="723"/>
      <c r="F5" s="723"/>
      <c r="G5" s="724"/>
      <c r="I5" s="642" t="str">
        <f>IF(NOT(ISBLANK($E$5)), IF(AND($E$5&lt;&gt;"Single Corporate Location",$E$5&lt;&gt;"Location"), "Location-based data is STRONGLY preferred. ", ""), "")</f>
        <v/>
      </c>
      <c r="J5" s="642"/>
      <c r="K5" s="642"/>
    </row>
    <row r="6" spans="2:11" x14ac:dyDescent="0.25">
      <c r="B6" s="750" t="s">
        <v>857</v>
      </c>
      <c r="C6" s="521"/>
      <c r="D6" s="522"/>
      <c r="E6" s="587"/>
      <c r="F6" s="588"/>
      <c r="G6" s="638"/>
      <c r="I6" s="642"/>
      <c r="J6" s="642"/>
      <c r="K6" s="642"/>
    </row>
    <row r="7" spans="2:11" x14ac:dyDescent="0.25">
      <c r="B7" s="656" t="s">
        <v>994</v>
      </c>
      <c r="C7" s="465"/>
      <c r="D7" s="466"/>
      <c r="E7" s="745" t="s">
        <v>510</v>
      </c>
      <c r="F7" s="746"/>
      <c r="G7" s="747"/>
      <c r="I7" s="642"/>
      <c r="J7" s="642"/>
      <c r="K7" s="642"/>
    </row>
    <row r="8" spans="2:11" x14ac:dyDescent="0.25">
      <c r="B8" s="484"/>
      <c r="C8" s="467"/>
      <c r="D8" s="657"/>
      <c r="E8" s="152">
        <v>2013</v>
      </c>
      <c r="F8" s="70">
        <v>2014</v>
      </c>
      <c r="G8" s="67" t="s">
        <v>859</v>
      </c>
      <c r="I8" s="642"/>
      <c r="J8" s="642"/>
      <c r="K8" s="642"/>
    </row>
    <row r="9" spans="2:11" x14ac:dyDescent="0.25">
      <c r="B9" s="208" t="s">
        <v>34</v>
      </c>
      <c r="C9" s="683" t="s">
        <v>995</v>
      </c>
      <c r="D9" s="471"/>
      <c r="E9" s="347"/>
      <c r="F9" s="347"/>
      <c r="G9" s="348"/>
      <c r="I9" s="633" t="s">
        <v>860</v>
      </c>
      <c r="J9" s="633"/>
    </row>
    <row r="10" spans="2:11" x14ac:dyDescent="0.25">
      <c r="B10" s="375" t="s">
        <v>35</v>
      </c>
      <c r="C10" s="683" t="s">
        <v>996</v>
      </c>
      <c r="D10" s="471"/>
      <c r="E10" s="347"/>
      <c r="F10" s="347"/>
      <c r="G10" s="348"/>
      <c r="I10" s="634" t="s">
        <v>997</v>
      </c>
      <c r="J10" s="634"/>
    </row>
    <row r="11" spans="2:11" x14ac:dyDescent="0.25">
      <c r="B11" s="375" t="s">
        <v>37</v>
      </c>
      <c r="C11" s="683" t="s">
        <v>998</v>
      </c>
      <c r="D11" s="471"/>
      <c r="E11" s="347"/>
      <c r="F11" s="347"/>
      <c r="G11" s="348"/>
      <c r="I11" s="737" t="str">
        <f>IF(G9=0, "None", IF(G9&lt;1000, "$"&amp;G9&amp;" Thousand", IF(G9&lt;1000000,"$"&amp;G9/1000&amp;" Million", IF(G9&lt;1000000000,"$"&amp;G9/1000000&amp;" Billion", "Exceed One Trillion Dollars"))))</f>
        <v>None</v>
      </c>
      <c r="J11" s="738"/>
    </row>
    <row r="12" spans="2:11" x14ac:dyDescent="0.25">
      <c r="B12" s="27" t="s">
        <v>38</v>
      </c>
      <c r="C12" s="683" t="s">
        <v>999</v>
      </c>
      <c r="D12" s="471"/>
      <c r="E12" s="347"/>
      <c r="F12" s="347"/>
      <c r="G12" s="348"/>
    </row>
    <row r="13" spans="2:11" ht="13.5" thickBot="1" x14ac:dyDescent="0.3">
      <c r="B13" s="376" t="s">
        <v>40</v>
      </c>
      <c r="C13" s="751" t="s">
        <v>1000</v>
      </c>
      <c r="D13" s="460"/>
      <c r="E13" s="349"/>
      <c r="F13" s="349"/>
      <c r="G13" s="335"/>
    </row>
    <row r="14" spans="2:11" x14ac:dyDescent="0.25">
      <c r="B14" s="748" t="s">
        <v>1001</v>
      </c>
      <c r="C14" s="664"/>
      <c r="D14" s="664"/>
      <c r="E14" s="722"/>
      <c r="F14" s="723"/>
      <c r="G14" s="724"/>
      <c r="I14" s="642" t="str">
        <f>IF(NOT(ISBLANK($E$14)), IF(AND($E$14&lt;&gt;"Single Corporate Location",$E$14&lt;&gt;"Location"), "Location-based data is STRONGLY preferred. ", ""), "")</f>
        <v/>
      </c>
      <c r="J14" s="642"/>
      <c r="K14" s="642"/>
    </row>
    <row r="15" spans="2:11" x14ac:dyDescent="0.25">
      <c r="B15" s="757" t="s">
        <v>857</v>
      </c>
      <c r="C15" s="636"/>
      <c r="D15" s="758"/>
      <c r="E15" s="587"/>
      <c r="F15" s="588"/>
      <c r="G15" s="638"/>
      <c r="I15" s="642"/>
      <c r="J15" s="642"/>
      <c r="K15" s="642"/>
    </row>
    <row r="16" spans="2:11" x14ac:dyDescent="0.25">
      <c r="B16" s="656" t="s">
        <v>1002</v>
      </c>
      <c r="C16" s="465"/>
      <c r="D16" s="466"/>
      <c r="E16" s="752" t="s">
        <v>510</v>
      </c>
      <c r="F16" s="753"/>
      <c r="G16" s="754"/>
      <c r="I16" s="642"/>
      <c r="J16" s="642"/>
      <c r="K16" s="642"/>
    </row>
    <row r="17" spans="2:11" x14ac:dyDescent="0.25">
      <c r="B17" s="609"/>
      <c r="C17" s="755"/>
      <c r="D17" s="756"/>
      <c r="E17" s="82">
        <v>2013</v>
      </c>
      <c r="F17" s="70">
        <v>2014</v>
      </c>
      <c r="G17" s="69" t="s">
        <v>859</v>
      </c>
      <c r="I17" s="642"/>
      <c r="J17" s="642"/>
      <c r="K17" s="642"/>
    </row>
    <row r="18" spans="2:11" x14ac:dyDescent="0.25">
      <c r="B18" s="27" t="s">
        <v>34</v>
      </c>
      <c r="C18" s="681" t="s">
        <v>1003</v>
      </c>
      <c r="D18" s="759"/>
      <c r="E18" s="347"/>
      <c r="F18" s="347"/>
      <c r="G18" s="348"/>
    </row>
    <row r="19" spans="2:11" x14ac:dyDescent="0.25">
      <c r="B19" s="377" t="s">
        <v>35</v>
      </c>
      <c r="C19" s="683" t="s">
        <v>1004</v>
      </c>
      <c r="D19" s="471"/>
      <c r="E19" s="347"/>
      <c r="F19" s="347"/>
      <c r="G19" s="348"/>
    </row>
    <row r="20" spans="2:11" x14ac:dyDescent="0.25">
      <c r="B20" s="377" t="s">
        <v>37</v>
      </c>
      <c r="C20" s="683" t="s">
        <v>1005</v>
      </c>
      <c r="D20" s="471"/>
      <c r="E20" s="347"/>
      <c r="F20" s="347"/>
      <c r="G20" s="348"/>
    </row>
    <row r="21" spans="2:11" x14ac:dyDescent="0.25">
      <c r="B21" s="377" t="s">
        <v>38</v>
      </c>
      <c r="C21" s="683" t="s">
        <v>1006</v>
      </c>
      <c r="D21" s="471"/>
      <c r="E21" s="347"/>
      <c r="F21" s="347"/>
      <c r="G21" s="348"/>
    </row>
    <row r="22" spans="2:11" x14ac:dyDescent="0.25">
      <c r="B22" s="377" t="s">
        <v>40</v>
      </c>
      <c r="C22" s="683" t="s">
        <v>1007</v>
      </c>
      <c r="D22" s="471"/>
      <c r="E22" s="347"/>
      <c r="F22" s="347"/>
      <c r="G22" s="348"/>
    </row>
    <row r="23" spans="2:11" x14ac:dyDescent="0.25">
      <c r="B23" s="377" t="s">
        <v>42</v>
      </c>
      <c r="C23" s="683" t="s">
        <v>1008</v>
      </c>
      <c r="D23" s="471"/>
      <c r="E23" s="347"/>
      <c r="F23" s="347"/>
      <c r="G23" s="348"/>
    </row>
    <row r="24" spans="2:11" x14ac:dyDescent="0.25">
      <c r="B24" s="377" t="s">
        <v>43</v>
      </c>
      <c r="C24" s="683" t="s">
        <v>1009</v>
      </c>
      <c r="D24" s="471"/>
      <c r="E24" s="347"/>
      <c r="F24" s="347"/>
      <c r="G24" s="348"/>
    </row>
    <row r="25" spans="2:11" ht="13.5" thickBot="1" x14ac:dyDescent="0.3">
      <c r="B25" s="376" t="s">
        <v>47</v>
      </c>
      <c r="C25" s="751" t="s">
        <v>1010</v>
      </c>
      <c r="D25" s="460"/>
      <c r="E25" s="349"/>
      <c r="F25" s="349"/>
      <c r="G25" s="335"/>
    </row>
    <row r="26" spans="2:11" ht="18" customHeight="1" thickBot="1" x14ac:dyDescent="0.3">
      <c r="B26" s="688" t="s">
        <v>2613</v>
      </c>
      <c r="C26" s="482"/>
      <c r="D26" s="482"/>
      <c r="E26" s="482"/>
      <c r="F26" s="482"/>
      <c r="G26" s="689"/>
    </row>
    <row r="27" spans="2:11" ht="22.5" customHeight="1" thickBot="1" x14ac:dyDescent="0.3">
      <c r="B27" s="688" t="s">
        <v>1011</v>
      </c>
      <c r="C27" s="482"/>
      <c r="D27" s="482"/>
      <c r="E27" s="482"/>
      <c r="F27" s="482"/>
      <c r="G27" s="689"/>
    </row>
    <row r="28" spans="2:11" ht="27.75" customHeight="1" x14ac:dyDescent="0.25">
      <c r="B28" s="516" t="s">
        <v>94</v>
      </c>
      <c r="C28" s="518"/>
      <c r="D28" s="537"/>
      <c r="E28" s="538"/>
      <c r="F28" s="538"/>
      <c r="G28" s="539"/>
    </row>
    <row r="29" spans="2:11" x14ac:dyDescent="0.25">
      <c r="B29" s="36"/>
      <c r="C29" s="28"/>
      <c r="D29" s="77"/>
      <c r="E29" s="77"/>
      <c r="F29" s="77"/>
      <c r="G29" s="106"/>
    </row>
    <row r="30" spans="2:11" ht="13.5" thickBot="1" x14ac:dyDescent="0.3">
      <c r="B30" s="390" t="s">
        <v>9</v>
      </c>
      <c r="C30" s="391"/>
      <c r="D30" s="391"/>
      <c r="E30" s="391"/>
      <c r="F30" s="391"/>
      <c r="G30" s="392"/>
    </row>
  </sheetData>
  <sheetProtection password="C288" sheet="1"/>
  <mergeCells count="37">
    <mergeCell ref="C12:D12"/>
    <mergeCell ref="C13:D13"/>
    <mergeCell ref="C18:D18"/>
    <mergeCell ref="C19:D19"/>
    <mergeCell ref="C20:D20"/>
    <mergeCell ref="C21:D21"/>
    <mergeCell ref="B30:G30"/>
    <mergeCell ref="E14:G14"/>
    <mergeCell ref="E15:G15"/>
    <mergeCell ref="C23:D23"/>
    <mergeCell ref="C24:D24"/>
    <mergeCell ref="C25:D25"/>
    <mergeCell ref="E16:G16"/>
    <mergeCell ref="B16:D17"/>
    <mergeCell ref="B14:D14"/>
    <mergeCell ref="B15:D15"/>
    <mergeCell ref="C22:D22"/>
    <mergeCell ref="B26:G26"/>
    <mergeCell ref="B27:G27"/>
    <mergeCell ref="B28:C28"/>
    <mergeCell ref="D28:G28"/>
    <mergeCell ref="I5:K8"/>
    <mergeCell ref="I14:K17"/>
    <mergeCell ref="B2:C2"/>
    <mergeCell ref="B4:G4"/>
    <mergeCell ref="B5:D5"/>
    <mergeCell ref="B6:D6"/>
    <mergeCell ref="E5:G5"/>
    <mergeCell ref="E6:G6"/>
    <mergeCell ref="I9:J9"/>
    <mergeCell ref="I10:J10"/>
    <mergeCell ref="E7:G7"/>
    <mergeCell ref="B7:D8"/>
    <mergeCell ref="C9:D9"/>
    <mergeCell ref="C10:D10"/>
    <mergeCell ref="C11:D11"/>
    <mergeCell ref="I11:J11"/>
  </mergeCells>
  <conditionalFormatting sqref="B27:G27">
    <cfRule type="expression" dxfId="0" priority="1" stopIfTrue="1">
      <formula>IF(AND(NOT(ISBLANK($E$21)), NOT(ISBLANK($E$23)), NOT(ISBLANK($E$25))), IF(SUM($E$21:$G$21)&lt;&gt;SUM($E$23:$G$23,$E$25:$G$25), TRUE, FALSE))</formula>
    </cfRule>
  </conditionalFormatting>
  <dataValidations disablePrompts="1" count="3">
    <dataValidation type="list" allowBlank="1" showInputMessage="1" showErrorMessage="1" sqref="E14:G14 E5:G5">
      <formula1>Level</formula1>
    </dataValidation>
    <dataValidation type="list" allowBlank="1" showInputMessage="1" showErrorMessage="1" sqref="E15:G15 E6:G6">
      <formula1>YearType</formula1>
    </dataValidation>
    <dataValidation type="decimal" allowBlank="1" showInputMessage="1" showErrorMessage="1" sqref="E18:G25 E9:G13">
      <formula1>-999999999</formula1>
      <formula2>999999999</formula2>
    </dataValidation>
  </dataValidations>
  <hyperlinks>
    <hyperlink ref="B2:C2" location="'11'!A1" display="Previous Page"/>
    <hyperlink ref="E2" location="'Table of Contents'!A1" display="Table of Contents"/>
    <hyperlink ref="G2" location="'13'!A1" display="Next Page"/>
  </hyperlinks>
  <printOptions horizontalCentered="1"/>
  <pageMargins left="0.25" right="0.25" top="0.75" bottom="0.75" header="0.3" footer="0.3"/>
  <pageSetup orientation="landscape" verticalDpi="12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44"/>
  <sheetViews>
    <sheetView showGridLines="0" showRowColHeaders="0" workbookViewId="0"/>
  </sheetViews>
  <sheetFormatPr defaultRowHeight="12.75" x14ac:dyDescent="0.25"/>
  <cols>
    <col min="1" max="1" width="9.140625" style="19"/>
    <col min="2" max="2" width="3.7109375" style="19" customWidth="1"/>
    <col min="3" max="3" width="11.28515625" style="19" customWidth="1"/>
    <col min="4" max="4" width="39.28515625" style="19" customWidth="1"/>
    <col min="5" max="7" width="8.42578125" style="19" customWidth="1"/>
    <col min="8" max="8" width="46.28515625" style="19" customWidth="1"/>
    <col min="9" max="9" width="8.7109375" style="19" customWidth="1"/>
    <col min="10" max="16384" width="9.140625" style="19"/>
  </cols>
  <sheetData>
    <row r="1" spans="2:9" ht="13.5" thickBot="1" x14ac:dyDescent="0.3"/>
    <row r="2" spans="2:9" x14ac:dyDescent="0.25">
      <c r="B2" s="493" t="s">
        <v>10</v>
      </c>
      <c r="C2" s="494"/>
      <c r="D2" s="21"/>
      <c r="E2" s="405" t="s">
        <v>11</v>
      </c>
      <c r="F2" s="405"/>
      <c r="G2" s="21"/>
      <c r="H2" s="21"/>
      <c r="I2" s="26" t="s">
        <v>0</v>
      </c>
    </row>
    <row r="3" spans="2:9" ht="13.5" thickBot="1" x14ac:dyDescent="0.3">
      <c r="B3" s="44" t="s">
        <v>1012</v>
      </c>
      <c r="C3" s="45"/>
      <c r="D3" s="45"/>
      <c r="E3" s="45"/>
      <c r="F3" s="45"/>
      <c r="G3" s="45"/>
      <c r="H3" s="45"/>
      <c r="I3" s="46"/>
    </row>
    <row r="4" spans="2:9" ht="57.75" customHeight="1" x14ac:dyDescent="0.25">
      <c r="B4" s="440" t="s">
        <v>34</v>
      </c>
      <c r="C4" s="489" t="s">
        <v>1013</v>
      </c>
      <c r="D4" s="490"/>
      <c r="E4" s="490"/>
      <c r="F4" s="490"/>
      <c r="G4" s="490"/>
      <c r="H4" s="490"/>
      <c r="I4" s="586"/>
    </row>
    <row r="5" spans="2:9" x14ac:dyDescent="0.25">
      <c r="B5" s="441"/>
      <c r="C5" s="467" t="s">
        <v>1014</v>
      </c>
      <c r="D5" s="467"/>
      <c r="E5" s="467"/>
      <c r="F5" s="113" t="s">
        <v>185</v>
      </c>
      <c r="G5" s="37" t="s">
        <v>187</v>
      </c>
      <c r="H5" s="211" t="s">
        <v>189</v>
      </c>
      <c r="I5" s="474"/>
    </row>
    <row r="6" spans="2:9" ht="26.25" customHeight="1" x14ac:dyDescent="0.25">
      <c r="B6" s="441"/>
      <c r="C6" s="467"/>
      <c r="D6" s="467"/>
      <c r="E6" s="467"/>
      <c r="F6" s="79" t="s">
        <v>1015</v>
      </c>
      <c r="G6" s="80" t="s">
        <v>1016</v>
      </c>
      <c r="H6" s="210" t="s">
        <v>1017</v>
      </c>
      <c r="I6" s="474"/>
    </row>
    <row r="7" spans="2:9" x14ac:dyDescent="0.25">
      <c r="B7" s="441"/>
      <c r="C7" s="447" t="s">
        <v>1018</v>
      </c>
      <c r="D7" s="447"/>
      <c r="E7" s="447"/>
      <c r="F7" s="230"/>
      <c r="G7" s="230"/>
      <c r="H7" s="279"/>
      <c r="I7" s="474"/>
    </row>
    <row r="8" spans="2:9" x14ac:dyDescent="0.25">
      <c r="B8" s="441"/>
      <c r="C8" s="565" t="s">
        <v>1019</v>
      </c>
      <c r="D8" s="683"/>
      <c r="E8" s="471"/>
      <c r="F8" s="230"/>
      <c r="G8" s="230"/>
      <c r="H8" s="279"/>
      <c r="I8" s="474"/>
    </row>
    <row r="9" spans="2:9" x14ac:dyDescent="0.25">
      <c r="B9" s="441"/>
      <c r="C9" s="565" t="s">
        <v>1020</v>
      </c>
      <c r="D9" s="683"/>
      <c r="E9" s="471"/>
      <c r="F9" s="230"/>
      <c r="G9" s="230"/>
      <c r="H9" s="279"/>
      <c r="I9" s="474"/>
    </row>
    <row r="10" spans="2:9" x14ac:dyDescent="0.25">
      <c r="B10" s="441"/>
      <c r="C10" s="565" t="s">
        <v>1021</v>
      </c>
      <c r="D10" s="683"/>
      <c r="E10" s="471"/>
      <c r="F10" s="230"/>
      <c r="G10" s="230"/>
      <c r="H10" s="279"/>
      <c r="I10" s="474"/>
    </row>
    <row r="11" spans="2:9" x14ac:dyDescent="0.25">
      <c r="B11" s="441"/>
      <c r="C11" s="565" t="s">
        <v>1022</v>
      </c>
      <c r="D11" s="683"/>
      <c r="E11" s="471"/>
      <c r="F11" s="230"/>
      <c r="G11" s="230"/>
      <c r="H11" s="279"/>
      <c r="I11" s="474"/>
    </row>
    <row r="12" spans="2:9" x14ac:dyDescent="0.25">
      <c r="B12" s="441"/>
      <c r="C12" s="565" t="s">
        <v>1023</v>
      </c>
      <c r="D12" s="683"/>
      <c r="E12" s="471"/>
      <c r="F12" s="230"/>
      <c r="G12" s="230"/>
      <c r="H12" s="279"/>
      <c r="I12" s="474"/>
    </row>
    <row r="13" spans="2:9" x14ac:dyDescent="0.25">
      <c r="B13" s="441"/>
      <c r="C13" s="565" t="s">
        <v>1024</v>
      </c>
      <c r="D13" s="683"/>
      <c r="E13" s="471"/>
      <c r="F13" s="230"/>
      <c r="G13" s="230"/>
      <c r="H13" s="279"/>
      <c r="I13" s="474"/>
    </row>
    <row r="14" spans="2:9" x14ac:dyDescent="0.25">
      <c r="B14" s="441"/>
      <c r="C14" s="565" t="s">
        <v>1025</v>
      </c>
      <c r="D14" s="683"/>
      <c r="E14" s="471"/>
      <c r="F14" s="230"/>
      <c r="G14" s="230"/>
      <c r="H14" s="279"/>
      <c r="I14" s="474"/>
    </row>
    <row r="15" spans="2:9" x14ac:dyDescent="0.25">
      <c r="B15" s="441"/>
      <c r="C15" s="565" t="s">
        <v>1026</v>
      </c>
      <c r="D15" s="683"/>
      <c r="E15" s="471"/>
      <c r="F15" s="230"/>
      <c r="G15" s="230"/>
      <c r="H15" s="279"/>
      <c r="I15" s="474"/>
    </row>
    <row r="16" spans="2:9" x14ac:dyDescent="0.25">
      <c r="B16" s="441"/>
      <c r="C16" s="565" t="s">
        <v>1027</v>
      </c>
      <c r="D16" s="683"/>
      <c r="E16" s="471"/>
      <c r="F16" s="230"/>
      <c r="G16" s="230"/>
      <c r="H16" s="279"/>
      <c r="I16" s="474"/>
    </row>
    <row r="17" spans="2:9" x14ac:dyDescent="0.25">
      <c r="B17" s="441"/>
      <c r="C17" s="565" t="s">
        <v>1028</v>
      </c>
      <c r="D17" s="683"/>
      <c r="E17" s="471"/>
      <c r="F17" s="230"/>
      <c r="G17" s="230"/>
      <c r="H17" s="279"/>
      <c r="I17" s="474"/>
    </row>
    <row r="18" spans="2:9" x14ac:dyDescent="0.25">
      <c r="B18" s="441"/>
      <c r="C18" s="565" t="s">
        <v>1029</v>
      </c>
      <c r="D18" s="683"/>
      <c r="E18" s="471"/>
      <c r="F18" s="230"/>
      <c r="G18" s="230"/>
      <c r="H18" s="279"/>
      <c r="I18" s="474"/>
    </row>
    <row r="19" spans="2:9" x14ac:dyDescent="0.25">
      <c r="B19" s="441"/>
      <c r="C19" s="565" t="s">
        <v>1030</v>
      </c>
      <c r="D19" s="683"/>
      <c r="E19" s="471"/>
      <c r="F19" s="230"/>
      <c r="G19" s="230"/>
      <c r="H19" s="279"/>
      <c r="I19" s="474"/>
    </row>
    <row r="20" spans="2:9" x14ac:dyDescent="0.25">
      <c r="B20" s="441"/>
      <c r="C20" s="565" t="s">
        <v>1031</v>
      </c>
      <c r="D20" s="683"/>
      <c r="E20" s="471"/>
      <c r="F20" s="230"/>
      <c r="G20" s="230"/>
      <c r="H20" s="279"/>
      <c r="I20" s="474"/>
    </row>
    <row r="21" spans="2:9" x14ac:dyDescent="0.25">
      <c r="B21" s="441"/>
      <c r="C21" s="565" t="s">
        <v>1032</v>
      </c>
      <c r="D21" s="683"/>
      <c r="E21" s="471"/>
      <c r="F21" s="230"/>
      <c r="G21" s="230"/>
      <c r="H21" s="279"/>
      <c r="I21" s="474"/>
    </row>
    <row r="22" spans="2:9" x14ac:dyDescent="0.25">
      <c r="B22" s="441"/>
      <c r="C22" s="565" t="s">
        <v>1033</v>
      </c>
      <c r="D22" s="683"/>
      <c r="E22" s="471"/>
      <c r="F22" s="230"/>
      <c r="G22" s="230"/>
      <c r="H22" s="279"/>
      <c r="I22" s="474"/>
    </row>
    <row r="23" spans="2:9" x14ac:dyDescent="0.25">
      <c r="B23" s="441"/>
      <c r="C23" s="565" t="s">
        <v>1034</v>
      </c>
      <c r="D23" s="683"/>
      <c r="E23" s="471"/>
      <c r="F23" s="230"/>
      <c r="G23" s="230"/>
      <c r="H23" s="279"/>
      <c r="I23" s="474"/>
    </row>
    <row r="24" spans="2:9" x14ac:dyDescent="0.25">
      <c r="B24" s="441"/>
      <c r="C24" s="565" t="s">
        <v>1035</v>
      </c>
      <c r="D24" s="683"/>
      <c r="E24" s="471"/>
      <c r="F24" s="230"/>
      <c r="G24" s="230"/>
      <c r="H24" s="279"/>
      <c r="I24" s="474"/>
    </row>
    <row r="25" spans="2:9" x14ac:dyDescent="0.25">
      <c r="B25" s="441"/>
      <c r="C25" s="565" t="s">
        <v>1036</v>
      </c>
      <c r="D25" s="683"/>
      <c r="E25" s="471"/>
      <c r="F25" s="230"/>
      <c r="G25" s="230"/>
      <c r="H25" s="279"/>
      <c r="I25" s="474"/>
    </row>
    <row r="26" spans="2:9" x14ac:dyDescent="0.25">
      <c r="B26" s="441"/>
      <c r="C26" s="565" t="s">
        <v>1037</v>
      </c>
      <c r="D26" s="683"/>
      <c r="E26" s="471"/>
      <c r="F26" s="230"/>
      <c r="G26" s="230"/>
      <c r="H26" s="279"/>
      <c r="I26" s="474"/>
    </row>
    <row r="27" spans="2:9" x14ac:dyDescent="0.25">
      <c r="B27" s="441"/>
      <c r="C27" s="565" t="s">
        <v>1038</v>
      </c>
      <c r="D27" s="683"/>
      <c r="E27" s="471"/>
      <c r="F27" s="230"/>
      <c r="G27" s="230"/>
      <c r="H27" s="279"/>
      <c r="I27" s="474"/>
    </row>
    <row r="28" spans="2:9" x14ac:dyDescent="0.25">
      <c r="B28" s="441"/>
      <c r="C28" s="565" t="s">
        <v>1039</v>
      </c>
      <c r="D28" s="683"/>
      <c r="E28" s="471"/>
      <c r="F28" s="230"/>
      <c r="G28" s="230"/>
      <c r="H28" s="279"/>
      <c r="I28" s="474"/>
    </row>
    <row r="29" spans="2:9" x14ac:dyDescent="0.25">
      <c r="B29" s="441"/>
      <c r="C29" s="565" t="s">
        <v>1040</v>
      </c>
      <c r="D29" s="683"/>
      <c r="E29" s="471"/>
      <c r="F29" s="230"/>
      <c r="G29" s="230"/>
      <c r="H29" s="279"/>
      <c r="I29" s="474"/>
    </row>
    <row r="30" spans="2:9" x14ac:dyDescent="0.25">
      <c r="B30" s="441"/>
      <c r="C30" s="565" t="s">
        <v>1041</v>
      </c>
      <c r="D30" s="683"/>
      <c r="E30" s="471"/>
      <c r="F30" s="230"/>
      <c r="G30" s="230"/>
      <c r="H30" s="279"/>
      <c r="I30" s="474"/>
    </row>
    <row r="31" spans="2:9" x14ac:dyDescent="0.25">
      <c r="B31" s="441"/>
      <c r="C31" s="565" t="s">
        <v>1042</v>
      </c>
      <c r="D31" s="684"/>
      <c r="E31" s="450"/>
      <c r="F31" s="230"/>
      <c r="G31" s="230"/>
      <c r="H31" s="279"/>
      <c r="I31" s="474"/>
    </row>
    <row r="32" spans="2:9" ht="13.5" thickBot="1" x14ac:dyDescent="0.3">
      <c r="B32" s="442"/>
      <c r="C32" s="63" t="s">
        <v>138</v>
      </c>
      <c r="D32" s="639" t="s">
        <v>139</v>
      </c>
      <c r="E32" s="671"/>
      <c r="F32" s="234"/>
      <c r="G32" s="234"/>
      <c r="H32" s="280"/>
      <c r="I32" s="585"/>
    </row>
    <row r="33" spans="2:10" ht="42" customHeight="1" x14ac:dyDescent="0.25">
      <c r="B33" s="437" t="s">
        <v>35</v>
      </c>
      <c r="C33" s="629" t="s">
        <v>1043</v>
      </c>
      <c r="D33" s="496"/>
      <c r="E33" s="496"/>
      <c r="F33" s="496"/>
      <c r="G33" s="496"/>
      <c r="H33" s="496"/>
      <c r="I33" s="497"/>
    </row>
    <row r="34" spans="2:10" ht="27" customHeight="1" x14ac:dyDescent="0.25">
      <c r="B34" s="484"/>
      <c r="C34" s="532" t="s">
        <v>1044</v>
      </c>
      <c r="D34" s="760"/>
      <c r="E34" s="230"/>
      <c r="F34" s="765" t="s">
        <v>1045</v>
      </c>
      <c r="G34" s="766"/>
      <c r="H34" s="532"/>
      <c r="I34" s="224"/>
      <c r="J34" s="28"/>
    </row>
    <row r="35" spans="2:10" ht="27" customHeight="1" x14ac:dyDescent="0.25">
      <c r="B35" s="484"/>
      <c r="C35" s="532" t="s">
        <v>67</v>
      </c>
      <c r="D35" s="760"/>
      <c r="E35" s="230"/>
      <c r="F35" s="765" t="s">
        <v>1046</v>
      </c>
      <c r="G35" s="766"/>
      <c r="H35" s="532"/>
      <c r="I35" s="224"/>
    </row>
    <row r="36" spans="2:10" ht="27" customHeight="1" x14ac:dyDescent="0.25">
      <c r="B36" s="484"/>
      <c r="C36" s="532" t="s">
        <v>1047</v>
      </c>
      <c r="D36" s="760"/>
      <c r="E36" s="230"/>
      <c r="F36" s="765" t="s">
        <v>1048</v>
      </c>
      <c r="G36" s="766"/>
      <c r="H36" s="532"/>
      <c r="I36" s="224"/>
    </row>
    <row r="37" spans="2:10" ht="27" customHeight="1" x14ac:dyDescent="0.25">
      <c r="B37" s="484"/>
      <c r="C37" s="532" t="s">
        <v>1049</v>
      </c>
      <c r="D37" s="760"/>
      <c r="E37" s="230"/>
      <c r="F37" s="765" t="s">
        <v>1050</v>
      </c>
      <c r="G37" s="766"/>
      <c r="H37" s="532"/>
      <c r="I37" s="224"/>
    </row>
    <row r="38" spans="2:10" ht="27" customHeight="1" x14ac:dyDescent="0.25">
      <c r="B38" s="484"/>
      <c r="C38" s="532" t="s">
        <v>1051</v>
      </c>
      <c r="D38" s="760"/>
      <c r="E38" s="230"/>
      <c r="F38" s="765" t="s">
        <v>1052</v>
      </c>
      <c r="G38" s="766"/>
      <c r="H38" s="532"/>
      <c r="I38" s="224"/>
    </row>
    <row r="39" spans="2:10" ht="27" customHeight="1" x14ac:dyDescent="0.25">
      <c r="B39" s="484"/>
      <c r="C39" s="532" t="s">
        <v>1053</v>
      </c>
      <c r="D39" s="760"/>
      <c r="E39" s="230"/>
      <c r="F39" s="765" t="s">
        <v>1054</v>
      </c>
      <c r="G39" s="766"/>
      <c r="H39" s="532"/>
      <c r="I39" s="224"/>
    </row>
    <row r="40" spans="2:10" ht="27" customHeight="1" x14ac:dyDescent="0.25">
      <c r="B40" s="484"/>
      <c r="C40" s="532" t="s">
        <v>1055</v>
      </c>
      <c r="D40" s="760"/>
      <c r="E40" s="230"/>
      <c r="F40" s="765" t="s">
        <v>1056</v>
      </c>
      <c r="G40" s="766"/>
      <c r="H40" s="532"/>
      <c r="I40" s="224"/>
    </row>
    <row r="41" spans="2:10" ht="27" customHeight="1" thickBot="1" x14ac:dyDescent="0.3">
      <c r="B41" s="485"/>
      <c r="C41" s="763" t="s">
        <v>1057</v>
      </c>
      <c r="D41" s="764"/>
      <c r="E41" s="234"/>
      <c r="F41" s="761" t="s">
        <v>1058</v>
      </c>
      <c r="G41" s="762"/>
      <c r="H41" s="763"/>
      <c r="I41" s="229"/>
    </row>
    <row r="42" spans="2:10" ht="30" customHeight="1" x14ac:dyDescent="0.25">
      <c r="B42" s="437" t="s">
        <v>94</v>
      </c>
      <c r="C42" s="438"/>
      <c r="D42" s="438"/>
      <c r="E42" s="537"/>
      <c r="F42" s="538"/>
      <c r="G42" s="538"/>
      <c r="H42" s="538"/>
      <c r="I42" s="539"/>
    </row>
    <row r="43" spans="2:10" x14ac:dyDescent="0.25">
      <c r="B43" s="64"/>
      <c r="C43" s="77"/>
      <c r="D43" s="77"/>
      <c r="E43" s="28"/>
      <c r="F43" s="28"/>
      <c r="G43" s="28"/>
      <c r="H43" s="28"/>
      <c r="I43" s="29"/>
    </row>
    <row r="44" spans="2:10" ht="13.5" thickBot="1" x14ac:dyDescent="0.3">
      <c r="B44" s="390" t="s">
        <v>9</v>
      </c>
      <c r="C44" s="391"/>
      <c r="D44" s="391"/>
      <c r="E44" s="391"/>
      <c r="F44" s="391"/>
      <c r="G44" s="391"/>
      <c r="H44" s="391"/>
      <c r="I44" s="392"/>
    </row>
  </sheetData>
  <sheetProtection password="C288" sheet="1"/>
  <mergeCells count="53">
    <mergeCell ref="B44:I44"/>
    <mergeCell ref="F41:H41"/>
    <mergeCell ref="C33:I33"/>
    <mergeCell ref="I5:I32"/>
    <mergeCell ref="B42:D42"/>
    <mergeCell ref="E42:I42"/>
    <mergeCell ref="C39:D39"/>
    <mergeCell ref="C40:D40"/>
    <mergeCell ref="C41:D41"/>
    <mergeCell ref="F34:H34"/>
    <mergeCell ref="F35:H35"/>
    <mergeCell ref="F36:H36"/>
    <mergeCell ref="F37:H37"/>
    <mergeCell ref="F38:H38"/>
    <mergeCell ref="F39:H39"/>
    <mergeCell ref="F40:H40"/>
    <mergeCell ref="C30:E30"/>
    <mergeCell ref="C31:E31"/>
    <mergeCell ref="D32:E32"/>
    <mergeCell ref="B33:B41"/>
    <mergeCell ref="C34:D34"/>
    <mergeCell ref="C35:D35"/>
    <mergeCell ref="C36:D36"/>
    <mergeCell ref="C37:D37"/>
    <mergeCell ref="C38:D38"/>
    <mergeCell ref="C29:E29"/>
    <mergeCell ref="C18:E18"/>
    <mergeCell ref="C19:E19"/>
    <mergeCell ref="C20:E20"/>
    <mergeCell ref="C21:E21"/>
    <mergeCell ref="C22:E22"/>
    <mergeCell ref="C23:E23"/>
    <mergeCell ref="C24:E24"/>
    <mergeCell ref="C25:E25"/>
    <mergeCell ref="C26:E26"/>
    <mergeCell ref="C27:E27"/>
    <mergeCell ref="C28:E28"/>
    <mergeCell ref="C17:E17"/>
    <mergeCell ref="B2:C2"/>
    <mergeCell ref="E2:F2"/>
    <mergeCell ref="C4:I4"/>
    <mergeCell ref="B4:B32"/>
    <mergeCell ref="C5:E6"/>
    <mergeCell ref="C7:E7"/>
    <mergeCell ref="C8:E8"/>
    <mergeCell ref="C9:E9"/>
    <mergeCell ref="C10:E10"/>
    <mergeCell ref="C11:E11"/>
    <mergeCell ref="C12:E12"/>
    <mergeCell ref="C13:E13"/>
    <mergeCell ref="C14:E14"/>
    <mergeCell ref="C15:E15"/>
    <mergeCell ref="C16:E16"/>
  </mergeCells>
  <dataValidations count="2">
    <dataValidation type="list" allowBlank="1" showInputMessage="1" showErrorMessage="1" sqref="I34:I41 E34:E41 F7:F32">
      <formula1>YesNo</formula1>
    </dataValidation>
    <dataValidation type="custom" allowBlank="1" showInputMessage="1" showErrorMessage="1" sqref="G7:G32">
      <formula1>AND(COUNTIF($G$7:$G$32, G7)&lt;=1, G7&gt;0, G7&lt;=5)</formula1>
    </dataValidation>
  </dataValidations>
  <hyperlinks>
    <hyperlink ref="B2:C2" location="'12'!A1" display="Previous Page"/>
    <hyperlink ref="E2:F2" location="'Table of Contents'!A1" display="Table of Contents"/>
    <hyperlink ref="I2" location="'14'!A1" display="Next Page"/>
  </hyperlinks>
  <printOptions horizontalCentered="1"/>
  <pageMargins left="0.25" right="0.25" top="0.75" bottom="0.75" header="0.3" footer="0.3"/>
  <pageSetup scale="67" orientation="landscape" verticalDpi="12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0"/>
  <sheetViews>
    <sheetView showGridLines="0" showRowColHeaders="0" workbookViewId="0"/>
  </sheetViews>
  <sheetFormatPr defaultRowHeight="12.75" x14ac:dyDescent="0.25"/>
  <cols>
    <col min="1" max="1" width="9.140625" style="19"/>
    <col min="2" max="2" width="45.42578125" style="19" customWidth="1"/>
    <col min="3" max="3" width="35.28515625" style="19" customWidth="1"/>
    <col min="4" max="4" width="40.42578125" style="19" customWidth="1"/>
    <col min="5" max="5" width="9.140625" style="19"/>
    <col min="6" max="6" width="89.7109375" style="19" customWidth="1"/>
    <col min="7" max="26" width="9.140625" style="19"/>
    <col min="27" max="27" width="28.42578125" style="19" customWidth="1"/>
    <col min="28" max="16384" width="9.140625" style="19"/>
  </cols>
  <sheetData>
    <row r="1" spans="2:29" ht="13.5" thickBot="1" x14ac:dyDescent="0.3">
      <c r="AA1" s="19" t="s">
        <v>1059</v>
      </c>
      <c r="AC1" s="366">
        <f>'D-13b-14-Comments'!BT2</f>
        <v>0</v>
      </c>
    </row>
    <row r="2" spans="2:29" ht="13.5" thickBot="1" x14ac:dyDescent="0.3">
      <c r="B2" s="23" t="s">
        <v>10</v>
      </c>
      <c r="C2" s="25" t="s">
        <v>11</v>
      </c>
      <c r="D2" s="22"/>
      <c r="AA2" s="19" t="s">
        <v>1059</v>
      </c>
    </row>
    <row r="3" spans="2:29" ht="13.5" thickBot="1" x14ac:dyDescent="0.3">
      <c r="B3" s="767" t="s">
        <v>1060</v>
      </c>
      <c r="C3" s="768"/>
      <c r="D3" s="769"/>
      <c r="AA3" s="19" t="s">
        <v>1059</v>
      </c>
    </row>
    <row r="4" spans="2:29" ht="64.5" customHeight="1" x14ac:dyDescent="0.25">
      <c r="B4" s="557" t="s">
        <v>1061</v>
      </c>
      <c r="C4" s="558"/>
      <c r="D4" s="566"/>
      <c r="AA4" s="19" t="s">
        <v>1062</v>
      </c>
    </row>
    <row r="5" spans="2:29" x14ac:dyDescent="0.25">
      <c r="B5" s="212" t="s">
        <v>45</v>
      </c>
      <c r="C5" s="59"/>
      <c r="D5" s="61"/>
    </row>
    <row r="6" spans="2:29" ht="6" customHeight="1" x14ac:dyDescent="0.25">
      <c r="B6" s="91"/>
      <c r="C6" s="59"/>
      <c r="D6" s="61"/>
    </row>
    <row r="7" spans="2:29" x14ac:dyDescent="0.25">
      <c r="B7" s="163" t="s">
        <v>97</v>
      </c>
      <c r="C7" s="451"/>
      <c r="D7" s="452"/>
      <c r="F7" s="19" t="str">
        <f>IF(AND(Q1a_A_LocOrgName&lt;&gt;0, ISBLANK(Q2_A_TotalAcq)), "Section 2 may not have been fully completed; please verify this section is complete", "")</f>
        <v/>
      </c>
    </row>
    <row r="8" spans="2:29" x14ac:dyDescent="0.25">
      <c r="B8" s="163" t="s">
        <v>98</v>
      </c>
      <c r="C8" s="451"/>
      <c r="D8" s="452"/>
      <c r="F8" s="19" t="str">
        <f>IF(AND(Q1a_A_LocOrgName&lt;&gt;0, ISERROR(VLOOKUP("yes", '3a'!$I$6:$I$30, 1, FALSE))), "In Section 3a no product/service categories have been selected; please complete this section", "")</f>
        <v/>
      </c>
      <c r="AA8" s="19" t="s">
        <v>1063</v>
      </c>
      <c r="AB8" s="19" t="str">
        <f>IF(ISERROR(IF(OR((Q7_A_TotalSales_US_Year3+Q7_A_TotalSales_NonUS_Year3)/Q12_NetSales_Year3&lt;0.8, (Q7_A_TotalSales_US_Year3+Q7_A_TotalSales_NonUS_Year3)/Q12_NetSales_Year3&gt;1.25), "Verify Sales Denominations", "")), "No Net Sales", IF(OR((Q7_A_TotalSales_US_Year3+Q7_A_TotalSales_NonUS_Year3)/Q12_NetSales_Year3&lt;0.8, (Q7_A_TotalSales_US_Year3+Q7_A_TotalSales_NonUS_Year3)/Q12_NetSales_Year3&gt;1.25), "Verify Sales Denominations", "Net sales denominations reasonable"))</f>
        <v>No Net Sales</v>
      </c>
    </row>
    <row r="9" spans="2:29" x14ac:dyDescent="0.25">
      <c r="B9" s="163" t="s">
        <v>1064</v>
      </c>
      <c r="C9" s="451"/>
      <c r="D9" s="452"/>
      <c r="F9" s="19" t="str">
        <f>IF(AND(Q1a_A_LocOrgName&lt;&gt;0, ISBLANK(Q4b_A_NumUSGPrograms)), "Section 4b, line A may be blank; please confirm you have provided an estimated number", "")</f>
        <v/>
      </c>
      <c r="AA9" s="19" t="s">
        <v>1065</v>
      </c>
      <c r="AB9" s="19" t="str">
        <f>IF(Q6_A_Employees_Year3=0, "No Employees", IF(Q12_NetSales_Year3/Q6_A_Employees_Year3&gt;1000, "Verify Financial Denominations", "Net sales denominations reasonable"))</f>
        <v>No Employees</v>
      </c>
    </row>
    <row r="10" spans="2:29" x14ac:dyDescent="0.25">
      <c r="B10" s="163" t="s">
        <v>1066</v>
      </c>
      <c r="C10" s="451"/>
      <c r="D10" s="452"/>
      <c r="F10" s="19" t="str">
        <f>IF(AND(Q1a_A_LocOrgName&lt;&gt;0, '5'!F10=0, Q5_Comments=0), "Section 5 may not have been completed; please verify that you have entered supplier information", "")</f>
        <v/>
      </c>
      <c r="AA10" s="19" t="s">
        <v>1067</v>
      </c>
      <c r="AB10" s="19" t="str">
        <f>IF(OR(Q12_NetInc_Year3&gt;Q12_EBIT_Year3, Q12_EBIT_Year3&gt;Q12_OpInc_Year3, Q12_OpInc_Year3&gt;Q12_NetSales_Year3), "Verify Income Figures", "Income Reasonable")</f>
        <v>Income Reasonable</v>
      </c>
    </row>
    <row r="11" spans="2:29" x14ac:dyDescent="0.25">
      <c r="B11" s="163" t="s">
        <v>1068</v>
      </c>
      <c r="C11" s="451"/>
      <c r="D11" s="452"/>
      <c r="F11" s="19" t="str">
        <f>IF(AND(Q1a_A_LocOrgName&lt;&gt;0, ISBLANK(Q6_B_TotalNonUS)), "Section 6 may not have been fully completed; please verify this section is complete", "")</f>
        <v/>
      </c>
      <c r="AA11" s="19" t="s">
        <v>1069</v>
      </c>
      <c r="AB11" s="19" t="str">
        <f>IF(Q12_Cash_Year3&gt;Q12_CurrentAssets_Year3, "Verify Cash and Current Assets Figures", "Cash/Current Assets Reasonable")</f>
        <v>Cash/Current Assets Reasonable</v>
      </c>
    </row>
    <row r="12" spans="2:29" x14ac:dyDescent="0.25">
      <c r="B12" s="163" t="s">
        <v>119</v>
      </c>
      <c r="C12" s="451"/>
      <c r="D12" s="452"/>
      <c r="F12" s="19" t="str">
        <f>IF(AND(Q1a_A_LocOrgName&lt;&gt;0, SUM('7'!$F$10:$M$10)=0), "Section 7 appears to be missing sales data; please verify this section is complete", "")</f>
        <v/>
      </c>
      <c r="AA12" s="19" t="s">
        <v>1070</v>
      </c>
      <c r="AB12" s="19" t="str">
        <f>IF(Q12_CurrentAssets_Year3&gt;Q12_TotalAssets_Year3, "Verify Assets Figures", "Current/Total Assets Reasonable")</f>
        <v>Current/Total Assets Reasonable</v>
      </c>
    </row>
    <row r="13" spans="2:29" x14ac:dyDescent="0.25">
      <c r="B13" s="163" t="s">
        <v>1071</v>
      </c>
      <c r="C13" s="451"/>
      <c r="D13" s="452"/>
      <c r="F13" s="19" t="str">
        <f>IF(AND(Q1a_A_LocOrgName&lt;&gt;0, ISBLANK(Q8_Total_US)), "Section 8 may not have been fully completed; please verify this section is complete", "")</f>
        <v/>
      </c>
      <c r="AA13" s="19" t="s">
        <v>1072</v>
      </c>
      <c r="AB13" s="19" t="str">
        <f>IF(Q12_CurrentLiab_Year3&gt;Q12_TotalLiab_Year3, "Verify Liability Figures", "Current/Total Liabilities Reasonable")</f>
        <v>Current/Total Liabilities Reasonable</v>
      </c>
    </row>
    <row r="14" spans="2:29" x14ac:dyDescent="0.25">
      <c r="B14" s="163" t="s">
        <v>1073</v>
      </c>
      <c r="C14" s="770"/>
      <c r="D14" s="771"/>
      <c r="F14" s="19" t="str">
        <f>IF(AND(Q1a_A_LocOrgName&lt;&gt;0, Q9b_D1_CSI_Detect=0), "Section 9b may not have been fully completed; please ensure you have answered all parts of this section", "")</f>
        <v/>
      </c>
      <c r="AA14" s="19" t="s">
        <v>1074</v>
      </c>
      <c r="AB14" s="19" t="str">
        <f>IF(Q11_Expend_Total_Year3&lt;&gt;Q11_Funding_Total_Year3, "Verify R&amp;D Expenditure and Funding Totals", "R&amp;D Funding = R&amp;D Expenditure")</f>
        <v>R&amp;D Funding = R&amp;D Expenditure</v>
      </c>
    </row>
    <row r="15" spans="2:29" x14ac:dyDescent="0.25">
      <c r="B15" s="718" t="s">
        <v>1075</v>
      </c>
      <c r="C15" s="449"/>
      <c r="D15" s="625"/>
      <c r="F15" s="19" t="str">
        <f>IF(AND(Q1a_A_LocOrgName&lt;&gt;0, ISBLANK(Q10_B_NumberDD254)), "Section 10 may not have been fully completed; please verify this section is complete", "")</f>
        <v/>
      </c>
      <c r="AA15" s="19" t="s">
        <v>1076</v>
      </c>
      <c r="AB15" s="19" t="str">
        <f>IF(ISERROR(('D-RepLevel'!U2+'D-RepLevel'!V2)), "No physical or cyber security expenditures listed", IF(('D-RepLevel'!U2+'D-RepLevel'!V2)&gt;1, "Security expenditures exceed total expenditures", IF(('D-RepLevel'!U2+'D-RepLevel'!V2)&gt;0.5, "Security expenditures may be too high, verify", "Security expenditures reasonable")))</f>
        <v>No physical or cyber security expenditures listed</v>
      </c>
    </row>
    <row r="16" spans="2:29" ht="99.75" customHeight="1" thickBot="1" x14ac:dyDescent="0.3">
      <c r="B16" s="772"/>
      <c r="C16" s="698"/>
      <c r="D16" s="699"/>
      <c r="AA16" s="19" t="s">
        <v>1059</v>
      </c>
    </row>
    <row r="17" spans="1:28" ht="17.25" customHeight="1" thickBot="1" x14ac:dyDescent="0.3">
      <c r="B17" s="135" t="s">
        <v>1077</v>
      </c>
      <c r="C17" s="773"/>
      <c r="D17" s="774"/>
    </row>
    <row r="18" spans="1:28" x14ac:dyDescent="0.25">
      <c r="B18" s="20"/>
      <c r="C18" s="21"/>
      <c r="D18" s="22"/>
      <c r="AA18" s="19" t="s">
        <v>1078</v>
      </c>
      <c r="AB18" s="366">
        <f>'D-13b-14-Comments'!$BT$2</f>
        <v>0</v>
      </c>
    </row>
    <row r="19" spans="1:28" ht="13.5" thickBot="1" x14ac:dyDescent="0.3">
      <c r="B19" s="390" t="s">
        <v>9</v>
      </c>
      <c r="C19" s="391"/>
      <c r="D19" s="392"/>
    </row>
    <row r="20" spans="1:28" x14ac:dyDescent="0.25">
      <c r="A20" s="367" t="s">
        <v>2630</v>
      </c>
    </row>
  </sheetData>
  <sheetProtection password="C288" sheet="1"/>
  <mergeCells count="14">
    <mergeCell ref="B19:D19"/>
    <mergeCell ref="C11:D11"/>
    <mergeCell ref="C12:D12"/>
    <mergeCell ref="C13:D13"/>
    <mergeCell ref="C14:D14"/>
    <mergeCell ref="B16:D16"/>
    <mergeCell ref="C17:D17"/>
    <mergeCell ref="B15:D15"/>
    <mergeCell ref="C10:D10"/>
    <mergeCell ref="B4:D4"/>
    <mergeCell ref="B3:D3"/>
    <mergeCell ref="C7:D7"/>
    <mergeCell ref="C8:D8"/>
    <mergeCell ref="C9:D9"/>
  </mergeCells>
  <dataValidations count="1">
    <dataValidation type="decimal" operator="greaterThanOrEqual" allowBlank="1" showInputMessage="1" showErrorMessage="1" sqref="C17:D17">
      <formula1>0</formula1>
    </dataValidation>
  </dataValidations>
  <hyperlinks>
    <hyperlink ref="B2" location="'13'!A1" display="Previous Page"/>
    <hyperlink ref="C2" location="'Table of Contents'!A1" display="Table of Contents"/>
    <hyperlink ref="B5" r:id="rId1"/>
  </hyperlinks>
  <printOptions horizontalCentered="1"/>
  <pageMargins left="0.25" right="0.25" top="0.75" bottom="0.75" header="0.3" footer="0.3"/>
  <pageSetup orientation="landscape" verticalDpi="1200"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1"/>
  <sheetViews>
    <sheetView workbookViewId="0">
      <selection activeCell="AM2" sqref="AM2"/>
    </sheetView>
  </sheetViews>
  <sheetFormatPr defaultRowHeight="15" x14ac:dyDescent="0.25"/>
  <sheetData>
    <row r="1" spans="1:5" x14ac:dyDescent="0.25">
      <c r="A1" t="s">
        <v>1079</v>
      </c>
      <c r="B1" t="s">
        <v>1080</v>
      </c>
      <c r="C1" t="s">
        <v>1081</v>
      </c>
      <c r="D1" t="s">
        <v>1082</v>
      </c>
      <c r="E1" t="s">
        <v>184</v>
      </c>
    </row>
    <row r="2" spans="1:5" x14ac:dyDescent="0.25">
      <c r="A2" t="s">
        <v>243</v>
      </c>
      <c r="B2" t="s">
        <v>1083</v>
      </c>
      <c r="C2" t="s">
        <v>790</v>
      </c>
      <c r="D2" t="s">
        <v>1084</v>
      </c>
      <c r="E2">
        <f>Q3b_A1_Participation</f>
        <v>0</v>
      </c>
    </row>
    <row r="3" spans="1:5" x14ac:dyDescent="0.25">
      <c r="A3" t="s">
        <v>244</v>
      </c>
      <c r="B3" t="s">
        <v>1085</v>
      </c>
      <c r="C3" t="s">
        <v>790</v>
      </c>
      <c r="D3" t="s">
        <v>1086</v>
      </c>
      <c r="E3">
        <f>Q3b_A2_Participation</f>
        <v>0</v>
      </c>
    </row>
    <row r="4" spans="1:5" x14ac:dyDescent="0.25">
      <c r="A4" t="s">
        <v>245</v>
      </c>
      <c r="B4" t="s">
        <v>1087</v>
      </c>
      <c r="C4" t="s">
        <v>790</v>
      </c>
      <c r="D4" t="s">
        <v>1088</v>
      </c>
      <c r="E4">
        <f>Q3b_A3_Participation</f>
        <v>0</v>
      </c>
    </row>
    <row r="5" spans="1:5" x14ac:dyDescent="0.25">
      <c r="A5" t="s">
        <v>246</v>
      </c>
      <c r="B5" t="s">
        <v>1089</v>
      </c>
      <c r="C5" t="s">
        <v>790</v>
      </c>
      <c r="D5" t="s">
        <v>1090</v>
      </c>
      <c r="E5">
        <f>Q3b_A4_Participation</f>
        <v>0</v>
      </c>
    </row>
    <row r="6" spans="1:5" x14ac:dyDescent="0.25">
      <c r="A6" t="s">
        <v>247</v>
      </c>
      <c r="B6" t="s">
        <v>1091</v>
      </c>
      <c r="C6" t="s">
        <v>790</v>
      </c>
      <c r="D6" t="s">
        <v>1092</v>
      </c>
      <c r="E6">
        <f>Q3b_A5_Participation</f>
        <v>0</v>
      </c>
    </row>
    <row r="7" spans="1:5" x14ac:dyDescent="0.25">
      <c r="A7" t="s">
        <v>248</v>
      </c>
      <c r="B7" t="s">
        <v>1093</v>
      </c>
      <c r="C7" t="s">
        <v>790</v>
      </c>
      <c r="D7" t="s">
        <v>1094</v>
      </c>
      <c r="E7">
        <f>Q3b_A6_Participation</f>
        <v>0</v>
      </c>
    </row>
    <row r="8" spans="1:5" x14ac:dyDescent="0.25">
      <c r="A8" t="s">
        <v>250</v>
      </c>
      <c r="B8" t="s">
        <v>1095</v>
      </c>
      <c r="C8" t="s">
        <v>792</v>
      </c>
      <c r="D8" t="s">
        <v>1096</v>
      </c>
      <c r="E8">
        <f>Q3b_B1_Participation</f>
        <v>0</v>
      </c>
    </row>
    <row r="9" spans="1:5" x14ac:dyDescent="0.25">
      <c r="A9" t="s">
        <v>251</v>
      </c>
      <c r="B9" t="s">
        <v>1097</v>
      </c>
      <c r="C9" t="s">
        <v>792</v>
      </c>
      <c r="D9" t="s">
        <v>1098</v>
      </c>
      <c r="E9">
        <f>Q3b_B2_Participation</f>
        <v>0</v>
      </c>
    </row>
    <row r="10" spans="1:5" x14ac:dyDescent="0.25">
      <c r="A10" t="s">
        <v>252</v>
      </c>
      <c r="B10" t="s">
        <v>1099</v>
      </c>
      <c r="C10" t="s">
        <v>792</v>
      </c>
      <c r="D10" t="s">
        <v>1100</v>
      </c>
      <c r="E10">
        <f>Q3b_B3_Participation</f>
        <v>0</v>
      </c>
    </row>
    <row r="11" spans="1:5" x14ac:dyDescent="0.25">
      <c r="A11" t="s">
        <v>253</v>
      </c>
      <c r="B11" t="s">
        <v>1101</v>
      </c>
      <c r="C11" t="s">
        <v>792</v>
      </c>
      <c r="D11" t="s">
        <v>1102</v>
      </c>
      <c r="E11">
        <f>Q3b_B4_Participation</f>
        <v>0</v>
      </c>
    </row>
    <row r="12" spans="1:5" x14ac:dyDescent="0.25">
      <c r="A12" t="s">
        <v>254</v>
      </c>
      <c r="B12" t="s">
        <v>1103</v>
      </c>
      <c r="C12" t="s">
        <v>792</v>
      </c>
      <c r="D12" t="s">
        <v>1104</v>
      </c>
      <c r="E12">
        <f>Q3b_B5_Participation</f>
        <v>0</v>
      </c>
    </row>
    <row r="13" spans="1:5" x14ac:dyDescent="0.25">
      <c r="A13" t="s">
        <v>255</v>
      </c>
      <c r="B13" t="s">
        <v>1105</v>
      </c>
      <c r="C13" t="s">
        <v>792</v>
      </c>
      <c r="D13" t="s">
        <v>1106</v>
      </c>
      <c r="E13">
        <f>Q3b_B6_Participation</f>
        <v>0</v>
      </c>
    </row>
    <row r="14" spans="1:5" x14ac:dyDescent="0.25">
      <c r="A14" t="s">
        <v>256</v>
      </c>
      <c r="B14" t="s">
        <v>1107</v>
      </c>
      <c r="C14" t="s">
        <v>792</v>
      </c>
      <c r="D14" t="s">
        <v>1108</v>
      </c>
      <c r="E14">
        <f>Q3b_B7_Participation</f>
        <v>0</v>
      </c>
    </row>
    <row r="15" spans="1:5" x14ac:dyDescent="0.25">
      <c r="A15" t="s">
        <v>257</v>
      </c>
      <c r="B15" t="s">
        <v>1109</v>
      </c>
      <c r="C15" t="s">
        <v>792</v>
      </c>
      <c r="D15" t="s">
        <v>1110</v>
      </c>
      <c r="E15">
        <f>Q3b_B8_Participation</f>
        <v>0</v>
      </c>
    </row>
    <row r="16" spans="1:5" x14ac:dyDescent="0.25">
      <c r="A16" t="s">
        <v>258</v>
      </c>
      <c r="B16" t="s">
        <v>1111</v>
      </c>
      <c r="C16" t="s">
        <v>792</v>
      </c>
      <c r="D16" t="s">
        <v>1112</v>
      </c>
      <c r="E16">
        <f>Q3b_B9_Participation</f>
        <v>0</v>
      </c>
    </row>
    <row r="17" spans="1:5" x14ac:dyDescent="0.25">
      <c r="A17" t="s">
        <v>259</v>
      </c>
      <c r="B17" t="s">
        <v>1113</v>
      </c>
      <c r="C17" t="s">
        <v>792</v>
      </c>
      <c r="D17" t="s">
        <v>1114</v>
      </c>
      <c r="E17">
        <f>Q3b_B10_Participation</f>
        <v>0</v>
      </c>
    </row>
    <row r="18" spans="1:5" x14ac:dyDescent="0.25">
      <c r="A18" t="s">
        <v>260</v>
      </c>
      <c r="B18" t="s">
        <v>1115</v>
      </c>
      <c r="C18" t="s">
        <v>792</v>
      </c>
      <c r="D18" t="s">
        <v>1116</v>
      </c>
      <c r="E18">
        <f>Q3b_B11_Participation</f>
        <v>0</v>
      </c>
    </row>
    <row r="19" spans="1:5" x14ac:dyDescent="0.25">
      <c r="A19" t="s">
        <v>261</v>
      </c>
      <c r="B19" t="s">
        <v>1117</v>
      </c>
      <c r="C19" t="s">
        <v>792</v>
      </c>
      <c r="D19" t="s">
        <v>1118</v>
      </c>
      <c r="E19">
        <f>Q3b_B12_Participation</f>
        <v>0</v>
      </c>
    </row>
    <row r="20" spans="1:5" x14ac:dyDescent="0.25">
      <c r="A20" t="s">
        <v>262</v>
      </c>
      <c r="B20" t="s">
        <v>1119</v>
      </c>
      <c r="C20" t="s">
        <v>792</v>
      </c>
      <c r="D20" t="s">
        <v>1120</v>
      </c>
      <c r="E20">
        <f>Q3b_B13_Participation</f>
        <v>0</v>
      </c>
    </row>
    <row r="21" spans="1:5" x14ac:dyDescent="0.25">
      <c r="A21" t="s">
        <v>263</v>
      </c>
      <c r="B21" t="s">
        <v>1121</v>
      </c>
      <c r="C21" t="s">
        <v>792</v>
      </c>
      <c r="D21" t="s">
        <v>1122</v>
      </c>
      <c r="E21">
        <f>Q3b_B14_Participation</f>
        <v>0</v>
      </c>
    </row>
    <row r="22" spans="1:5" x14ac:dyDescent="0.25">
      <c r="A22" t="s">
        <v>264</v>
      </c>
      <c r="B22" t="s">
        <v>1123</v>
      </c>
      <c r="C22" t="s">
        <v>792</v>
      </c>
      <c r="D22" t="s">
        <v>1124</v>
      </c>
      <c r="E22">
        <f>Q3b_B15_Participation</f>
        <v>0</v>
      </c>
    </row>
    <row r="23" spans="1:5" x14ac:dyDescent="0.25">
      <c r="A23" t="s">
        <v>265</v>
      </c>
      <c r="B23" t="s">
        <v>1125</v>
      </c>
      <c r="C23" t="s">
        <v>792</v>
      </c>
      <c r="D23" t="s">
        <v>1126</v>
      </c>
      <c r="E23">
        <f>Q3b_B16_Participation</f>
        <v>0</v>
      </c>
    </row>
    <row r="24" spans="1:5" x14ac:dyDescent="0.25">
      <c r="A24" t="s">
        <v>266</v>
      </c>
      <c r="B24" t="s">
        <v>1127</v>
      </c>
      <c r="C24" t="s">
        <v>792</v>
      </c>
      <c r="D24" t="s">
        <v>1128</v>
      </c>
      <c r="E24">
        <f>Q3b_B17_Participation</f>
        <v>0</v>
      </c>
    </row>
    <row r="25" spans="1:5" x14ac:dyDescent="0.25">
      <c r="A25" t="s">
        <v>268</v>
      </c>
      <c r="B25" t="s">
        <v>1129</v>
      </c>
      <c r="C25" t="s">
        <v>794</v>
      </c>
      <c r="D25" t="s">
        <v>1130</v>
      </c>
      <c r="E25">
        <f>Q3b_C1_Participation</f>
        <v>0</v>
      </c>
    </row>
    <row r="26" spans="1:5" x14ac:dyDescent="0.25">
      <c r="A26" t="s">
        <v>269</v>
      </c>
      <c r="B26" t="s">
        <v>1131</v>
      </c>
      <c r="C26" t="s">
        <v>794</v>
      </c>
      <c r="D26" t="s">
        <v>1132</v>
      </c>
      <c r="E26">
        <f>Q3b_C2_Participation</f>
        <v>0</v>
      </c>
    </row>
    <row r="27" spans="1:5" x14ac:dyDescent="0.25">
      <c r="A27" t="s">
        <v>270</v>
      </c>
      <c r="B27" t="s">
        <v>1133</v>
      </c>
      <c r="C27" t="s">
        <v>794</v>
      </c>
      <c r="D27" t="s">
        <v>1134</v>
      </c>
      <c r="E27">
        <f>Q3b_C3_Participation</f>
        <v>0</v>
      </c>
    </row>
    <row r="28" spans="1:5" x14ac:dyDescent="0.25">
      <c r="A28" t="s">
        <v>271</v>
      </c>
      <c r="B28" t="s">
        <v>1135</v>
      </c>
      <c r="C28" t="s">
        <v>794</v>
      </c>
      <c r="D28" t="s">
        <v>1136</v>
      </c>
      <c r="E28">
        <f>Q3b_C4_Participation</f>
        <v>0</v>
      </c>
    </row>
    <row r="29" spans="1:5" x14ac:dyDescent="0.25">
      <c r="A29" t="s">
        <v>272</v>
      </c>
      <c r="B29" t="s">
        <v>1137</v>
      </c>
      <c r="C29" t="s">
        <v>794</v>
      </c>
      <c r="D29" t="s">
        <v>1138</v>
      </c>
      <c r="E29">
        <f>Q3b_C5_Participation</f>
        <v>0</v>
      </c>
    </row>
    <row r="30" spans="1:5" x14ac:dyDescent="0.25">
      <c r="A30" t="s">
        <v>273</v>
      </c>
      <c r="B30" t="s">
        <v>1139</v>
      </c>
      <c r="C30" t="s">
        <v>794</v>
      </c>
      <c r="D30" t="s">
        <v>1140</v>
      </c>
      <c r="E30">
        <f>Q3b_C6_Participation</f>
        <v>0</v>
      </c>
    </row>
    <row r="31" spans="1:5" x14ac:dyDescent="0.25">
      <c r="A31" t="s">
        <v>274</v>
      </c>
      <c r="B31" t="s">
        <v>1141</v>
      </c>
      <c r="C31" t="s">
        <v>794</v>
      </c>
      <c r="D31" t="s">
        <v>1142</v>
      </c>
      <c r="E31">
        <f>Q3b_C7_Participation</f>
        <v>0</v>
      </c>
    </row>
    <row r="32" spans="1:5" x14ac:dyDescent="0.25">
      <c r="A32" t="s">
        <v>275</v>
      </c>
      <c r="B32" t="s">
        <v>1143</v>
      </c>
      <c r="C32" t="s">
        <v>794</v>
      </c>
      <c r="D32" t="s">
        <v>1144</v>
      </c>
      <c r="E32">
        <f>Q3b_C8_Participation</f>
        <v>0</v>
      </c>
    </row>
    <row r="33" spans="1:5" x14ac:dyDescent="0.25">
      <c r="A33" t="s">
        <v>276</v>
      </c>
      <c r="B33" t="s">
        <v>1145</v>
      </c>
      <c r="C33" t="s">
        <v>794</v>
      </c>
      <c r="D33" t="s">
        <v>1146</v>
      </c>
      <c r="E33">
        <f>Q3b_C9_Participation</f>
        <v>0</v>
      </c>
    </row>
    <row r="34" spans="1:5" x14ac:dyDescent="0.25">
      <c r="A34" t="s">
        <v>279</v>
      </c>
      <c r="B34" t="s">
        <v>1147</v>
      </c>
      <c r="C34" t="s">
        <v>278</v>
      </c>
      <c r="D34" t="s">
        <v>1148</v>
      </c>
      <c r="E34">
        <f>Q3b_D1_Participation</f>
        <v>0</v>
      </c>
    </row>
    <row r="35" spans="1:5" x14ac:dyDescent="0.25">
      <c r="A35" t="s">
        <v>280</v>
      </c>
      <c r="B35" t="s">
        <v>1149</v>
      </c>
      <c r="C35" t="s">
        <v>278</v>
      </c>
      <c r="D35" t="s">
        <v>1150</v>
      </c>
      <c r="E35">
        <f>Q3b_D2_Participation</f>
        <v>0</v>
      </c>
    </row>
    <row r="36" spans="1:5" x14ac:dyDescent="0.25">
      <c r="A36" t="s">
        <v>281</v>
      </c>
      <c r="B36" t="s">
        <v>1151</v>
      </c>
      <c r="C36" t="s">
        <v>278</v>
      </c>
      <c r="D36" t="s">
        <v>1152</v>
      </c>
      <c r="E36">
        <f>Q3b_D3_Participation</f>
        <v>0</v>
      </c>
    </row>
    <row r="37" spans="1:5" x14ac:dyDescent="0.25">
      <c r="A37" t="s">
        <v>282</v>
      </c>
      <c r="B37" t="s">
        <v>1153</v>
      </c>
      <c r="C37" t="s">
        <v>278</v>
      </c>
      <c r="D37" t="s">
        <v>1154</v>
      </c>
      <c r="E37">
        <f>Q3b_D4_Participation</f>
        <v>0</v>
      </c>
    </row>
    <row r="38" spans="1:5" x14ac:dyDescent="0.25">
      <c r="A38" t="s">
        <v>283</v>
      </c>
      <c r="B38" t="s">
        <v>1155</v>
      </c>
      <c r="C38" t="s">
        <v>278</v>
      </c>
      <c r="D38" t="s">
        <v>1156</v>
      </c>
      <c r="E38">
        <f>Q3b_D5_Participation</f>
        <v>0</v>
      </c>
    </row>
    <row r="39" spans="1:5" x14ac:dyDescent="0.25">
      <c r="A39" t="s">
        <v>284</v>
      </c>
      <c r="B39" t="s">
        <v>1157</v>
      </c>
      <c r="C39" t="s">
        <v>278</v>
      </c>
      <c r="D39" t="s">
        <v>1158</v>
      </c>
      <c r="E39">
        <f>Q3b_D6_Participation</f>
        <v>0</v>
      </c>
    </row>
    <row r="40" spans="1:5" x14ac:dyDescent="0.25">
      <c r="A40" t="s">
        <v>285</v>
      </c>
      <c r="B40" t="s">
        <v>1159</v>
      </c>
      <c r="C40" t="s">
        <v>278</v>
      </c>
      <c r="D40" t="s">
        <v>1160</v>
      </c>
      <c r="E40">
        <f>Q3b_D7_Participation</f>
        <v>0</v>
      </c>
    </row>
    <row r="41" spans="1:5" x14ac:dyDescent="0.25">
      <c r="A41" t="s">
        <v>286</v>
      </c>
      <c r="B41" t="s">
        <v>1161</v>
      </c>
      <c r="C41" t="s">
        <v>278</v>
      </c>
      <c r="D41" t="s">
        <v>1162</v>
      </c>
      <c r="E41">
        <f>Q3b_D8_Participation</f>
        <v>0</v>
      </c>
    </row>
    <row r="42" spans="1:5" x14ac:dyDescent="0.25">
      <c r="A42" t="s">
        <v>287</v>
      </c>
      <c r="B42" t="s">
        <v>1163</v>
      </c>
      <c r="C42" t="s">
        <v>278</v>
      </c>
      <c r="D42" t="s">
        <v>1164</v>
      </c>
      <c r="E42">
        <f>Q3b_D9_Participation</f>
        <v>0</v>
      </c>
    </row>
    <row r="43" spans="1:5" x14ac:dyDescent="0.25">
      <c r="A43" t="s">
        <v>288</v>
      </c>
      <c r="B43" t="s">
        <v>1165</v>
      </c>
      <c r="C43" t="s">
        <v>278</v>
      </c>
      <c r="D43" t="s">
        <v>1166</v>
      </c>
      <c r="E43">
        <f>Q3b_D10_Participation</f>
        <v>0</v>
      </c>
    </row>
    <row r="44" spans="1:5" x14ac:dyDescent="0.25">
      <c r="A44" t="s">
        <v>289</v>
      </c>
      <c r="B44" t="s">
        <v>1167</v>
      </c>
      <c r="C44" t="s">
        <v>278</v>
      </c>
      <c r="D44" t="s">
        <v>1168</v>
      </c>
      <c r="E44">
        <f>Q3b_D11_Participation</f>
        <v>0</v>
      </c>
    </row>
    <row r="45" spans="1:5" x14ac:dyDescent="0.25">
      <c r="A45" t="s">
        <v>291</v>
      </c>
      <c r="B45" t="s">
        <v>1169</v>
      </c>
      <c r="C45" t="s">
        <v>290</v>
      </c>
      <c r="D45" t="s">
        <v>1170</v>
      </c>
      <c r="E45">
        <f>Q3b_E1_Participation</f>
        <v>0</v>
      </c>
    </row>
    <row r="46" spans="1:5" x14ac:dyDescent="0.25">
      <c r="A46" t="s">
        <v>292</v>
      </c>
      <c r="B46" t="s">
        <v>1171</v>
      </c>
      <c r="C46" t="s">
        <v>290</v>
      </c>
      <c r="D46" t="s">
        <v>1172</v>
      </c>
      <c r="E46">
        <f>Q3b_E2_Participation</f>
        <v>0</v>
      </c>
    </row>
    <row r="47" spans="1:5" x14ac:dyDescent="0.25">
      <c r="A47" t="s">
        <v>293</v>
      </c>
      <c r="B47" t="s">
        <v>1173</v>
      </c>
      <c r="C47" t="s">
        <v>290</v>
      </c>
      <c r="D47" t="s">
        <v>1174</v>
      </c>
      <c r="E47">
        <f>Q3b_E3_Participation</f>
        <v>0</v>
      </c>
    </row>
    <row r="48" spans="1:5" x14ac:dyDescent="0.25">
      <c r="A48" t="s">
        <v>294</v>
      </c>
      <c r="B48" t="s">
        <v>1175</v>
      </c>
      <c r="C48" t="s">
        <v>290</v>
      </c>
      <c r="D48" t="s">
        <v>1176</v>
      </c>
      <c r="E48">
        <f>Q3b_E4_Participation</f>
        <v>0</v>
      </c>
    </row>
    <row r="49" spans="1:5" x14ac:dyDescent="0.25">
      <c r="A49" t="s">
        <v>296</v>
      </c>
      <c r="B49" t="s">
        <v>1177</v>
      </c>
      <c r="C49" t="s">
        <v>798</v>
      </c>
      <c r="D49" t="s">
        <v>1178</v>
      </c>
      <c r="E49">
        <f>Q3b_F1_Participation</f>
        <v>0</v>
      </c>
    </row>
    <row r="50" spans="1:5" x14ac:dyDescent="0.25">
      <c r="A50" t="s">
        <v>297</v>
      </c>
      <c r="B50" t="s">
        <v>1179</v>
      </c>
      <c r="C50" t="s">
        <v>798</v>
      </c>
      <c r="D50" t="s">
        <v>1180</v>
      </c>
      <c r="E50">
        <f>Q3b_F2_Participation</f>
        <v>0</v>
      </c>
    </row>
    <row r="51" spans="1:5" x14ac:dyDescent="0.25">
      <c r="A51" t="s">
        <v>298</v>
      </c>
      <c r="B51" t="s">
        <v>1181</v>
      </c>
      <c r="C51" t="s">
        <v>798</v>
      </c>
      <c r="D51" t="s">
        <v>1182</v>
      </c>
      <c r="E51">
        <f>Q3b_F3_Participation</f>
        <v>0</v>
      </c>
    </row>
    <row r="52" spans="1:5" x14ac:dyDescent="0.25">
      <c r="A52" t="s">
        <v>299</v>
      </c>
      <c r="B52" t="s">
        <v>1183</v>
      </c>
      <c r="C52" t="s">
        <v>798</v>
      </c>
      <c r="D52" t="s">
        <v>1184</v>
      </c>
      <c r="E52">
        <f>Q3b_F4_Participation</f>
        <v>0</v>
      </c>
    </row>
    <row r="53" spans="1:5" x14ac:dyDescent="0.25">
      <c r="A53" t="s">
        <v>300</v>
      </c>
      <c r="B53" t="s">
        <v>1185</v>
      </c>
      <c r="C53" t="s">
        <v>798</v>
      </c>
      <c r="D53" t="s">
        <v>1186</v>
      </c>
      <c r="E53">
        <f>Q3b_F5_Participation</f>
        <v>0</v>
      </c>
    </row>
    <row r="54" spans="1:5" x14ac:dyDescent="0.25">
      <c r="A54" t="s">
        <v>301</v>
      </c>
      <c r="B54" t="s">
        <v>1187</v>
      </c>
      <c r="C54" t="s">
        <v>798</v>
      </c>
      <c r="D54" t="s">
        <v>1188</v>
      </c>
      <c r="E54">
        <f>Q3b_F6_Participation</f>
        <v>0</v>
      </c>
    </row>
    <row r="55" spans="1:5" x14ac:dyDescent="0.25">
      <c r="A55" t="s">
        <v>302</v>
      </c>
      <c r="B55" t="s">
        <v>1189</v>
      </c>
      <c r="C55" t="s">
        <v>798</v>
      </c>
      <c r="D55" t="s">
        <v>1190</v>
      </c>
      <c r="E55">
        <f>Q3b_F7_Participation</f>
        <v>0</v>
      </c>
    </row>
    <row r="56" spans="1:5" x14ac:dyDescent="0.25">
      <c r="A56" t="s">
        <v>304</v>
      </c>
      <c r="B56" t="s">
        <v>1191</v>
      </c>
      <c r="C56" t="s">
        <v>800</v>
      </c>
      <c r="D56" t="s">
        <v>1192</v>
      </c>
      <c r="E56">
        <f>Q3b_G1_Participation</f>
        <v>0</v>
      </c>
    </row>
    <row r="57" spans="1:5" x14ac:dyDescent="0.25">
      <c r="A57" t="s">
        <v>305</v>
      </c>
      <c r="B57" t="s">
        <v>1193</v>
      </c>
      <c r="C57" t="s">
        <v>800</v>
      </c>
      <c r="D57" t="s">
        <v>1194</v>
      </c>
      <c r="E57">
        <f>Q3b_G2_Participation</f>
        <v>0</v>
      </c>
    </row>
    <row r="58" spans="1:5" x14ac:dyDescent="0.25">
      <c r="A58" t="s">
        <v>306</v>
      </c>
      <c r="B58" t="s">
        <v>1195</v>
      </c>
      <c r="C58" t="s">
        <v>800</v>
      </c>
      <c r="D58" t="s">
        <v>1196</v>
      </c>
      <c r="E58">
        <f>Q3b_G3_Participation</f>
        <v>0</v>
      </c>
    </row>
    <row r="59" spans="1:5" x14ac:dyDescent="0.25">
      <c r="A59" t="s">
        <v>795</v>
      </c>
      <c r="B59" t="s">
        <v>1197</v>
      </c>
      <c r="C59" t="s">
        <v>800</v>
      </c>
      <c r="D59" t="s">
        <v>1198</v>
      </c>
      <c r="E59">
        <f>Q3b_G4_Participation</f>
        <v>0</v>
      </c>
    </row>
    <row r="60" spans="1:5" x14ac:dyDescent="0.25">
      <c r="A60" t="s">
        <v>796</v>
      </c>
      <c r="B60" t="s">
        <v>1199</v>
      </c>
      <c r="C60" t="s">
        <v>800</v>
      </c>
      <c r="D60" t="s">
        <v>1200</v>
      </c>
      <c r="E60">
        <f>Q3b_G5_Participation</f>
        <v>0</v>
      </c>
    </row>
    <row r="61" spans="1:5" x14ac:dyDescent="0.25">
      <c r="A61" t="s">
        <v>310</v>
      </c>
      <c r="B61" t="s">
        <v>1201</v>
      </c>
      <c r="C61" t="s">
        <v>803</v>
      </c>
      <c r="D61" t="s">
        <v>1202</v>
      </c>
      <c r="E61">
        <f>Q3b_H1_Participation</f>
        <v>0</v>
      </c>
    </row>
    <row r="62" spans="1:5" x14ac:dyDescent="0.25">
      <c r="A62" t="s">
        <v>311</v>
      </c>
      <c r="B62" t="s">
        <v>1203</v>
      </c>
      <c r="C62" t="s">
        <v>803</v>
      </c>
      <c r="D62" t="s">
        <v>1204</v>
      </c>
      <c r="E62">
        <f>Q3b_H2_Participation</f>
        <v>0</v>
      </c>
    </row>
    <row r="63" spans="1:5" x14ac:dyDescent="0.25">
      <c r="A63" t="s">
        <v>312</v>
      </c>
      <c r="B63" t="s">
        <v>1205</v>
      </c>
      <c r="C63" t="s">
        <v>803</v>
      </c>
      <c r="D63" t="s">
        <v>1206</v>
      </c>
      <c r="E63">
        <f>Q3b_H3_Participation</f>
        <v>0</v>
      </c>
    </row>
    <row r="64" spans="1:5" x14ac:dyDescent="0.25">
      <c r="A64" t="s">
        <v>313</v>
      </c>
      <c r="B64" t="s">
        <v>1207</v>
      </c>
      <c r="C64" t="s">
        <v>803</v>
      </c>
      <c r="D64" t="s">
        <v>1208</v>
      </c>
      <c r="E64">
        <f>Q3b_H4_Participation</f>
        <v>0</v>
      </c>
    </row>
    <row r="65" spans="1:5" x14ac:dyDescent="0.25">
      <c r="A65" t="s">
        <v>314</v>
      </c>
      <c r="B65" t="s">
        <v>1209</v>
      </c>
      <c r="C65" t="s">
        <v>803</v>
      </c>
      <c r="D65" t="s">
        <v>1210</v>
      </c>
      <c r="E65">
        <f>Q3b_H5_Participation</f>
        <v>0</v>
      </c>
    </row>
    <row r="66" spans="1:5" x14ac:dyDescent="0.25">
      <c r="A66" t="s">
        <v>315</v>
      </c>
      <c r="B66" t="s">
        <v>1211</v>
      </c>
      <c r="C66" t="s">
        <v>803</v>
      </c>
      <c r="D66" t="s">
        <v>1212</v>
      </c>
      <c r="E66">
        <f>Q3b_H6_Participation</f>
        <v>0</v>
      </c>
    </row>
    <row r="67" spans="1:5" x14ac:dyDescent="0.25">
      <c r="A67" t="s">
        <v>317</v>
      </c>
      <c r="B67" t="s">
        <v>1213</v>
      </c>
      <c r="C67" t="s">
        <v>316</v>
      </c>
      <c r="D67" t="s">
        <v>1214</v>
      </c>
      <c r="E67">
        <f>Q3b_I1_Participation</f>
        <v>0</v>
      </c>
    </row>
    <row r="68" spans="1:5" x14ac:dyDescent="0.25">
      <c r="A68" t="s">
        <v>318</v>
      </c>
      <c r="B68" t="s">
        <v>1215</v>
      </c>
      <c r="C68" t="s">
        <v>316</v>
      </c>
      <c r="D68" t="s">
        <v>1216</v>
      </c>
      <c r="E68">
        <f>Q3b_I2_Participation</f>
        <v>0</v>
      </c>
    </row>
    <row r="69" spans="1:5" x14ac:dyDescent="0.25">
      <c r="A69" t="s">
        <v>319</v>
      </c>
      <c r="B69" t="s">
        <v>1217</v>
      </c>
      <c r="C69" t="s">
        <v>316</v>
      </c>
      <c r="D69" t="s">
        <v>1218</v>
      </c>
      <c r="E69">
        <f>Q3b_I3_Participation</f>
        <v>0</v>
      </c>
    </row>
    <row r="70" spans="1:5" x14ac:dyDescent="0.25">
      <c r="A70" t="s">
        <v>320</v>
      </c>
      <c r="B70" t="s">
        <v>1219</v>
      </c>
      <c r="C70" t="s">
        <v>316</v>
      </c>
      <c r="D70" t="s">
        <v>1220</v>
      </c>
      <c r="E70">
        <f>Q3b_I4_Participation</f>
        <v>0</v>
      </c>
    </row>
    <row r="71" spans="1:5" x14ac:dyDescent="0.25">
      <c r="A71" t="s">
        <v>321</v>
      </c>
      <c r="B71" t="s">
        <v>1221</v>
      </c>
      <c r="C71" t="s">
        <v>316</v>
      </c>
      <c r="D71" t="s">
        <v>1222</v>
      </c>
      <c r="E71">
        <f>Q3b_I5_Participation</f>
        <v>0</v>
      </c>
    </row>
    <row r="72" spans="1:5" x14ac:dyDescent="0.25">
      <c r="A72" t="s">
        <v>322</v>
      </c>
      <c r="B72" t="s">
        <v>1223</v>
      </c>
      <c r="C72" t="s">
        <v>316</v>
      </c>
      <c r="D72" t="s">
        <v>1224</v>
      </c>
      <c r="E72">
        <f>Q3b_I6_Participation</f>
        <v>0</v>
      </c>
    </row>
    <row r="73" spans="1:5" x14ac:dyDescent="0.25">
      <c r="A73" t="s">
        <v>324</v>
      </c>
      <c r="B73" t="s">
        <v>1225</v>
      </c>
      <c r="C73" t="s">
        <v>804</v>
      </c>
      <c r="D73" t="s">
        <v>1226</v>
      </c>
      <c r="E73">
        <f>Q3b_J1_Participation</f>
        <v>0</v>
      </c>
    </row>
    <row r="74" spans="1:5" x14ac:dyDescent="0.25">
      <c r="A74" t="s">
        <v>325</v>
      </c>
      <c r="B74" t="s">
        <v>1227</v>
      </c>
      <c r="C74" t="s">
        <v>804</v>
      </c>
      <c r="D74" t="s">
        <v>1228</v>
      </c>
      <c r="E74">
        <f>Q3b_J2_Participation</f>
        <v>0</v>
      </c>
    </row>
    <row r="75" spans="1:5" x14ac:dyDescent="0.25">
      <c r="A75" t="s">
        <v>326</v>
      </c>
      <c r="B75" t="s">
        <v>1229</v>
      </c>
      <c r="C75" t="s">
        <v>804</v>
      </c>
      <c r="D75" t="s">
        <v>1230</v>
      </c>
      <c r="E75">
        <f>Q3b_J3_Participation</f>
        <v>0</v>
      </c>
    </row>
    <row r="76" spans="1:5" x14ac:dyDescent="0.25">
      <c r="A76" t="s">
        <v>327</v>
      </c>
      <c r="B76" t="s">
        <v>1231</v>
      </c>
      <c r="C76" t="s">
        <v>804</v>
      </c>
      <c r="D76" t="s">
        <v>1232</v>
      </c>
      <c r="E76">
        <f>Q3b_J4_Participation</f>
        <v>0</v>
      </c>
    </row>
    <row r="77" spans="1:5" x14ac:dyDescent="0.25">
      <c r="A77" t="s">
        <v>330</v>
      </c>
      <c r="B77" t="s">
        <v>1233</v>
      </c>
      <c r="C77" t="s">
        <v>807</v>
      </c>
      <c r="D77" t="s">
        <v>1234</v>
      </c>
      <c r="E77">
        <f>Q3b_K1_Participation</f>
        <v>0</v>
      </c>
    </row>
    <row r="78" spans="1:5" x14ac:dyDescent="0.25">
      <c r="A78" t="s">
        <v>331</v>
      </c>
      <c r="B78" t="s">
        <v>1235</v>
      </c>
      <c r="C78" t="s">
        <v>807</v>
      </c>
      <c r="D78" t="s">
        <v>1236</v>
      </c>
      <c r="E78">
        <f>Q3b_K2_Participation</f>
        <v>0</v>
      </c>
    </row>
    <row r="79" spans="1:5" x14ac:dyDescent="0.25">
      <c r="A79" t="s">
        <v>332</v>
      </c>
      <c r="B79" t="s">
        <v>1237</v>
      </c>
      <c r="C79" t="s">
        <v>807</v>
      </c>
      <c r="D79" t="s">
        <v>1238</v>
      </c>
      <c r="E79">
        <f>Q3b_K3_Participation</f>
        <v>0</v>
      </c>
    </row>
    <row r="80" spans="1:5" x14ac:dyDescent="0.25">
      <c r="A80" t="s">
        <v>333</v>
      </c>
      <c r="B80" t="s">
        <v>1239</v>
      </c>
      <c r="C80" t="s">
        <v>807</v>
      </c>
      <c r="D80" t="s">
        <v>1240</v>
      </c>
      <c r="E80">
        <f>Q3b_K4_Participation</f>
        <v>0</v>
      </c>
    </row>
    <row r="81" spans="1:5" x14ac:dyDescent="0.25">
      <c r="A81" t="s">
        <v>334</v>
      </c>
      <c r="B81" t="s">
        <v>1241</v>
      </c>
      <c r="C81" t="s">
        <v>807</v>
      </c>
      <c r="D81" t="s">
        <v>1242</v>
      </c>
      <c r="E81">
        <f>Q3b_K5_Participation</f>
        <v>0</v>
      </c>
    </row>
    <row r="82" spans="1:5" x14ac:dyDescent="0.25">
      <c r="A82" t="s">
        <v>799</v>
      </c>
      <c r="B82" t="s">
        <v>1243</v>
      </c>
      <c r="C82" t="s">
        <v>807</v>
      </c>
      <c r="D82" t="s">
        <v>1244</v>
      </c>
      <c r="E82">
        <f>Q3b_K6_Participation</f>
        <v>0</v>
      </c>
    </row>
    <row r="83" spans="1:5" x14ac:dyDescent="0.25">
      <c r="A83" t="s">
        <v>337</v>
      </c>
      <c r="B83" t="s">
        <v>1245</v>
      </c>
      <c r="C83" t="s">
        <v>808</v>
      </c>
      <c r="D83" t="s">
        <v>1246</v>
      </c>
      <c r="E83">
        <f>Q3b_L1_Participation</f>
        <v>0</v>
      </c>
    </row>
    <row r="84" spans="1:5" x14ac:dyDescent="0.25">
      <c r="A84" t="s">
        <v>338</v>
      </c>
      <c r="B84" t="s">
        <v>1247</v>
      </c>
      <c r="C84" t="s">
        <v>808</v>
      </c>
      <c r="D84" t="s">
        <v>1248</v>
      </c>
      <c r="E84">
        <f>Q3b_L2_Participation</f>
        <v>0</v>
      </c>
    </row>
    <row r="85" spans="1:5" x14ac:dyDescent="0.25">
      <c r="A85" t="s">
        <v>339</v>
      </c>
      <c r="B85" t="s">
        <v>1249</v>
      </c>
      <c r="C85" t="s">
        <v>808</v>
      </c>
      <c r="D85" t="s">
        <v>1250</v>
      </c>
      <c r="E85">
        <f>Q3b_L3_Participation</f>
        <v>0</v>
      </c>
    </row>
    <row r="86" spans="1:5" x14ac:dyDescent="0.25">
      <c r="A86" t="s">
        <v>340</v>
      </c>
      <c r="B86" t="s">
        <v>1251</v>
      </c>
      <c r="C86" t="s">
        <v>808</v>
      </c>
      <c r="D86" t="s">
        <v>1252</v>
      </c>
      <c r="E86">
        <f>Q3b_L4_Participation</f>
        <v>0</v>
      </c>
    </row>
    <row r="87" spans="1:5" x14ac:dyDescent="0.25">
      <c r="A87" t="s">
        <v>341</v>
      </c>
      <c r="B87" t="s">
        <v>1253</v>
      </c>
      <c r="C87" t="s">
        <v>808</v>
      </c>
      <c r="D87" t="s">
        <v>1254</v>
      </c>
      <c r="E87">
        <f>Q3b_L5_Participation</f>
        <v>0</v>
      </c>
    </row>
    <row r="88" spans="1:5" x14ac:dyDescent="0.25">
      <c r="A88" t="s">
        <v>342</v>
      </c>
      <c r="B88" t="s">
        <v>1255</v>
      </c>
      <c r="C88" t="s">
        <v>808</v>
      </c>
      <c r="D88" t="s">
        <v>1256</v>
      </c>
      <c r="E88">
        <f>Q3b_L6_Participation</f>
        <v>0</v>
      </c>
    </row>
    <row r="89" spans="1:5" x14ac:dyDescent="0.25">
      <c r="A89" t="s">
        <v>344</v>
      </c>
      <c r="B89" t="s">
        <v>1257</v>
      </c>
      <c r="C89" t="s">
        <v>809</v>
      </c>
      <c r="D89" t="s">
        <v>1258</v>
      </c>
      <c r="E89">
        <f>Q3b_M1_Participation</f>
        <v>0</v>
      </c>
    </row>
    <row r="90" spans="1:5" x14ac:dyDescent="0.25">
      <c r="A90" t="s">
        <v>345</v>
      </c>
      <c r="B90" t="s">
        <v>1259</v>
      </c>
      <c r="C90" t="s">
        <v>809</v>
      </c>
      <c r="D90" t="s">
        <v>1260</v>
      </c>
      <c r="E90">
        <f>Q3b_M2_Participation</f>
        <v>0</v>
      </c>
    </row>
    <row r="91" spans="1:5" x14ac:dyDescent="0.25">
      <c r="A91" t="s">
        <v>346</v>
      </c>
      <c r="B91" t="s">
        <v>1261</v>
      </c>
      <c r="C91" t="s">
        <v>809</v>
      </c>
      <c r="D91" t="s">
        <v>1262</v>
      </c>
      <c r="E91">
        <f>Q3b_M3_Participation</f>
        <v>0</v>
      </c>
    </row>
    <row r="92" spans="1:5" x14ac:dyDescent="0.25">
      <c r="A92" t="s">
        <v>347</v>
      </c>
      <c r="B92" t="s">
        <v>1263</v>
      </c>
      <c r="C92" t="s">
        <v>809</v>
      </c>
      <c r="D92" t="s">
        <v>1264</v>
      </c>
      <c r="E92">
        <f>Q3b_M4_Participation</f>
        <v>0</v>
      </c>
    </row>
    <row r="93" spans="1:5" x14ac:dyDescent="0.25">
      <c r="A93" t="s">
        <v>797</v>
      </c>
      <c r="B93" t="s">
        <v>1265</v>
      </c>
      <c r="C93" t="s">
        <v>809</v>
      </c>
      <c r="D93" t="s">
        <v>1266</v>
      </c>
      <c r="E93">
        <f>Q3b_M5_Participation</f>
        <v>0</v>
      </c>
    </row>
    <row r="94" spans="1:5" x14ac:dyDescent="0.25">
      <c r="A94" t="s">
        <v>350</v>
      </c>
      <c r="B94" t="s">
        <v>1267</v>
      </c>
      <c r="C94" t="s">
        <v>810</v>
      </c>
      <c r="D94" t="s">
        <v>1268</v>
      </c>
      <c r="E94">
        <f>Q3b_N1_Participation</f>
        <v>0</v>
      </c>
    </row>
    <row r="95" spans="1:5" x14ac:dyDescent="0.25">
      <c r="A95" t="s">
        <v>351</v>
      </c>
      <c r="B95" t="s">
        <v>1269</v>
      </c>
      <c r="C95" t="s">
        <v>810</v>
      </c>
      <c r="D95" t="s">
        <v>1270</v>
      </c>
      <c r="E95">
        <f>Q3b_N2_Participation</f>
        <v>0</v>
      </c>
    </row>
    <row r="96" spans="1:5" x14ac:dyDescent="0.25">
      <c r="A96" t="s">
        <v>352</v>
      </c>
      <c r="B96" t="s">
        <v>1271</v>
      </c>
      <c r="C96" t="s">
        <v>810</v>
      </c>
      <c r="D96" t="s">
        <v>1272</v>
      </c>
      <c r="E96">
        <f>Q3b_N3_Participation</f>
        <v>0</v>
      </c>
    </row>
    <row r="97" spans="1:5" x14ac:dyDescent="0.25">
      <c r="A97" t="s">
        <v>353</v>
      </c>
      <c r="B97" t="s">
        <v>1273</v>
      </c>
      <c r="C97" t="s">
        <v>810</v>
      </c>
      <c r="D97" t="s">
        <v>1274</v>
      </c>
      <c r="E97">
        <f>Q3b_N4_Participation</f>
        <v>0</v>
      </c>
    </row>
    <row r="98" spans="1:5" x14ac:dyDescent="0.25">
      <c r="A98" t="s">
        <v>354</v>
      </c>
      <c r="B98" t="s">
        <v>1275</v>
      </c>
      <c r="C98" t="s">
        <v>810</v>
      </c>
      <c r="D98" t="s">
        <v>1276</v>
      </c>
      <c r="E98">
        <f>Q3b_N5_Participation</f>
        <v>0</v>
      </c>
    </row>
    <row r="99" spans="1:5" x14ac:dyDescent="0.25">
      <c r="A99" t="s">
        <v>355</v>
      </c>
      <c r="B99" t="s">
        <v>1277</v>
      </c>
      <c r="C99" t="s">
        <v>810</v>
      </c>
      <c r="D99" t="s">
        <v>1278</v>
      </c>
      <c r="E99">
        <f>Q3b_N6_Participation</f>
        <v>0</v>
      </c>
    </row>
    <row r="100" spans="1:5" x14ac:dyDescent="0.25">
      <c r="A100" t="s">
        <v>356</v>
      </c>
      <c r="B100" t="s">
        <v>1279</v>
      </c>
      <c r="C100" t="s">
        <v>810</v>
      </c>
      <c r="D100" t="s">
        <v>1280</v>
      </c>
      <c r="E100">
        <f>Q3b_N7_Participation</f>
        <v>0</v>
      </c>
    </row>
    <row r="101" spans="1:5" x14ac:dyDescent="0.25">
      <c r="A101" t="s">
        <v>358</v>
      </c>
      <c r="B101" t="s">
        <v>1281</v>
      </c>
      <c r="C101" t="s">
        <v>811</v>
      </c>
      <c r="D101" t="s">
        <v>1282</v>
      </c>
      <c r="E101">
        <f>Q3b_O1_Participation</f>
        <v>0</v>
      </c>
    </row>
    <row r="102" spans="1:5" x14ac:dyDescent="0.25">
      <c r="A102" t="s">
        <v>359</v>
      </c>
      <c r="B102" t="s">
        <v>1283</v>
      </c>
      <c r="C102" t="s">
        <v>811</v>
      </c>
      <c r="D102" t="s">
        <v>1284</v>
      </c>
      <c r="E102">
        <f>Q3b_O2_Participation</f>
        <v>0</v>
      </c>
    </row>
    <row r="103" spans="1:5" x14ac:dyDescent="0.25">
      <c r="A103" t="s">
        <v>360</v>
      </c>
      <c r="B103" t="s">
        <v>1285</v>
      </c>
      <c r="C103" t="s">
        <v>811</v>
      </c>
      <c r="D103" t="s">
        <v>1286</v>
      </c>
      <c r="E103">
        <f>Q3b_O3_Participation</f>
        <v>0</v>
      </c>
    </row>
    <row r="104" spans="1:5" x14ac:dyDescent="0.25">
      <c r="A104" t="s">
        <v>361</v>
      </c>
      <c r="B104" t="s">
        <v>1287</v>
      </c>
      <c r="C104" t="s">
        <v>811</v>
      </c>
      <c r="D104" t="s">
        <v>1288</v>
      </c>
      <c r="E104">
        <f>Q3b_O4_Participation</f>
        <v>0</v>
      </c>
    </row>
    <row r="105" spans="1:5" x14ac:dyDescent="0.25">
      <c r="A105" t="s">
        <v>362</v>
      </c>
      <c r="B105" t="s">
        <v>1289</v>
      </c>
      <c r="C105" t="s">
        <v>811</v>
      </c>
      <c r="D105" t="s">
        <v>1290</v>
      </c>
      <c r="E105">
        <f>Q3b_O5_Participation</f>
        <v>0</v>
      </c>
    </row>
    <row r="106" spans="1:5" x14ac:dyDescent="0.25">
      <c r="A106" t="s">
        <v>363</v>
      </c>
      <c r="B106" t="s">
        <v>1291</v>
      </c>
      <c r="C106" t="s">
        <v>811</v>
      </c>
      <c r="D106" t="s">
        <v>1292</v>
      </c>
      <c r="E106">
        <f>Q3b_O6_Participation</f>
        <v>0</v>
      </c>
    </row>
    <row r="107" spans="1:5" x14ac:dyDescent="0.25">
      <c r="A107" t="s">
        <v>364</v>
      </c>
      <c r="B107" t="s">
        <v>1293</v>
      </c>
      <c r="C107" t="s">
        <v>811</v>
      </c>
      <c r="D107" t="s">
        <v>1294</v>
      </c>
      <c r="E107">
        <f>Q3b_O7_Participation</f>
        <v>0</v>
      </c>
    </row>
    <row r="108" spans="1:5" x14ac:dyDescent="0.25">
      <c r="A108" t="s">
        <v>365</v>
      </c>
      <c r="B108" t="s">
        <v>1295</v>
      </c>
      <c r="C108" t="s">
        <v>811</v>
      </c>
      <c r="D108" t="s">
        <v>1296</v>
      </c>
      <c r="E108">
        <f>Q3b_O8_Participation</f>
        <v>0</v>
      </c>
    </row>
    <row r="109" spans="1:5" x14ac:dyDescent="0.25">
      <c r="A109" t="s">
        <v>366</v>
      </c>
      <c r="B109" t="s">
        <v>1297</v>
      </c>
      <c r="C109" t="s">
        <v>811</v>
      </c>
      <c r="D109" t="s">
        <v>1298</v>
      </c>
      <c r="E109">
        <f>Q3b_O9_Participation</f>
        <v>0</v>
      </c>
    </row>
    <row r="110" spans="1:5" x14ac:dyDescent="0.25">
      <c r="A110" t="s">
        <v>367</v>
      </c>
      <c r="B110" t="s">
        <v>1299</v>
      </c>
      <c r="C110" t="s">
        <v>811</v>
      </c>
      <c r="D110" t="s">
        <v>1300</v>
      </c>
      <c r="E110">
        <f>Q3b_O10_Participation</f>
        <v>0</v>
      </c>
    </row>
    <row r="111" spans="1:5" x14ac:dyDescent="0.25">
      <c r="A111" t="s">
        <v>368</v>
      </c>
      <c r="B111" t="s">
        <v>1301</v>
      </c>
      <c r="C111" t="s">
        <v>811</v>
      </c>
      <c r="D111" t="s">
        <v>1302</v>
      </c>
      <c r="E111">
        <f>Q3b_O11_Participation</f>
        <v>0</v>
      </c>
    </row>
    <row r="112" spans="1:5" x14ac:dyDescent="0.25">
      <c r="A112" t="s">
        <v>369</v>
      </c>
      <c r="B112" t="s">
        <v>1303</v>
      </c>
      <c r="C112" t="s">
        <v>811</v>
      </c>
      <c r="D112" t="s">
        <v>1304</v>
      </c>
      <c r="E112">
        <f>Q3b_O12_Participation</f>
        <v>0</v>
      </c>
    </row>
    <row r="113" spans="1:5" x14ac:dyDescent="0.25">
      <c r="A113" t="s">
        <v>370</v>
      </c>
      <c r="B113" t="s">
        <v>1305</v>
      </c>
      <c r="C113" t="s">
        <v>811</v>
      </c>
      <c r="D113" t="s">
        <v>1306</v>
      </c>
      <c r="E113">
        <f>Q3b_O13_Participation</f>
        <v>0</v>
      </c>
    </row>
    <row r="114" spans="1:5" x14ac:dyDescent="0.25">
      <c r="A114" t="s">
        <v>373</v>
      </c>
      <c r="B114" t="s">
        <v>1307</v>
      </c>
      <c r="C114" t="s">
        <v>782</v>
      </c>
      <c r="D114" t="s">
        <v>1308</v>
      </c>
      <c r="E114">
        <f>Q3b_P1_Participation</f>
        <v>0</v>
      </c>
    </row>
    <row r="115" spans="1:5" x14ac:dyDescent="0.25">
      <c r="A115" t="s">
        <v>374</v>
      </c>
      <c r="B115" t="s">
        <v>1309</v>
      </c>
      <c r="C115" t="s">
        <v>782</v>
      </c>
      <c r="D115" t="s">
        <v>1310</v>
      </c>
      <c r="E115">
        <f>Q3b_P2_Participation</f>
        <v>0</v>
      </c>
    </row>
    <row r="116" spans="1:5" x14ac:dyDescent="0.25">
      <c r="A116" t="s">
        <v>375</v>
      </c>
      <c r="B116" t="s">
        <v>1311</v>
      </c>
      <c r="C116" t="s">
        <v>782</v>
      </c>
      <c r="D116" t="s">
        <v>1312</v>
      </c>
      <c r="E116">
        <f>Q3b_P3_Participation</f>
        <v>0</v>
      </c>
    </row>
    <row r="117" spans="1:5" x14ac:dyDescent="0.25">
      <c r="A117" t="s">
        <v>376</v>
      </c>
      <c r="B117" t="s">
        <v>1313</v>
      </c>
      <c r="C117" t="s">
        <v>782</v>
      </c>
      <c r="D117" t="s">
        <v>1314</v>
      </c>
      <c r="E117">
        <f>Q3b_P4_Participation</f>
        <v>0</v>
      </c>
    </row>
    <row r="118" spans="1:5" x14ac:dyDescent="0.25">
      <c r="A118" t="s">
        <v>377</v>
      </c>
      <c r="B118" t="s">
        <v>1315</v>
      </c>
      <c r="C118" t="s">
        <v>782</v>
      </c>
      <c r="D118" t="s">
        <v>1316</v>
      </c>
      <c r="E118">
        <f>Q3b_P5_Participation</f>
        <v>0</v>
      </c>
    </row>
    <row r="119" spans="1:5" x14ac:dyDescent="0.25">
      <c r="A119" t="s">
        <v>378</v>
      </c>
      <c r="B119" t="s">
        <v>1317</v>
      </c>
      <c r="C119" t="s">
        <v>782</v>
      </c>
      <c r="D119" t="s">
        <v>1318</v>
      </c>
      <c r="E119">
        <f>Q3b_P6_Participation</f>
        <v>0</v>
      </c>
    </row>
    <row r="120" spans="1:5" x14ac:dyDescent="0.25">
      <c r="A120" t="s">
        <v>379</v>
      </c>
      <c r="B120" t="s">
        <v>1319</v>
      </c>
      <c r="C120" t="s">
        <v>782</v>
      </c>
      <c r="D120" t="s">
        <v>1320</v>
      </c>
      <c r="E120">
        <f>Q3b_P7_Participation</f>
        <v>0</v>
      </c>
    </row>
    <row r="121" spans="1:5" x14ac:dyDescent="0.25">
      <c r="A121" t="s">
        <v>380</v>
      </c>
      <c r="B121" t="s">
        <v>1321</v>
      </c>
      <c r="C121" t="s">
        <v>782</v>
      </c>
      <c r="D121" t="s">
        <v>1322</v>
      </c>
      <c r="E121">
        <f>Q3b_P8_Participation</f>
        <v>0</v>
      </c>
    </row>
    <row r="122" spans="1:5" x14ac:dyDescent="0.25">
      <c r="A122" t="s">
        <v>381</v>
      </c>
      <c r="B122" t="s">
        <v>1323</v>
      </c>
      <c r="C122" t="s">
        <v>782</v>
      </c>
      <c r="D122" t="s">
        <v>1324</v>
      </c>
      <c r="E122">
        <f>Q3b_P9_Participation</f>
        <v>0</v>
      </c>
    </row>
    <row r="123" spans="1:5" x14ac:dyDescent="0.25">
      <c r="A123" t="s">
        <v>383</v>
      </c>
      <c r="B123" t="s">
        <v>1325</v>
      </c>
      <c r="C123" t="s">
        <v>814</v>
      </c>
      <c r="D123" t="s">
        <v>1326</v>
      </c>
      <c r="E123">
        <f>Q3b_Q1_Participation</f>
        <v>0</v>
      </c>
    </row>
    <row r="124" spans="1:5" x14ac:dyDescent="0.25">
      <c r="A124" t="s">
        <v>384</v>
      </c>
      <c r="B124" t="s">
        <v>1327</v>
      </c>
      <c r="C124" t="s">
        <v>814</v>
      </c>
      <c r="D124" t="s">
        <v>1328</v>
      </c>
      <c r="E124">
        <f>Q3b_Q2_Participation</f>
        <v>0</v>
      </c>
    </row>
    <row r="125" spans="1:5" x14ac:dyDescent="0.25">
      <c r="A125" t="s">
        <v>385</v>
      </c>
      <c r="B125" t="s">
        <v>1329</v>
      </c>
      <c r="C125" t="s">
        <v>814</v>
      </c>
      <c r="D125" t="s">
        <v>1330</v>
      </c>
      <c r="E125">
        <f>Q3b_Q3_Participation</f>
        <v>0</v>
      </c>
    </row>
    <row r="126" spans="1:5" x14ac:dyDescent="0.25">
      <c r="A126" t="s">
        <v>386</v>
      </c>
      <c r="B126" t="s">
        <v>1331</v>
      </c>
      <c r="C126" t="s">
        <v>814</v>
      </c>
      <c r="D126" t="s">
        <v>1332</v>
      </c>
      <c r="E126">
        <f>Q3b_Q4_Participation</f>
        <v>0</v>
      </c>
    </row>
    <row r="127" spans="1:5" x14ac:dyDescent="0.25">
      <c r="A127" t="s">
        <v>387</v>
      </c>
      <c r="B127" t="s">
        <v>1333</v>
      </c>
      <c r="C127" t="s">
        <v>814</v>
      </c>
      <c r="D127" t="s">
        <v>1334</v>
      </c>
      <c r="E127">
        <f>Q3b_Q5_Participation</f>
        <v>0</v>
      </c>
    </row>
    <row r="128" spans="1:5" x14ac:dyDescent="0.25">
      <c r="A128" t="s">
        <v>388</v>
      </c>
      <c r="B128" t="s">
        <v>1335</v>
      </c>
      <c r="C128" t="s">
        <v>814</v>
      </c>
      <c r="D128" t="s">
        <v>1336</v>
      </c>
      <c r="E128">
        <f>Q3b_Q6_Participation</f>
        <v>0</v>
      </c>
    </row>
    <row r="129" spans="1:5" x14ac:dyDescent="0.25">
      <c r="A129" t="s">
        <v>389</v>
      </c>
      <c r="B129" t="s">
        <v>1337</v>
      </c>
      <c r="C129" t="s">
        <v>814</v>
      </c>
      <c r="D129" t="s">
        <v>1338</v>
      </c>
      <c r="E129">
        <f>Q3b_Q7_Participation</f>
        <v>0</v>
      </c>
    </row>
    <row r="130" spans="1:5" x14ac:dyDescent="0.25">
      <c r="A130" t="s">
        <v>390</v>
      </c>
      <c r="B130" t="s">
        <v>1339</v>
      </c>
      <c r="C130" t="s">
        <v>814</v>
      </c>
      <c r="D130" t="s">
        <v>1340</v>
      </c>
      <c r="E130">
        <f>Q3b_Q8_Participation</f>
        <v>0</v>
      </c>
    </row>
    <row r="131" spans="1:5" x14ac:dyDescent="0.25">
      <c r="A131" t="s">
        <v>392</v>
      </c>
      <c r="B131" t="s">
        <v>1341</v>
      </c>
      <c r="C131" t="s">
        <v>816</v>
      </c>
      <c r="D131" t="s">
        <v>1342</v>
      </c>
      <c r="E131">
        <f>Q3b_R1_Participation</f>
        <v>0</v>
      </c>
    </row>
    <row r="132" spans="1:5" x14ac:dyDescent="0.25">
      <c r="A132" t="s">
        <v>393</v>
      </c>
      <c r="B132" t="s">
        <v>1343</v>
      </c>
      <c r="C132" t="s">
        <v>816</v>
      </c>
      <c r="D132" t="s">
        <v>1344</v>
      </c>
      <c r="E132">
        <f>Q3b_R2_Participation</f>
        <v>0</v>
      </c>
    </row>
    <row r="133" spans="1:5" x14ac:dyDescent="0.25">
      <c r="A133" t="s">
        <v>394</v>
      </c>
      <c r="B133" t="s">
        <v>1345</v>
      </c>
      <c r="C133" t="s">
        <v>816</v>
      </c>
      <c r="D133" t="s">
        <v>1346</v>
      </c>
      <c r="E133">
        <f>Q3b_R3_Participation</f>
        <v>0</v>
      </c>
    </row>
    <row r="134" spans="1:5" x14ac:dyDescent="0.25">
      <c r="A134" t="s">
        <v>395</v>
      </c>
      <c r="B134" t="s">
        <v>1347</v>
      </c>
      <c r="C134" t="s">
        <v>816</v>
      </c>
      <c r="D134" t="s">
        <v>1348</v>
      </c>
      <c r="E134">
        <f>Q3b_R4_Participation</f>
        <v>0</v>
      </c>
    </row>
    <row r="135" spans="1:5" x14ac:dyDescent="0.25">
      <c r="A135" t="s">
        <v>396</v>
      </c>
      <c r="B135" t="s">
        <v>1349</v>
      </c>
      <c r="C135" t="s">
        <v>816</v>
      </c>
      <c r="D135" t="s">
        <v>1350</v>
      </c>
      <c r="E135">
        <f>Q3b_R5_Participation</f>
        <v>0</v>
      </c>
    </row>
    <row r="136" spans="1:5" x14ac:dyDescent="0.25">
      <c r="A136" t="s">
        <v>397</v>
      </c>
      <c r="B136" t="s">
        <v>1351</v>
      </c>
      <c r="C136" t="s">
        <v>816</v>
      </c>
      <c r="D136" t="s">
        <v>1352</v>
      </c>
      <c r="E136">
        <f>Q3b_R6_Participation</f>
        <v>0</v>
      </c>
    </row>
    <row r="137" spans="1:5" x14ac:dyDescent="0.25">
      <c r="A137" t="s">
        <v>398</v>
      </c>
      <c r="B137" t="s">
        <v>1353</v>
      </c>
      <c r="C137" t="s">
        <v>816</v>
      </c>
      <c r="D137" t="s">
        <v>1354</v>
      </c>
      <c r="E137">
        <f>Q3b_R7_Participation</f>
        <v>0</v>
      </c>
    </row>
    <row r="138" spans="1:5" x14ac:dyDescent="0.25">
      <c r="A138" t="s">
        <v>400</v>
      </c>
      <c r="B138" t="s">
        <v>1355</v>
      </c>
      <c r="C138" t="s">
        <v>819</v>
      </c>
      <c r="D138" t="s">
        <v>1356</v>
      </c>
      <c r="E138">
        <f>Q3b_S1_Participation</f>
        <v>0</v>
      </c>
    </row>
    <row r="139" spans="1:5" x14ac:dyDescent="0.25">
      <c r="A139" t="s">
        <v>401</v>
      </c>
      <c r="B139" t="s">
        <v>1357</v>
      </c>
      <c r="C139" t="s">
        <v>819</v>
      </c>
      <c r="D139" t="s">
        <v>1358</v>
      </c>
      <c r="E139">
        <f>Q3b_S2_Participation</f>
        <v>0</v>
      </c>
    </row>
    <row r="140" spans="1:5" x14ac:dyDescent="0.25">
      <c r="A140" t="s">
        <v>402</v>
      </c>
      <c r="B140" t="s">
        <v>1359</v>
      </c>
      <c r="C140" t="s">
        <v>819</v>
      </c>
      <c r="D140" t="s">
        <v>1360</v>
      </c>
      <c r="E140">
        <f>Q3b_S3_Participation</f>
        <v>0</v>
      </c>
    </row>
    <row r="141" spans="1:5" x14ac:dyDescent="0.25">
      <c r="A141" t="s">
        <v>403</v>
      </c>
      <c r="B141" t="s">
        <v>1361</v>
      </c>
      <c r="C141" t="s">
        <v>819</v>
      </c>
      <c r="D141" t="s">
        <v>1362</v>
      </c>
      <c r="E141">
        <f>Q3b_S4_Participation</f>
        <v>0</v>
      </c>
    </row>
    <row r="142" spans="1:5" x14ac:dyDescent="0.25">
      <c r="A142" t="s">
        <v>404</v>
      </c>
      <c r="B142" t="s">
        <v>1363</v>
      </c>
      <c r="C142" t="s">
        <v>819</v>
      </c>
      <c r="D142" t="s">
        <v>1364</v>
      </c>
      <c r="E142">
        <f>Q3b_S5_Participation</f>
        <v>0</v>
      </c>
    </row>
    <row r="143" spans="1:5" x14ac:dyDescent="0.25">
      <c r="A143" t="s">
        <v>406</v>
      </c>
      <c r="B143" t="s">
        <v>1365</v>
      </c>
      <c r="C143" t="s">
        <v>822</v>
      </c>
      <c r="D143" t="s">
        <v>1366</v>
      </c>
      <c r="E143">
        <f>Q3b_T1_Participation</f>
        <v>0</v>
      </c>
    </row>
    <row r="144" spans="1:5" x14ac:dyDescent="0.25">
      <c r="A144" t="s">
        <v>407</v>
      </c>
      <c r="B144" t="s">
        <v>1367</v>
      </c>
      <c r="C144" t="s">
        <v>822</v>
      </c>
      <c r="D144" t="s">
        <v>1368</v>
      </c>
      <c r="E144">
        <f>Q3b_T2_Participation</f>
        <v>0</v>
      </c>
    </row>
    <row r="145" spans="1:5" x14ac:dyDescent="0.25">
      <c r="A145" t="s">
        <v>408</v>
      </c>
      <c r="B145" t="s">
        <v>1369</v>
      </c>
      <c r="C145" t="s">
        <v>822</v>
      </c>
      <c r="D145" t="s">
        <v>1370</v>
      </c>
      <c r="E145">
        <f>Q3b_T3_Participation</f>
        <v>0</v>
      </c>
    </row>
    <row r="146" spans="1:5" x14ac:dyDescent="0.25">
      <c r="A146" t="s">
        <v>409</v>
      </c>
      <c r="B146" t="s">
        <v>1371</v>
      </c>
      <c r="C146" t="s">
        <v>822</v>
      </c>
      <c r="D146" t="s">
        <v>1372</v>
      </c>
      <c r="E146">
        <f>Q3b_T4_Participation</f>
        <v>0</v>
      </c>
    </row>
    <row r="147" spans="1:5" x14ac:dyDescent="0.25">
      <c r="A147" t="s">
        <v>410</v>
      </c>
      <c r="B147" t="s">
        <v>1373</v>
      </c>
      <c r="C147" t="s">
        <v>822</v>
      </c>
      <c r="D147" t="s">
        <v>1374</v>
      </c>
      <c r="E147">
        <f>Q3b_T5_Participation</f>
        <v>0</v>
      </c>
    </row>
    <row r="148" spans="1:5" x14ac:dyDescent="0.25">
      <c r="A148" t="s">
        <v>411</v>
      </c>
      <c r="B148" t="s">
        <v>1375</v>
      </c>
      <c r="C148" t="s">
        <v>822</v>
      </c>
      <c r="D148" t="s">
        <v>1376</v>
      </c>
      <c r="E148">
        <f>Q3b_T6_Participation</f>
        <v>0</v>
      </c>
    </row>
    <row r="149" spans="1:5" x14ac:dyDescent="0.25">
      <c r="A149" t="s">
        <v>801</v>
      </c>
      <c r="B149" t="s">
        <v>1377</v>
      </c>
      <c r="C149" t="s">
        <v>822</v>
      </c>
      <c r="D149" t="s">
        <v>1378</v>
      </c>
      <c r="E149">
        <f>Q3b_T7_Participation</f>
        <v>0</v>
      </c>
    </row>
    <row r="150" spans="1:5" x14ac:dyDescent="0.25">
      <c r="A150" t="s">
        <v>414</v>
      </c>
      <c r="B150" t="s">
        <v>1379</v>
      </c>
      <c r="C150" t="s">
        <v>824</v>
      </c>
      <c r="D150" t="s">
        <v>1380</v>
      </c>
      <c r="E150">
        <f>Q3b_U1_Participation</f>
        <v>0</v>
      </c>
    </row>
    <row r="151" spans="1:5" x14ac:dyDescent="0.25">
      <c r="A151" t="s">
        <v>415</v>
      </c>
      <c r="B151" t="s">
        <v>1381</v>
      </c>
      <c r="C151" t="s">
        <v>824</v>
      </c>
      <c r="D151" t="s">
        <v>1382</v>
      </c>
      <c r="E151">
        <f>Q3b_U2_Participation</f>
        <v>0</v>
      </c>
    </row>
    <row r="152" spans="1:5" x14ac:dyDescent="0.25">
      <c r="A152" t="s">
        <v>416</v>
      </c>
      <c r="B152" t="s">
        <v>1383</v>
      </c>
      <c r="C152" t="s">
        <v>824</v>
      </c>
      <c r="D152" t="s">
        <v>1384</v>
      </c>
      <c r="E152">
        <f>Q3b_U3_Participation</f>
        <v>0</v>
      </c>
    </row>
    <row r="153" spans="1:5" x14ac:dyDescent="0.25">
      <c r="A153" t="s">
        <v>417</v>
      </c>
      <c r="B153" t="s">
        <v>1385</v>
      </c>
      <c r="C153" t="s">
        <v>824</v>
      </c>
      <c r="D153" t="s">
        <v>1386</v>
      </c>
      <c r="E153">
        <f>Q3b_U4_Participation</f>
        <v>0</v>
      </c>
    </row>
    <row r="154" spans="1:5" x14ac:dyDescent="0.25">
      <c r="A154" t="s">
        <v>418</v>
      </c>
      <c r="B154" t="s">
        <v>1387</v>
      </c>
      <c r="C154" t="s">
        <v>824</v>
      </c>
      <c r="D154" t="s">
        <v>1388</v>
      </c>
      <c r="E154">
        <f>Q3b_U5_Participation</f>
        <v>0</v>
      </c>
    </row>
    <row r="155" spans="1:5" x14ac:dyDescent="0.25">
      <c r="A155" t="s">
        <v>419</v>
      </c>
      <c r="B155" t="s">
        <v>1389</v>
      </c>
      <c r="C155" t="s">
        <v>824</v>
      </c>
      <c r="D155" t="s">
        <v>1390</v>
      </c>
      <c r="E155">
        <f>Q3b_U6_Participation</f>
        <v>0</v>
      </c>
    </row>
    <row r="156" spans="1:5" x14ac:dyDescent="0.25">
      <c r="A156" t="s">
        <v>421</v>
      </c>
      <c r="B156" t="s">
        <v>1391</v>
      </c>
      <c r="C156" t="s">
        <v>826</v>
      </c>
      <c r="D156" t="s">
        <v>1392</v>
      </c>
      <c r="E156">
        <f>Q3b_V1_Participation</f>
        <v>0</v>
      </c>
    </row>
    <row r="157" spans="1:5" x14ac:dyDescent="0.25">
      <c r="A157" t="s">
        <v>422</v>
      </c>
      <c r="B157" t="s">
        <v>1393</v>
      </c>
      <c r="C157" t="s">
        <v>826</v>
      </c>
      <c r="D157" t="s">
        <v>1394</v>
      </c>
      <c r="E157">
        <f>Q3b_V2_Participation</f>
        <v>0</v>
      </c>
    </row>
    <row r="158" spans="1:5" x14ac:dyDescent="0.25">
      <c r="A158" t="s">
        <v>423</v>
      </c>
      <c r="B158" t="s">
        <v>1395</v>
      </c>
      <c r="C158" t="s">
        <v>826</v>
      </c>
      <c r="D158" t="s">
        <v>1396</v>
      </c>
      <c r="E158">
        <f>Q3b_V3_Participation</f>
        <v>0</v>
      </c>
    </row>
    <row r="159" spans="1:5" x14ac:dyDescent="0.25">
      <c r="A159" t="s">
        <v>424</v>
      </c>
      <c r="B159" t="s">
        <v>1397</v>
      </c>
      <c r="C159" t="s">
        <v>826</v>
      </c>
      <c r="D159" t="s">
        <v>1398</v>
      </c>
      <c r="E159">
        <f>Q3b_V4_Participation</f>
        <v>0</v>
      </c>
    </row>
    <row r="160" spans="1:5" x14ac:dyDescent="0.25">
      <c r="A160" t="s">
        <v>425</v>
      </c>
      <c r="B160" t="s">
        <v>1399</v>
      </c>
      <c r="C160" t="s">
        <v>826</v>
      </c>
      <c r="D160" t="s">
        <v>1400</v>
      </c>
      <c r="E160">
        <f>Q3b_V5_Participation</f>
        <v>0</v>
      </c>
    </row>
    <row r="161" spans="1:5" x14ac:dyDescent="0.25">
      <c r="A161" t="s">
        <v>426</v>
      </c>
      <c r="B161" t="s">
        <v>1401</v>
      </c>
      <c r="C161" t="s">
        <v>826</v>
      </c>
      <c r="D161" t="s">
        <v>1402</v>
      </c>
      <c r="E161">
        <f>Q3b_V6_Participation</f>
        <v>0</v>
      </c>
    </row>
    <row r="162" spans="1:5" x14ac:dyDescent="0.25">
      <c r="A162" t="s">
        <v>427</v>
      </c>
      <c r="B162" t="s">
        <v>1403</v>
      </c>
      <c r="C162" t="s">
        <v>826</v>
      </c>
      <c r="D162" t="s">
        <v>1404</v>
      </c>
      <c r="E162">
        <f>Q3b_V7_Participation</f>
        <v>0</v>
      </c>
    </row>
    <row r="163" spans="1:5" x14ac:dyDescent="0.25">
      <c r="A163" t="s">
        <v>430</v>
      </c>
      <c r="B163" t="s">
        <v>1405</v>
      </c>
      <c r="C163" t="s">
        <v>828</v>
      </c>
      <c r="D163" t="s">
        <v>1406</v>
      </c>
      <c r="E163">
        <f>Q3b_W1_Participation</f>
        <v>0</v>
      </c>
    </row>
    <row r="164" spans="1:5" x14ac:dyDescent="0.25">
      <c r="A164" t="s">
        <v>431</v>
      </c>
      <c r="B164" t="s">
        <v>1407</v>
      </c>
      <c r="C164" t="s">
        <v>828</v>
      </c>
      <c r="D164" t="s">
        <v>1408</v>
      </c>
      <c r="E164">
        <f>Q3b_W2_Participation</f>
        <v>0</v>
      </c>
    </row>
    <row r="165" spans="1:5" x14ac:dyDescent="0.25">
      <c r="A165" t="s">
        <v>432</v>
      </c>
      <c r="B165" t="s">
        <v>1409</v>
      </c>
      <c r="C165" t="s">
        <v>828</v>
      </c>
      <c r="D165" t="s">
        <v>1410</v>
      </c>
      <c r="E165">
        <f>Q3b_W3_Participation</f>
        <v>0</v>
      </c>
    </row>
    <row r="166" spans="1:5" x14ac:dyDescent="0.25">
      <c r="A166" t="s">
        <v>433</v>
      </c>
      <c r="B166" t="s">
        <v>1411</v>
      </c>
      <c r="C166" t="s">
        <v>828</v>
      </c>
      <c r="D166" t="s">
        <v>1412</v>
      </c>
      <c r="E166">
        <f>Q3b_W4_Participation</f>
        <v>0</v>
      </c>
    </row>
    <row r="167" spans="1:5" x14ac:dyDescent="0.25">
      <c r="A167" t="s">
        <v>434</v>
      </c>
      <c r="B167" t="s">
        <v>1413</v>
      </c>
      <c r="C167" t="s">
        <v>828</v>
      </c>
      <c r="D167" t="s">
        <v>1414</v>
      </c>
      <c r="E167">
        <f>Q3b_W5_Participation</f>
        <v>0</v>
      </c>
    </row>
    <row r="168" spans="1:5" x14ac:dyDescent="0.25">
      <c r="A168" t="s">
        <v>435</v>
      </c>
      <c r="B168" t="s">
        <v>1415</v>
      </c>
      <c r="C168" t="s">
        <v>828</v>
      </c>
      <c r="D168" t="s">
        <v>1416</v>
      </c>
      <c r="E168">
        <f>Q3b_W6_Participation</f>
        <v>0</v>
      </c>
    </row>
    <row r="169" spans="1:5" x14ac:dyDescent="0.25">
      <c r="A169" t="s">
        <v>436</v>
      </c>
      <c r="B169" t="s">
        <v>1417</v>
      </c>
      <c r="C169" t="s">
        <v>828</v>
      </c>
      <c r="D169" t="s">
        <v>1418</v>
      </c>
      <c r="E169">
        <f>Q3b_W7_Participation</f>
        <v>0</v>
      </c>
    </row>
    <row r="170" spans="1:5" x14ac:dyDescent="0.25">
      <c r="A170" t="s">
        <v>437</v>
      </c>
      <c r="B170" t="s">
        <v>1419</v>
      </c>
      <c r="C170" t="s">
        <v>828</v>
      </c>
      <c r="D170" t="s">
        <v>1420</v>
      </c>
      <c r="E170">
        <f>Q3b_W8_Participation</f>
        <v>0</v>
      </c>
    </row>
    <row r="171" spans="1:5" x14ac:dyDescent="0.25">
      <c r="A171" t="s">
        <v>438</v>
      </c>
      <c r="B171" t="s">
        <v>1421</v>
      </c>
      <c r="C171" t="s">
        <v>828</v>
      </c>
      <c r="D171" t="s">
        <v>1422</v>
      </c>
      <c r="E171">
        <f>Q3b_W9_Participation</f>
        <v>0</v>
      </c>
    </row>
    <row r="172" spans="1:5" x14ac:dyDescent="0.25">
      <c r="A172" t="s">
        <v>439</v>
      </c>
      <c r="B172" t="s">
        <v>1423</v>
      </c>
      <c r="C172" t="s">
        <v>828</v>
      </c>
      <c r="D172" t="s">
        <v>1424</v>
      </c>
      <c r="E172">
        <f>Q3b_W10_Participation</f>
        <v>0</v>
      </c>
    </row>
    <row r="173" spans="1:5" x14ac:dyDescent="0.25">
      <c r="A173" t="s">
        <v>441</v>
      </c>
      <c r="B173" t="s">
        <v>1425</v>
      </c>
      <c r="C173" t="s">
        <v>440</v>
      </c>
      <c r="D173" t="s">
        <v>1426</v>
      </c>
      <c r="E173">
        <f>Q3b_X1_Participation</f>
        <v>0</v>
      </c>
    </row>
    <row r="174" spans="1:5" x14ac:dyDescent="0.25">
      <c r="A174" t="s">
        <v>442</v>
      </c>
      <c r="B174" t="s">
        <v>1427</v>
      </c>
      <c r="C174" t="s">
        <v>440</v>
      </c>
      <c r="D174" t="s">
        <v>1428</v>
      </c>
      <c r="E174">
        <f>Q3b_X2_Participation</f>
        <v>0</v>
      </c>
    </row>
    <row r="175" spans="1:5" x14ac:dyDescent="0.25">
      <c r="A175" t="s">
        <v>443</v>
      </c>
      <c r="B175" t="s">
        <v>1429</v>
      </c>
      <c r="C175" t="s">
        <v>440</v>
      </c>
      <c r="D175" t="s">
        <v>1430</v>
      </c>
      <c r="E175">
        <f>Q3b_X3_Participation</f>
        <v>0</v>
      </c>
    </row>
    <row r="176" spans="1:5" x14ac:dyDescent="0.25">
      <c r="A176" t="s">
        <v>444</v>
      </c>
      <c r="B176" t="s">
        <v>1431</v>
      </c>
      <c r="C176" t="s">
        <v>440</v>
      </c>
      <c r="D176" t="s">
        <v>1432</v>
      </c>
      <c r="E176">
        <f>Q3b_X4_Participation</f>
        <v>0</v>
      </c>
    </row>
    <row r="177" spans="1:5" x14ac:dyDescent="0.25">
      <c r="A177" t="s">
        <v>445</v>
      </c>
      <c r="B177" t="s">
        <v>1433</v>
      </c>
      <c r="C177" t="s">
        <v>440</v>
      </c>
      <c r="D177" t="s">
        <v>1434</v>
      </c>
      <c r="E177">
        <f>Q3b_X5_Participation</f>
        <v>0</v>
      </c>
    </row>
    <row r="178" spans="1:5" x14ac:dyDescent="0.25">
      <c r="A178" t="s">
        <v>446</v>
      </c>
      <c r="B178" t="s">
        <v>1435</v>
      </c>
      <c r="C178" t="s">
        <v>440</v>
      </c>
      <c r="D178" t="s">
        <v>1436</v>
      </c>
      <c r="E178">
        <f>Q3b_X6_Participation</f>
        <v>0</v>
      </c>
    </row>
    <row r="179" spans="1:5" x14ac:dyDescent="0.25">
      <c r="A179" t="s">
        <v>447</v>
      </c>
      <c r="B179" t="s">
        <v>1437</v>
      </c>
      <c r="C179" t="s">
        <v>440</v>
      </c>
      <c r="D179" t="s">
        <v>1438</v>
      </c>
      <c r="E179">
        <f>Q3b_X7_Participation</f>
        <v>0</v>
      </c>
    </row>
    <row r="180" spans="1:5" x14ac:dyDescent="0.25">
      <c r="A180" t="s">
        <v>448</v>
      </c>
      <c r="B180" t="s">
        <v>1439</v>
      </c>
      <c r="C180" t="s">
        <v>440</v>
      </c>
      <c r="D180" t="s">
        <v>1440</v>
      </c>
      <c r="E180">
        <f>Q3b_X8_Participation</f>
        <v>0</v>
      </c>
    </row>
    <row r="181" spans="1:5" x14ac:dyDescent="0.25">
      <c r="A181" t="s">
        <v>449</v>
      </c>
      <c r="B181" t="s">
        <v>1441</v>
      </c>
      <c r="C181" t="s">
        <v>440</v>
      </c>
      <c r="D181" t="s">
        <v>1442</v>
      </c>
      <c r="E181">
        <f>Q3b_X9_Participation</f>
        <v>0</v>
      </c>
    </row>
    <row r="182" spans="1:5" x14ac:dyDescent="0.25">
      <c r="A182" t="s">
        <v>450</v>
      </c>
      <c r="B182" t="s">
        <v>1443</v>
      </c>
      <c r="C182" t="s">
        <v>440</v>
      </c>
      <c r="D182" t="s">
        <v>1444</v>
      </c>
      <c r="E182">
        <f>Q3b_X10_Participation</f>
        <v>0</v>
      </c>
    </row>
    <row r="183" spans="1:5" x14ac:dyDescent="0.25">
      <c r="A183" t="s">
        <v>451</v>
      </c>
      <c r="B183" t="s">
        <v>1445</v>
      </c>
      <c r="C183" t="s">
        <v>440</v>
      </c>
      <c r="D183" t="s">
        <v>1446</v>
      </c>
      <c r="E183">
        <f>Q3b_X11_Participation</f>
        <v>0</v>
      </c>
    </row>
    <row r="184" spans="1:5" x14ac:dyDescent="0.25">
      <c r="A184" t="s">
        <v>452</v>
      </c>
      <c r="B184" t="s">
        <v>1447</v>
      </c>
      <c r="C184" t="s">
        <v>440</v>
      </c>
      <c r="D184" t="s">
        <v>1448</v>
      </c>
      <c r="E184">
        <f>Q3b_X12_Participation</f>
        <v>0</v>
      </c>
    </row>
    <row r="185" spans="1:5" x14ac:dyDescent="0.25">
      <c r="A185" t="s">
        <v>453</v>
      </c>
      <c r="B185" t="s">
        <v>1449</v>
      </c>
      <c r="C185" t="s">
        <v>440</v>
      </c>
      <c r="D185" t="s">
        <v>1450</v>
      </c>
      <c r="E185">
        <f>Q3b_X13_Participation</f>
        <v>0</v>
      </c>
    </row>
    <row r="186" spans="1:5" x14ac:dyDescent="0.25">
      <c r="A186" t="s">
        <v>455</v>
      </c>
      <c r="B186" t="s">
        <v>1451</v>
      </c>
      <c r="C186" t="s">
        <v>831</v>
      </c>
      <c r="D186" t="s">
        <v>1452</v>
      </c>
      <c r="E186">
        <f>Q3b_Y1_Participation</f>
        <v>0</v>
      </c>
    </row>
    <row r="187" spans="1:5" x14ac:dyDescent="0.25">
      <c r="A187" t="s">
        <v>793</v>
      </c>
      <c r="B187" t="s">
        <v>1453</v>
      </c>
      <c r="C187" t="s">
        <v>831</v>
      </c>
      <c r="D187" t="s">
        <v>1454</v>
      </c>
      <c r="E187">
        <f>Q3b_Y2_Participation</f>
        <v>0</v>
      </c>
    </row>
    <row r="188" spans="1:5" x14ac:dyDescent="0.25">
      <c r="A188" t="s">
        <v>457</v>
      </c>
      <c r="B188" t="s">
        <v>1455</v>
      </c>
      <c r="C188" t="s">
        <v>831</v>
      </c>
      <c r="D188" t="s">
        <v>1456</v>
      </c>
      <c r="E188">
        <f>Q3b_Y3_Participation</f>
        <v>0</v>
      </c>
    </row>
    <row r="189" spans="1:5" x14ac:dyDescent="0.25">
      <c r="A189" t="s">
        <v>458</v>
      </c>
      <c r="B189" t="s">
        <v>1457</v>
      </c>
      <c r="C189" t="s">
        <v>831</v>
      </c>
      <c r="D189" t="s">
        <v>1458</v>
      </c>
      <c r="E189">
        <f>Q3b_Y4_Participation</f>
        <v>0</v>
      </c>
    </row>
    <row r="190" spans="1:5" x14ac:dyDescent="0.25">
      <c r="A190" t="s">
        <v>459</v>
      </c>
      <c r="B190" t="s">
        <v>1459</v>
      </c>
      <c r="C190" t="s">
        <v>831</v>
      </c>
      <c r="D190" t="s">
        <v>1460</v>
      </c>
      <c r="E190">
        <f>Q3b_Y5_Participation</f>
        <v>0</v>
      </c>
    </row>
    <row r="191" spans="1:5" x14ac:dyDescent="0.25">
      <c r="A191" t="s">
        <v>460</v>
      </c>
      <c r="B191" t="s">
        <v>1461</v>
      </c>
      <c r="C191" t="s">
        <v>831</v>
      </c>
      <c r="D191" t="s">
        <v>1462</v>
      </c>
      <c r="E191">
        <f>Q3b_Y6_Participation</f>
        <v>0</v>
      </c>
    </row>
    <row r="192" spans="1:5" x14ac:dyDescent="0.25">
      <c r="A192" t="s">
        <v>802</v>
      </c>
      <c r="B192" t="s">
        <v>1463</v>
      </c>
      <c r="C192" t="s">
        <v>831</v>
      </c>
      <c r="D192" t="s">
        <v>1464</v>
      </c>
      <c r="E192">
        <f>Q3b_Y7_Participation</f>
        <v>0</v>
      </c>
    </row>
    <row r="193" spans="1:5" x14ac:dyDescent="0.25">
      <c r="A193" t="s">
        <v>462</v>
      </c>
      <c r="B193" t="s">
        <v>1465</v>
      </c>
      <c r="C193" t="s">
        <v>831</v>
      </c>
      <c r="D193" t="s">
        <v>1466</v>
      </c>
      <c r="E193">
        <f>Q3b_Y8_Participation</f>
        <v>0</v>
      </c>
    </row>
    <row r="194" spans="1:5" x14ac:dyDescent="0.25">
      <c r="A194" t="s">
        <v>463</v>
      </c>
      <c r="B194" t="s">
        <v>1467</v>
      </c>
      <c r="C194" t="s">
        <v>831</v>
      </c>
      <c r="D194" t="s">
        <v>1468</v>
      </c>
      <c r="E194">
        <f>Q3b_Y9_Participation</f>
        <v>0</v>
      </c>
    </row>
    <row r="195" spans="1:5" x14ac:dyDescent="0.25">
      <c r="A195" t="s">
        <v>806</v>
      </c>
      <c r="B195" t="s">
        <v>1469</v>
      </c>
      <c r="C195" t="s">
        <v>831</v>
      </c>
      <c r="D195" t="s">
        <v>1470</v>
      </c>
      <c r="E195">
        <f>Q3b_Y10_Participation</f>
        <v>0</v>
      </c>
    </row>
    <row r="196" spans="1:5" x14ac:dyDescent="0.25">
      <c r="A196" t="s">
        <v>465</v>
      </c>
      <c r="B196" t="s">
        <v>1471</v>
      </c>
      <c r="C196" t="s">
        <v>831</v>
      </c>
      <c r="D196" t="s">
        <v>1472</v>
      </c>
      <c r="E196">
        <f>Q3b_Y11_Participation</f>
        <v>0</v>
      </c>
    </row>
    <row r="197" spans="1:5" x14ac:dyDescent="0.25">
      <c r="A197" t="s">
        <v>466</v>
      </c>
      <c r="B197" t="s">
        <v>1473</v>
      </c>
      <c r="C197" t="s">
        <v>831</v>
      </c>
      <c r="D197" t="s">
        <v>1474</v>
      </c>
      <c r="E197">
        <f>Q3b_Y12_Participation</f>
        <v>0</v>
      </c>
    </row>
    <row r="198" spans="1:5" x14ac:dyDescent="0.25">
      <c r="A198" t="s">
        <v>467</v>
      </c>
      <c r="B198" t="s">
        <v>1475</v>
      </c>
      <c r="C198" t="s">
        <v>831</v>
      </c>
      <c r="D198" t="s">
        <v>1476</v>
      </c>
      <c r="E198">
        <f>Q3b_Y13_Participation</f>
        <v>0</v>
      </c>
    </row>
    <row r="199" spans="1:5" x14ac:dyDescent="0.25">
      <c r="A199" t="s">
        <v>468</v>
      </c>
      <c r="B199" t="s">
        <v>1477</v>
      </c>
      <c r="C199" t="s">
        <v>831</v>
      </c>
      <c r="D199" t="s">
        <v>1478</v>
      </c>
      <c r="E199">
        <f>Q3b_Y14_Participation</f>
        <v>0</v>
      </c>
    </row>
    <row r="200" spans="1:5" x14ac:dyDescent="0.25">
      <c r="A200" t="s">
        <v>469</v>
      </c>
      <c r="B200" t="s">
        <v>1479</v>
      </c>
      <c r="C200" t="s">
        <v>831</v>
      </c>
      <c r="D200" t="s">
        <v>1480</v>
      </c>
      <c r="E200">
        <f>Q3b_Y15_Participation</f>
        <v>0</v>
      </c>
    </row>
    <row r="201" spans="1:5" x14ac:dyDescent="0.25">
      <c r="A201" t="s">
        <v>470</v>
      </c>
      <c r="B201" t="s">
        <v>1481</v>
      </c>
      <c r="C201" t="s">
        <v>831</v>
      </c>
      <c r="D201" t="s">
        <v>1482</v>
      </c>
      <c r="E201">
        <f>Q3b_Y16_Participation</f>
        <v>0</v>
      </c>
    </row>
    <row r="202" spans="1:5" x14ac:dyDescent="0.25">
      <c r="A202" t="s">
        <v>471</v>
      </c>
      <c r="B202" t="s">
        <v>1483</v>
      </c>
      <c r="C202" t="s">
        <v>831</v>
      </c>
      <c r="D202" t="s">
        <v>1484</v>
      </c>
      <c r="E202">
        <f>Q3b_Y17_Participation</f>
        <v>0</v>
      </c>
    </row>
    <row r="203" spans="1:5" x14ac:dyDescent="0.25">
      <c r="A203" t="s">
        <v>817</v>
      </c>
      <c r="B203" t="s">
        <v>1485</v>
      </c>
      <c r="C203" t="s">
        <v>831</v>
      </c>
      <c r="D203" t="s">
        <v>1486</v>
      </c>
      <c r="E203">
        <f>Q3b_Y18_Participation</f>
        <v>0</v>
      </c>
    </row>
    <row r="204" spans="1:5" x14ac:dyDescent="0.25">
      <c r="A204" t="s">
        <v>820</v>
      </c>
      <c r="B204" t="s">
        <v>1487</v>
      </c>
      <c r="C204" t="s">
        <v>831</v>
      </c>
      <c r="D204" t="s">
        <v>1488</v>
      </c>
      <c r="E204">
        <f>Q3b_Y19_Participation</f>
        <v>0</v>
      </c>
    </row>
    <row r="205" spans="1:5" x14ac:dyDescent="0.25">
      <c r="A205" t="s">
        <v>474</v>
      </c>
      <c r="B205" t="s">
        <v>1489</v>
      </c>
      <c r="C205" t="s">
        <v>831</v>
      </c>
      <c r="D205" t="s">
        <v>1490</v>
      </c>
      <c r="E205">
        <f>Q3b_Y20_Participation</f>
        <v>0</v>
      </c>
    </row>
    <row r="206" spans="1:5" x14ac:dyDescent="0.25">
      <c r="A206" t="s">
        <v>475</v>
      </c>
      <c r="B206" t="s">
        <v>1491</v>
      </c>
      <c r="C206" t="s">
        <v>831</v>
      </c>
      <c r="D206" t="s">
        <v>1492</v>
      </c>
      <c r="E206">
        <f>Q3b_Y21_Participation</f>
        <v>0</v>
      </c>
    </row>
    <row r="207" spans="1:5" x14ac:dyDescent="0.25">
      <c r="A207" t="s">
        <v>476</v>
      </c>
      <c r="B207" t="s">
        <v>1493</v>
      </c>
      <c r="C207" t="s">
        <v>831</v>
      </c>
      <c r="D207" t="s">
        <v>1494</v>
      </c>
      <c r="E207">
        <f>Q3b_Y22_Participation</f>
        <v>0</v>
      </c>
    </row>
    <row r="208" spans="1:5" x14ac:dyDescent="0.25">
      <c r="A208" t="s">
        <v>477</v>
      </c>
      <c r="B208" t="s">
        <v>1495</v>
      </c>
      <c r="C208" t="s">
        <v>831</v>
      </c>
      <c r="D208" t="s">
        <v>1496</v>
      </c>
      <c r="E208">
        <f>Q3b_Y23_Participation</f>
        <v>0</v>
      </c>
    </row>
    <row r="209" spans="1:5" x14ac:dyDescent="0.25">
      <c r="A209" t="s">
        <v>478</v>
      </c>
      <c r="B209" t="s">
        <v>1497</v>
      </c>
      <c r="C209" t="s">
        <v>831</v>
      </c>
      <c r="D209" t="s">
        <v>1498</v>
      </c>
      <c r="E209">
        <f>Q3b_Y24_Participation</f>
        <v>0</v>
      </c>
    </row>
    <row r="210" spans="1:5" x14ac:dyDescent="0.25">
      <c r="A210" t="s">
        <v>479</v>
      </c>
      <c r="B210" t="s">
        <v>1499</v>
      </c>
      <c r="C210" t="s">
        <v>831</v>
      </c>
      <c r="D210" t="s">
        <v>1500</v>
      </c>
      <c r="E210">
        <f>Q3b_Y25_Participation</f>
        <v>0</v>
      </c>
    </row>
    <row r="211" spans="1:5" x14ac:dyDescent="0.25">
      <c r="A211" t="s">
        <v>480</v>
      </c>
      <c r="B211" t="s">
        <v>1501</v>
      </c>
      <c r="C211" t="s">
        <v>831</v>
      </c>
      <c r="D211" t="s">
        <v>1502</v>
      </c>
      <c r="E211">
        <f>Q3b_Y26_Participation</f>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16"/>
  <sheetViews>
    <sheetView showGridLines="0" showRowColHeaders="0" workbookViewId="0"/>
  </sheetViews>
  <sheetFormatPr defaultRowHeight="12.75" x14ac:dyDescent="0.25"/>
  <cols>
    <col min="1" max="1" width="9.140625" style="19"/>
    <col min="2" max="2" width="3.7109375" style="19" customWidth="1"/>
    <col min="3" max="13" width="10" style="19" customWidth="1"/>
    <col min="14" max="16384" width="9.140625" style="19"/>
  </cols>
  <sheetData>
    <row r="1" spans="2:13" ht="13.5" thickBot="1" x14ac:dyDescent="0.3"/>
    <row r="2" spans="2:13" x14ac:dyDescent="0.25">
      <c r="B2" s="23" t="s">
        <v>10</v>
      </c>
      <c r="C2" s="21"/>
      <c r="D2" s="21"/>
      <c r="E2" s="21"/>
      <c r="F2" s="405" t="s">
        <v>11</v>
      </c>
      <c r="G2" s="405"/>
      <c r="H2" s="405"/>
      <c r="I2" s="405"/>
      <c r="J2" s="405"/>
      <c r="K2" s="21"/>
      <c r="L2" s="21"/>
      <c r="M2" s="43" t="s">
        <v>0</v>
      </c>
    </row>
    <row r="3" spans="2:13" ht="13.5" thickBot="1" x14ac:dyDescent="0.3">
      <c r="B3" s="44" t="s">
        <v>33</v>
      </c>
      <c r="C3" s="45"/>
      <c r="D3" s="45"/>
      <c r="E3" s="45"/>
      <c r="F3" s="45"/>
      <c r="G3" s="45"/>
      <c r="H3" s="45"/>
      <c r="I3" s="45"/>
      <c r="J3" s="45"/>
      <c r="K3" s="45"/>
      <c r="L3" s="45"/>
      <c r="M3" s="46"/>
    </row>
    <row r="4" spans="2:13" ht="49.5" customHeight="1" x14ac:dyDescent="0.25">
      <c r="B4" s="47" t="s">
        <v>34</v>
      </c>
      <c r="C4" s="406" t="s">
        <v>2600</v>
      </c>
      <c r="D4" s="406"/>
      <c r="E4" s="406"/>
      <c r="F4" s="406"/>
      <c r="G4" s="406"/>
      <c r="H4" s="406"/>
      <c r="I4" s="406"/>
      <c r="J4" s="406"/>
      <c r="K4" s="406"/>
      <c r="L4" s="406"/>
      <c r="M4" s="407"/>
    </row>
    <row r="5" spans="2:13" ht="63.75" customHeight="1" x14ac:dyDescent="0.25">
      <c r="B5" s="38" t="s">
        <v>35</v>
      </c>
      <c r="C5" s="408" t="s">
        <v>36</v>
      </c>
      <c r="D5" s="408"/>
      <c r="E5" s="408"/>
      <c r="F5" s="408"/>
      <c r="G5" s="408"/>
      <c r="H5" s="408"/>
      <c r="I5" s="408"/>
      <c r="J5" s="408"/>
      <c r="K5" s="408"/>
      <c r="L5" s="408"/>
      <c r="M5" s="409"/>
    </row>
    <row r="6" spans="2:13" ht="100.5" customHeight="1" x14ac:dyDescent="0.25">
      <c r="B6" s="38" t="s">
        <v>37</v>
      </c>
      <c r="C6" s="408" t="s">
        <v>2601</v>
      </c>
      <c r="D6" s="408"/>
      <c r="E6" s="408"/>
      <c r="F6" s="408"/>
      <c r="G6" s="408"/>
      <c r="H6" s="408"/>
      <c r="I6" s="408"/>
      <c r="J6" s="408"/>
      <c r="K6" s="408"/>
      <c r="L6" s="408"/>
      <c r="M6" s="409"/>
    </row>
    <row r="7" spans="2:13" ht="21" customHeight="1" x14ac:dyDescent="0.25">
      <c r="B7" s="38" t="s">
        <v>38</v>
      </c>
      <c r="C7" s="410" t="s">
        <v>39</v>
      </c>
      <c r="D7" s="410"/>
      <c r="E7" s="410"/>
      <c r="F7" s="410"/>
      <c r="G7" s="410"/>
      <c r="H7" s="410"/>
      <c r="I7" s="410"/>
      <c r="J7" s="410"/>
      <c r="K7" s="410"/>
      <c r="L7" s="410"/>
      <c r="M7" s="411"/>
    </row>
    <row r="8" spans="2:13" ht="33.75" customHeight="1" x14ac:dyDescent="0.25">
      <c r="B8" s="38" t="s">
        <v>40</v>
      </c>
      <c r="C8" s="408" t="s">
        <v>41</v>
      </c>
      <c r="D8" s="408"/>
      <c r="E8" s="408"/>
      <c r="F8" s="408"/>
      <c r="G8" s="408"/>
      <c r="H8" s="408"/>
      <c r="I8" s="408"/>
      <c r="J8" s="408"/>
      <c r="K8" s="408"/>
      <c r="L8" s="408"/>
      <c r="M8" s="409"/>
    </row>
    <row r="9" spans="2:13" ht="67.5" customHeight="1" x14ac:dyDescent="0.25">
      <c r="B9" s="38" t="s">
        <v>42</v>
      </c>
      <c r="C9" s="408" t="s">
        <v>2602</v>
      </c>
      <c r="D9" s="408"/>
      <c r="E9" s="408"/>
      <c r="F9" s="408"/>
      <c r="G9" s="408"/>
      <c r="H9" s="408"/>
      <c r="I9" s="408"/>
      <c r="J9" s="408"/>
      <c r="K9" s="408"/>
      <c r="L9" s="408"/>
      <c r="M9" s="409"/>
    </row>
    <row r="10" spans="2:13" ht="22.5" customHeight="1" x14ac:dyDescent="0.25">
      <c r="B10" s="416" t="s">
        <v>43</v>
      </c>
      <c r="C10" s="412" t="s">
        <v>44</v>
      </c>
      <c r="D10" s="412"/>
      <c r="E10" s="412"/>
      <c r="F10" s="412"/>
      <c r="G10" s="412"/>
      <c r="H10" s="412"/>
      <c r="I10" s="412"/>
      <c r="J10" s="412"/>
      <c r="K10" s="412"/>
      <c r="L10" s="412"/>
      <c r="M10" s="413"/>
    </row>
    <row r="11" spans="2:13" ht="22.5" customHeight="1" x14ac:dyDescent="0.25">
      <c r="B11" s="416"/>
      <c r="C11" s="414" t="s">
        <v>45</v>
      </c>
      <c r="D11" s="414"/>
      <c r="E11" s="414"/>
      <c r="F11" s="414"/>
      <c r="G11" s="414"/>
      <c r="H11" s="414"/>
      <c r="I11" s="414"/>
      <c r="J11" s="414"/>
      <c r="K11" s="414"/>
      <c r="L11" s="414"/>
      <c r="M11" s="415"/>
    </row>
    <row r="12" spans="2:13" ht="22.5" customHeight="1" x14ac:dyDescent="0.25">
      <c r="B12" s="416"/>
      <c r="C12" s="420" t="s">
        <v>46</v>
      </c>
      <c r="D12" s="420"/>
      <c r="E12" s="420"/>
      <c r="F12" s="420"/>
      <c r="G12" s="420"/>
      <c r="H12" s="420"/>
      <c r="I12" s="420"/>
      <c r="J12" s="420"/>
      <c r="K12" s="420"/>
      <c r="L12" s="420"/>
      <c r="M12" s="421"/>
    </row>
    <row r="13" spans="2:13" ht="154.5" customHeight="1" x14ac:dyDescent="0.25">
      <c r="B13" s="416" t="s">
        <v>47</v>
      </c>
      <c r="C13" s="412" t="s">
        <v>48</v>
      </c>
      <c r="D13" s="412"/>
      <c r="E13" s="412"/>
      <c r="F13" s="412"/>
      <c r="G13" s="412"/>
      <c r="H13" s="412"/>
      <c r="I13" s="412"/>
      <c r="J13" s="412"/>
      <c r="K13" s="412"/>
      <c r="L13" s="412"/>
      <c r="M13" s="413"/>
    </row>
    <row r="14" spans="2:13" s="48" customFormat="1" ht="16.5" customHeight="1" thickBot="1" x14ac:dyDescent="0.3">
      <c r="B14" s="417"/>
      <c r="C14" s="418" t="s">
        <v>45</v>
      </c>
      <c r="D14" s="418"/>
      <c r="E14" s="418"/>
      <c r="F14" s="418"/>
      <c r="G14" s="418"/>
      <c r="H14" s="418"/>
      <c r="I14" s="418"/>
      <c r="J14" s="418"/>
      <c r="K14" s="418"/>
      <c r="L14" s="418"/>
      <c r="M14" s="419"/>
    </row>
    <row r="15" spans="2:13" x14ac:dyDescent="0.25">
      <c r="B15" s="20"/>
      <c r="C15" s="21"/>
      <c r="D15" s="21"/>
      <c r="E15" s="21"/>
      <c r="F15" s="21"/>
      <c r="G15" s="21"/>
      <c r="H15" s="21"/>
      <c r="I15" s="21"/>
      <c r="J15" s="21"/>
      <c r="K15" s="21"/>
      <c r="L15" s="21"/>
      <c r="M15" s="22"/>
    </row>
    <row r="16" spans="2:13" ht="13.5" thickBot="1" x14ac:dyDescent="0.3">
      <c r="B16" s="390" t="s">
        <v>9</v>
      </c>
      <c r="C16" s="391"/>
      <c r="D16" s="391"/>
      <c r="E16" s="391"/>
      <c r="F16" s="391"/>
      <c r="G16" s="391"/>
      <c r="H16" s="391"/>
      <c r="I16" s="391"/>
      <c r="J16" s="391"/>
      <c r="K16" s="391"/>
      <c r="L16" s="391"/>
      <c r="M16" s="392"/>
    </row>
  </sheetData>
  <sheetProtection password="C288" sheet="1"/>
  <mergeCells count="15">
    <mergeCell ref="F2:J2"/>
    <mergeCell ref="B16:M16"/>
    <mergeCell ref="C4:M4"/>
    <mergeCell ref="C5:M5"/>
    <mergeCell ref="C6:M6"/>
    <mergeCell ref="C7:M7"/>
    <mergeCell ref="C8:M8"/>
    <mergeCell ref="C9:M9"/>
    <mergeCell ref="C10:M10"/>
    <mergeCell ref="C11:M11"/>
    <mergeCell ref="B13:B14"/>
    <mergeCell ref="C13:M13"/>
    <mergeCell ref="C14:M14"/>
    <mergeCell ref="B10:B12"/>
    <mergeCell ref="C12:M12"/>
  </mergeCells>
  <hyperlinks>
    <hyperlink ref="B2" location="'Table of Contents'!A1" display="Previous Page"/>
    <hyperlink ref="F2" location="'Table of Contents'!A1" display="Table of Contents"/>
    <hyperlink ref="M2" location="Definitions!A1" display="Next Page"/>
    <hyperlink ref="C11:M11" r:id="rId1" display="https://respond.census.gov/criticalfacility"/>
    <hyperlink ref="C14:M14" r:id="rId2" display="https://respond.census.gov/criticalfacility"/>
  </hyperlinks>
  <printOptions horizontalCentered="1"/>
  <pageMargins left="0.25" right="0.25" top="0.75" bottom="0.75" header="0.3" footer="0.3"/>
  <pageSetup scale="83" orientation="landscape" verticalDpi="1200"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0003"/>
  <sheetViews>
    <sheetView topLeftCell="S1" workbookViewId="0">
      <selection activeCell="Y5" sqref="Y5"/>
    </sheetView>
  </sheetViews>
  <sheetFormatPr defaultRowHeight="15" x14ac:dyDescent="0.25"/>
  <sheetData>
    <row r="1" spans="1:42" s="213" customFormat="1" x14ac:dyDescent="0.25">
      <c r="A1" s="213" t="s">
        <v>1503</v>
      </c>
      <c r="B1" s="213" t="s">
        <v>1504</v>
      </c>
      <c r="C1" s="213" t="s">
        <v>1505</v>
      </c>
      <c r="D1" s="213" t="s">
        <v>1506</v>
      </c>
      <c r="E1" s="213" t="s">
        <v>1507</v>
      </c>
      <c r="F1" s="213" t="s">
        <v>1508</v>
      </c>
      <c r="G1" s="213" t="s">
        <v>101</v>
      </c>
      <c r="H1" s="213" t="s">
        <v>108</v>
      </c>
      <c r="I1" s="213" t="s">
        <v>1509</v>
      </c>
      <c r="J1" s="213" t="s">
        <v>1510</v>
      </c>
      <c r="K1" s="213" t="s">
        <v>1511</v>
      </c>
      <c r="L1" s="213" t="s">
        <v>1512</v>
      </c>
      <c r="M1" s="213" t="s">
        <v>184</v>
      </c>
      <c r="N1" s="213" t="s">
        <v>1513</v>
      </c>
      <c r="O1" s="213" t="s">
        <v>1514</v>
      </c>
      <c r="P1" s="213" t="s">
        <v>1515</v>
      </c>
      <c r="Q1" s="213" t="s">
        <v>1516</v>
      </c>
      <c r="R1" s="213" t="s">
        <v>1517</v>
      </c>
      <c r="S1" s="213" t="s">
        <v>1518</v>
      </c>
      <c r="T1" s="213" t="s">
        <v>1519</v>
      </c>
      <c r="U1" s="213" t="s">
        <v>753</v>
      </c>
      <c r="V1" s="213" t="s">
        <v>754</v>
      </c>
      <c r="W1" s="213" t="s">
        <v>755</v>
      </c>
      <c r="X1" s="213" t="s">
        <v>1520</v>
      </c>
      <c r="Y1" s="213" t="s">
        <v>1521</v>
      </c>
      <c r="Z1" s="213" t="s">
        <v>1522</v>
      </c>
      <c r="AA1" s="213" t="s">
        <v>1523</v>
      </c>
      <c r="AB1" s="213" t="s">
        <v>1524</v>
      </c>
      <c r="AC1" s="213" t="s">
        <v>1525</v>
      </c>
      <c r="AD1" s="213" t="s">
        <v>1526</v>
      </c>
      <c r="AE1" s="213" t="s">
        <v>1527</v>
      </c>
      <c r="AF1" s="213" t="s">
        <v>1528</v>
      </c>
      <c r="AG1" s="213" t="s">
        <v>1529</v>
      </c>
      <c r="AH1" s="213" t="s">
        <v>1530</v>
      </c>
      <c r="AI1" s="213" t="s">
        <v>1531</v>
      </c>
      <c r="AJ1" s="213" t="s">
        <v>1532</v>
      </c>
      <c r="AK1" s="213" t="s">
        <v>1533</v>
      </c>
      <c r="AL1" s="213" t="s">
        <v>1534</v>
      </c>
      <c r="AM1" s="213" t="s">
        <v>1535</v>
      </c>
      <c r="AP1" s="213" t="s">
        <v>1536</v>
      </c>
    </row>
    <row r="2" spans="1:42" x14ac:dyDescent="0.25">
      <c r="B2">
        <v>2015</v>
      </c>
      <c r="C2" t="s">
        <v>786</v>
      </c>
      <c r="D2" t="s">
        <v>786</v>
      </c>
      <c r="E2" t="s">
        <v>786</v>
      </c>
      <c r="F2" t="s">
        <v>1537</v>
      </c>
      <c r="G2" t="s">
        <v>785</v>
      </c>
      <c r="H2" t="s">
        <v>87</v>
      </c>
      <c r="I2" t="str">
        <f>IF(COUNTIF('1b'!$H$5:$J$21, "Primary Business Line")&lt;1, "Primary Business Line", "")</f>
        <v>Primary Business Line</v>
      </c>
      <c r="J2" t="s">
        <v>1538</v>
      </c>
      <c r="K2" t="s">
        <v>1539</v>
      </c>
      <c r="L2" t="s">
        <v>1540</v>
      </c>
      <c r="M2" t="s">
        <v>1541</v>
      </c>
      <c r="N2" t="s">
        <v>1542</v>
      </c>
      <c r="O2" t="s">
        <v>1543</v>
      </c>
      <c r="P2" t="s">
        <v>1544</v>
      </c>
      <c r="Q2" t="s">
        <v>1545</v>
      </c>
      <c r="R2" t="s">
        <v>734</v>
      </c>
      <c r="T2" t="s">
        <v>1546</v>
      </c>
      <c r="U2" t="s">
        <v>790</v>
      </c>
      <c r="V2" t="s">
        <v>756</v>
      </c>
      <c r="W2" t="e">
        <v>#N/A</v>
      </c>
      <c r="X2" t="s">
        <v>83</v>
      </c>
      <c r="Y2" t="str">
        <f>IF(ISERROR(IF(Q1a_A_OnlyLoc_YN="Yes", "Single Corporate Location", "Location")), "Location", IF(Q1a_A_OnlyLoc_YN="Yes", "Single Corporate Location", "Location"))</f>
        <v>Location</v>
      </c>
      <c r="Z2" t="s">
        <v>1547</v>
      </c>
      <c r="AA2" t="s">
        <v>1548</v>
      </c>
      <c r="AB2" t="s">
        <v>1549</v>
      </c>
      <c r="AC2" t="s">
        <v>1550</v>
      </c>
      <c r="AD2" t="s">
        <v>74</v>
      </c>
      <c r="AE2" t="s">
        <v>1551</v>
      </c>
      <c r="AF2" t="s">
        <v>1552</v>
      </c>
      <c r="AG2" t="s">
        <v>865</v>
      </c>
      <c r="AH2" t="s">
        <v>1553</v>
      </c>
      <c r="AI2" t="s">
        <v>786</v>
      </c>
      <c r="AJ2" s="215">
        <f t="array" ref="AJ2:AJ231">IF('4b'!E11:E241&lt;&gt;0, '4b'!D11:D241, 0)</f>
        <v>0</v>
      </c>
      <c r="AK2" s="214" t="e">
        <f t="array" ref="AK2:AK231">INDEX(ProgramUnSort,MATCH(SMALL(IF(ProgramUnSort=0,"",IF(ISNUMBER(ProgramUnSort),COUNTIF(ProgramUnSort,"&lt;"&amp;ProgramUnSort),COUNTIF(ProgramUnSort,"&lt;"&amp;ProgramUnSort)+SUM(IF(ISNUMBER(ProgramUnSort),1,0))+1)),ROW()-ROW(ProgramSortStart)+1),IF(ProgramUnSort=0,"",IF(ISNUMBER(ProgramUnSort),COUNTIF(ProgramUnSort,"&lt;"&amp;ProgramUnSort),COUNTIF(ProgramUnSort,"&lt;"&amp;ProgramUnSort)+SUM(IF(ISNUMBER(ProgramUnSort),1,0))+1)),0))</f>
        <v>#NUM!</v>
      </c>
      <c r="AL2" s="217">
        <f t="array" ref="AL2:AL211">IF('PSL for Lists'!E2:E211&lt;&gt;0, 'PSL for Lists'!A2:A211, 0)</f>
        <v>0</v>
      </c>
      <c r="AM2" s="216" t="e">
        <f t="array" ref="AM2:AM211">INDEX(PSLUnSort, MATCH(SMALL(IF(PSLUnSort=0, "", IF(ISNUMBER(PSLUnSort), COUNTIF(PSLUnSort, "&lt;"&amp;PSLUnSort), COUNTIF(PSLUnSort, "&lt;"&amp;PSLUnSort)+SUM(IF(ISNUMBER(PSLUnSort), 1, 0))+1)), ROW()-ROW(PSLSortStart)+1), IF(PSLUnSort=0, "", IF(ISNUMBER(PSLUnSort), COUNTIF(PSLUnSort, "&lt;"&amp;PSLUnSort), COUNTIF(PSLUnSort, "&lt;"&amp;PSLUnSort)+SUM(IF(ISNUMBER(PSLUnSort), 1, 0))+1)), 0))</f>
        <v>#NUM!</v>
      </c>
      <c r="AP2" t="s">
        <v>2628</v>
      </c>
    </row>
    <row r="3" spans="1:42" x14ac:dyDescent="0.25">
      <c r="C3" t="s">
        <v>788</v>
      </c>
      <c r="D3" t="s">
        <v>788</v>
      </c>
      <c r="E3" t="s">
        <v>788</v>
      </c>
      <c r="F3" t="s">
        <v>1554</v>
      </c>
      <c r="G3" t="s">
        <v>1555</v>
      </c>
      <c r="H3" t="s">
        <v>1556</v>
      </c>
      <c r="I3" t="s">
        <v>1557</v>
      </c>
      <c r="J3" t="s">
        <v>1558</v>
      </c>
      <c r="K3" t="s">
        <v>1559</v>
      </c>
      <c r="L3" t="s">
        <v>1560</v>
      </c>
      <c r="M3" t="s">
        <v>1561</v>
      </c>
      <c r="N3" t="s">
        <v>1548</v>
      </c>
      <c r="O3" t="s">
        <v>1562</v>
      </c>
      <c r="P3" t="s">
        <v>1563</v>
      </c>
      <c r="Q3" t="s">
        <v>1564</v>
      </c>
      <c r="R3" t="s">
        <v>489</v>
      </c>
      <c r="S3" t="s">
        <v>1565</v>
      </c>
      <c r="T3" t="s">
        <v>1566</v>
      </c>
      <c r="U3" t="s">
        <v>792</v>
      </c>
      <c r="V3" t="s">
        <v>757</v>
      </c>
      <c r="W3" t="e">
        <v>#N/A</v>
      </c>
      <c r="X3" t="s">
        <v>81</v>
      </c>
      <c r="Y3" t="str">
        <f>IF(ISERROR(IF(Q1a_A_OnlyLoc_YN="Yes", "", "Division/Business Unit")), "Division/Business Unit", IF(Q1a_A_OnlyLoc_YN="Yes", "", "Division/Business Unit"))</f>
        <v>Division/Business Unit</v>
      </c>
      <c r="Z3" t="s">
        <v>1567</v>
      </c>
      <c r="AA3" t="s">
        <v>1568</v>
      </c>
      <c r="AB3" t="s">
        <v>1569</v>
      </c>
      <c r="AC3" t="s">
        <v>1570</v>
      </c>
      <c r="AD3" t="s">
        <v>1571</v>
      </c>
      <c r="AE3" t="s">
        <v>1572</v>
      </c>
      <c r="AF3" t="s">
        <v>1573</v>
      </c>
      <c r="AG3">
        <v>1</v>
      </c>
      <c r="AH3" t="s">
        <v>788</v>
      </c>
      <c r="AI3" t="s">
        <v>788</v>
      </c>
      <c r="AJ3" s="215">
        <v>0</v>
      </c>
      <c r="AK3" s="214" t="e">
        <v>#NUM!</v>
      </c>
      <c r="AL3" s="217">
        <v>0</v>
      </c>
      <c r="AM3" s="216" t="e">
        <v>#NUM!</v>
      </c>
      <c r="AP3" t="s">
        <v>1574</v>
      </c>
    </row>
    <row r="4" spans="1:42" x14ac:dyDescent="0.25">
      <c r="D4" t="s">
        <v>1575</v>
      </c>
      <c r="E4" t="s">
        <v>1553</v>
      </c>
      <c r="G4" t="s">
        <v>1576</v>
      </c>
      <c r="H4" t="s">
        <v>1577</v>
      </c>
      <c r="J4" t="s">
        <v>1578</v>
      </c>
      <c r="K4" t="s">
        <v>1579</v>
      </c>
      <c r="L4" t="s">
        <v>1580</v>
      </c>
      <c r="M4" t="s">
        <v>1575</v>
      </c>
      <c r="N4" t="s">
        <v>1575</v>
      </c>
      <c r="O4" t="s">
        <v>1575</v>
      </c>
      <c r="P4" t="s">
        <v>1575</v>
      </c>
      <c r="Q4" t="s">
        <v>1581</v>
      </c>
      <c r="R4" t="s">
        <v>490</v>
      </c>
      <c r="T4" t="s">
        <v>1582</v>
      </c>
      <c r="U4" t="s">
        <v>794</v>
      </c>
      <c r="V4" t="s">
        <v>758</v>
      </c>
      <c r="W4" t="e">
        <v>#N/A</v>
      </c>
      <c r="X4" t="s">
        <v>787</v>
      </c>
      <c r="Y4" t="str">
        <f>IF(ISERROR(IF(Q1a_A_OnlyLoc_YN="Yes", "", "Corporate/Whole Organization")), "Corporate/Whole Organization", IF(Q1a_A_OnlyLoc_YN="Yes", "", "Corporate/Whole Organization"))</f>
        <v>Corporate/Whole Organization</v>
      </c>
      <c r="AA4" t="s">
        <v>1583</v>
      </c>
      <c r="AB4" t="s">
        <v>1584</v>
      </c>
      <c r="AC4" t="s">
        <v>1575</v>
      </c>
      <c r="AD4" t="s">
        <v>1575</v>
      </c>
      <c r="AE4" t="s">
        <v>1585</v>
      </c>
      <c r="AF4" t="s">
        <v>1575</v>
      </c>
      <c r="AG4">
        <v>2</v>
      </c>
      <c r="AH4" t="s">
        <v>1586</v>
      </c>
      <c r="AI4" t="s">
        <v>1587</v>
      </c>
      <c r="AJ4" s="215">
        <v>0</v>
      </c>
      <c r="AK4" s="214" t="e">
        <v>#NUM!</v>
      </c>
      <c r="AL4" s="217">
        <v>0</v>
      </c>
      <c r="AM4" s="216" t="e">
        <v>#NUM!</v>
      </c>
      <c r="AP4" t="s">
        <v>1575</v>
      </c>
    </row>
    <row r="5" spans="1:42" x14ac:dyDescent="0.25">
      <c r="D5" t="s">
        <v>1587</v>
      </c>
      <c r="G5" t="s">
        <v>1588</v>
      </c>
      <c r="H5" t="s">
        <v>1589</v>
      </c>
      <c r="K5" t="s">
        <v>1590</v>
      </c>
      <c r="L5" t="s">
        <v>1591</v>
      </c>
      <c r="N5" t="s">
        <v>1587</v>
      </c>
      <c r="O5" t="s">
        <v>788</v>
      </c>
      <c r="P5" t="s">
        <v>865</v>
      </c>
      <c r="Q5" t="s">
        <v>1592</v>
      </c>
      <c r="R5" t="s">
        <v>491</v>
      </c>
      <c r="U5" t="s">
        <v>278</v>
      </c>
      <c r="V5" t="s">
        <v>759</v>
      </c>
      <c r="W5" t="e">
        <v>#N/A</v>
      </c>
      <c r="X5" t="s">
        <v>1587</v>
      </c>
      <c r="AA5" t="s">
        <v>1593</v>
      </c>
      <c r="AB5" t="s">
        <v>1594</v>
      </c>
      <c r="AC5" t="s">
        <v>787</v>
      </c>
      <c r="AD5" t="s">
        <v>788</v>
      </c>
      <c r="AE5" t="s">
        <v>1595</v>
      </c>
      <c r="AF5" t="s">
        <v>788</v>
      </c>
      <c r="AG5">
        <v>3</v>
      </c>
      <c r="AH5" t="s">
        <v>1596</v>
      </c>
      <c r="AI5" t="s">
        <v>1553</v>
      </c>
      <c r="AJ5" s="215">
        <v>0</v>
      </c>
      <c r="AK5" s="214" t="e">
        <v>#NUM!</v>
      </c>
      <c r="AL5" s="217">
        <v>0</v>
      </c>
      <c r="AM5" s="216" t="e">
        <v>#NUM!</v>
      </c>
    </row>
    <row r="6" spans="1:42" x14ac:dyDescent="0.25">
      <c r="D6" t="s">
        <v>1553</v>
      </c>
      <c r="G6" t="s">
        <v>1597</v>
      </c>
      <c r="H6" t="s">
        <v>1598</v>
      </c>
      <c r="K6" t="s">
        <v>1599</v>
      </c>
      <c r="L6" t="s">
        <v>1600</v>
      </c>
      <c r="O6" t="s">
        <v>138</v>
      </c>
      <c r="P6" t="s">
        <v>1587</v>
      </c>
      <c r="Q6" t="s">
        <v>1601</v>
      </c>
      <c r="R6" t="s">
        <v>492</v>
      </c>
      <c r="U6" t="s">
        <v>290</v>
      </c>
      <c r="V6" t="s">
        <v>760</v>
      </c>
      <c r="W6" t="e">
        <v>#N/A</v>
      </c>
      <c r="AA6" t="s">
        <v>138</v>
      </c>
      <c r="AB6" t="s">
        <v>865</v>
      </c>
      <c r="AE6" t="s">
        <v>1602</v>
      </c>
      <c r="AG6">
        <v>4</v>
      </c>
      <c r="AJ6" s="215">
        <v>0</v>
      </c>
      <c r="AK6" s="214" t="e">
        <v>#NUM!</v>
      </c>
      <c r="AL6" s="217">
        <v>0</v>
      </c>
      <c r="AM6" s="216" t="e">
        <v>#NUM!</v>
      </c>
    </row>
    <row r="7" spans="1:42" x14ac:dyDescent="0.25">
      <c r="G7" t="s">
        <v>1603</v>
      </c>
      <c r="H7" t="s">
        <v>1604</v>
      </c>
      <c r="K7" t="s">
        <v>1605</v>
      </c>
      <c r="L7" t="s">
        <v>1606</v>
      </c>
      <c r="O7" t="s">
        <v>1587</v>
      </c>
      <c r="Q7" t="s">
        <v>1607</v>
      </c>
      <c r="R7" t="s">
        <v>1608</v>
      </c>
      <c r="U7" t="s">
        <v>798</v>
      </c>
      <c r="V7" t="s">
        <v>761</v>
      </c>
      <c r="W7" t="e">
        <v>#N/A</v>
      </c>
      <c r="AB7" t="s">
        <v>1587</v>
      </c>
      <c r="AE7" t="s">
        <v>1609</v>
      </c>
      <c r="AG7">
        <v>5</v>
      </c>
      <c r="AJ7" s="215">
        <v>0</v>
      </c>
      <c r="AK7" s="214" t="e">
        <v>#NUM!</v>
      </c>
      <c r="AL7" s="217">
        <v>0</v>
      </c>
      <c r="AM7" s="216" t="e">
        <v>#NUM!</v>
      </c>
    </row>
    <row r="8" spans="1:42" x14ac:dyDescent="0.25">
      <c r="G8" t="s">
        <v>1610</v>
      </c>
      <c r="H8" t="s">
        <v>1611</v>
      </c>
      <c r="K8" t="s">
        <v>1612</v>
      </c>
      <c r="L8" t="s">
        <v>1613</v>
      </c>
      <c r="Q8" t="s">
        <v>1614</v>
      </c>
      <c r="R8" t="s">
        <v>1545</v>
      </c>
      <c r="U8" t="s">
        <v>800</v>
      </c>
      <c r="V8" t="s">
        <v>762</v>
      </c>
      <c r="W8" t="e">
        <v>#N/A</v>
      </c>
      <c r="AB8" t="s">
        <v>1553</v>
      </c>
      <c r="AE8" t="s">
        <v>1615</v>
      </c>
      <c r="AG8">
        <v>6</v>
      </c>
      <c r="AJ8" s="215">
        <v>0</v>
      </c>
      <c r="AK8" s="214" t="e">
        <v>#NUM!</v>
      </c>
      <c r="AL8" s="217">
        <v>0</v>
      </c>
      <c r="AM8" s="216" t="e">
        <v>#NUM!</v>
      </c>
    </row>
    <row r="9" spans="1:42" x14ac:dyDescent="0.25">
      <c r="G9" t="s">
        <v>1616</v>
      </c>
      <c r="H9" t="s">
        <v>1617</v>
      </c>
      <c r="K9" t="s">
        <v>1618</v>
      </c>
      <c r="L9" t="s">
        <v>1619</v>
      </c>
      <c r="Q9" t="s">
        <v>1620</v>
      </c>
      <c r="R9" t="s">
        <v>1564</v>
      </c>
      <c r="U9" t="s">
        <v>803</v>
      </c>
      <c r="V9" t="s">
        <v>763</v>
      </c>
      <c r="W9" t="e">
        <v>#N/A</v>
      </c>
      <c r="AE9" t="s">
        <v>1553</v>
      </c>
      <c r="AG9">
        <v>7</v>
      </c>
      <c r="AJ9" s="215">
        <v>0</v>
      </c>
      <c r="AK9" s="214" t="e">
        <v>#NUM!</v>
      </c>
      <c r="AL9" s="217">
        <v>0</v>
      </c>
      <c r="AM9" s="216" t="e">
        <v>#NUM!</v>
      </c>
    </row>
    <row r="10" spans="1:42" x14ac:dyDescent="0.25">
      <c r="G10" t="s">
        <v>1621</v>
      </c>
      <c r="H10" t="s">
        <v>1622</v>
      </c>
      <c r="K10" t="s">
        <v>1623</v>
      </c>
      <c r="L10" t="s">
        <v>1624</v>
      </c>
      <c r="Q10" t="s">
        <v>1625</v>
      </c>
      <c r="R10" t="s">
        <v>1626</v>
      </c>
      <c r="U10" t="s">
        <v>316</v>
      </c>
      <c r="V10" t="s">
        <v>764</v>
      </c>
      <c r="W10" t="e">
        <v>#N/A</v>
      </c>
      <c r="AG10">
        <v>8</v>
      </c>
      <c r="AJ10" s="215">
        <v>0</v>
      </c>
      <c r="AK10" s="214" t="e">
        <v>#NUM!</v>
      </c>
      <c r="AL10" s="217">
        <v>0</v>
      </c>
      <c r="AM10" s="216" t="e">
        <v>#NUM!</v>
      </c>
    </row>
    <row r="11" spans="1:42" x14ac:dyDescent="0.25">
      <c r="G11" t="s">
        <v>1627</v>
      </c>
      <c r="H11" t="s">
        <v>1628</v>
      </c>
      <c r="K11" t="s">
        <v>1629</v>
      </c>
      <c r="L11" t="s">
        <v>1630</v>
      </c>
      <c r="Q11" t="s">
        <v>1631</v>
      </c>
      <c r="R11" t="s">
        <v>1581</v>
      </c>
      <c r="U11" t="s">
        <v>804</v>
      </c>
      <c r="V11" t="s">
        <v>765</v>
      </c>
      <c r="W11" t="e">
        <v>#N/A</v>
      </c>
      <c r="AG11">
        <v>9</v>
      </c>
      <c r="AJ11" s="215">
        <v>0</v>
      </c>
      <c r="AK11" s="214" t="e">
        <v>#NUM!</v>
      </c>
      <c r="AL11" s="217">
        <v>0</v>
      </c>
      <c r="AM11" s="216" t="e">
        <v>#NUM!</v>
      </c>
    </row>
    <row r="12" spans="1:42" x14ac:dyDescent="0.25">
      <c r="G12" t="s">
        <v>1632</v>
      </c>
      <c r="H12" t="s">
        <v>1633</v>
      </c>
      <c r="L12" t="s">
        <v>1634</v>
      </c>
      <c r="Q12" t="s">
        <v>1635</v>
      </c>
      <c r="R12" t="s">
        <v>1636</v>
      </c>
      <c r="U12" t="s">
        <v>807</v>
      </c>
      <c r="V12" t="s">
        <v>766</v>
      </c>
      <c r="W12" t="e">
        <v>#N/A</v>
      </c>
      <c r="AG12">
        <v>10</v>
      </c>
      <c r="AJ12" s="215">
        <v>0</v>
      </c>
      <c r="AK12" s="214" t="e">
        <v>#NUM!</v>
      </c>
      <c r="AL12" s="217">
        <v>0</v>
      </c>
      <c r="AM12" s="216" t="e">
        <v>#NUM!</v>
      </c>
    </row>
    <row r="13" spans="1:42" x14ac:dyDescent="0.25">
      <c r="G13" t="s">
        <v>1637</v>
      </c>
      <c r="H13" t="s">
        <v>1638</v>
      </c>
      <c r="L13" t="s">
        <v>1639</v>
      </c>
      <c r="Q13" t="s">
        <v>1640</v>
      </c>
      <c r="R13" t="s">
        <v>1592</v>
      </c>
      <c r="U13" t="s">
        <v>808</v>
      </c>
      <c r="V13" t="s">
        <v>767</v>
      </c>
      <c r="W13" t="e">
        <v>#N/A</v>
      </c>
      <c r="AG13">
        <v>11</v>
      </c>
      <c r="AJ13" s="215">
        <v>0</v>
      </c>
      <c r="AK13" s="214" t="e">
        <v>#NUM!</v>
      </c>
      <c r="AL13" s="217">
        <v>0</v>
      </c>
      <c r="AM13" s="216" t="e">
        <v>#NUM!</v>
      </c>
    </row>
    <row r="14" spans="1:42" x14ac:dyDescent="0.25">
      <c r="G14" t="s">
        <v>1641</v>
      </c>
      <c r="H14" t="s">
        <v>1642</v>
      </c>
      <c r="L14" t="s">
        <v>1629</v>
      </c>
      <c r="Q14" t="s">
        <v>1643</v>
      </c>
      <c r="R14" t="s">
        <v>1601</v>
      </c>
      <c r="U14" t="s">
        <v>809</v>
      </c>
      <c r="V14" t="s">
        <v>768</v>
      </c>
      <c r="W14" t="e">
        <v>#N/A</v>
      </c>
      <c r="AG14">
        <v>12</v>
      </c>
      <c r="AJ14" s="215">
        <v>0</v>
      </c>
      <c r="AK14" s="214" t="e">
        <v>#NUM!</v>
      </c>
      <c r="AL14" s="217">
        <v>0</v>
      </c>
      <c r="AM14" s="216" t="e">
        <v>#NUM!</v>
      </c>
    </row>
    <row r="15" spans="1:42" x14ac:dyDescent="0.25">
      <c r="G15" t="s">
        <v>1644</v>
      </c>
      <c r="H15" t="s">
        <v>1645</v>
      </c>
      <c r="Q15" t="s">
        <v>1646</v>
      </c>
      <c r="R15" t="s">
        <v>1607</v>
      </c>
      <c r="U15" t="s">
        <v>810</v>
      </c>
      <c r="V15" t="s">
        <v>769</v>
      </c>
      <c r="W15" t="e">
        <v>#N/A</v>
      </c>
      <c r="AG15">
        <v>13</v>
      </c>
      <c r="AJ15" s="215">
        <v>0</v>
      </c>
      <c r="AK15" s="214" t="e">
        <v>#NUM!</v>
      </c>
      <c r="AL15" s="217">
        <v>0</v>
      </c>
      <c r="AM15" s="216" t="e">
        <v>#NUM!</v>
      </c>
    </row>
    <row r="16" spans="1:42" x14ac:dyDescent="0.25">
      <c r="G16" t="s">
        <v>1647</v>
      </c>
      <c r="H16" t="s">
        <v>1648</v>
      </c>
      <c r="Q16" t="s">
        <v>1649</v>
      </c>
      <c r="R16" t="s">
        <v>1650</v>
      </c>
      <c r="U16" t="s">
        <v>811</v>
      </c>
      <c r="V16" t="s">
        <v>770</v>
      </c>
      <c r="W16" t="e">
        <v>#N/A</v>
      </c>
      <c r="AG16">
        <v>14</v>
      </c>
      <c r="AJ16" s="215">
        <v>0</v>
      </c>
      <c r="AK16" s="214" t="e">
        <v>#NUM!</v>
      </c>
      <c r="AL16" s="217">
        <v>0</v>
      </c>
      <c r="AM16" s="216" t="e">
        <v>#NUM!</v>
      </c>
    </row>
    <row r="17" spans="7:39" x14ac:dyDescent="0.25">
      <c r="G17" t="s">
        <v>1651</v>
      </c>
      <c r="H17" t="s">
        <v>1652</v>
      </c>
      <c r="Q17" t="s">
        <v>1653</v>
      </c>
      <c r="R17" t="s">
        <v>1614</v>
      </c>
      <c r="U17" t="s">
        <v>782</v>
      </c>
      <c r="V17" t="s">
        <v>771</v>
      </c>
      <c r="W17" t="e">
        <v>#N/A</v>
      </c>
      <c r="AG17">
        <v>15</v>
      </c>
      <c r="AJ17" s="215">
        <v>0</v>
      </c>
      <c r="AK17" s="214" t="e">
        <v>#NUM!</v>
      </c>
      <c r="AL17" s="217">
        <v>0</v>
      </c>
      <c r="AM17" s="216" t="e">
        <v>#NUM!</v>
      </c>
    </row>
    <row r="18" spans="7:39" x14ac:dyDescent="0.25">
      <c r="G18" t="s">
        <v>1654</v>
      </c>
      <c r="H18" t="s">
        <v>1655</v>
      </c>
      <c r="Q18" t="s">
        <v>1656</v>
      </c>
      <c r="R18" t="s">
        <v>1620</v>
      </c>
      <c r="U18" t="s">
        <v>814</v>
      </c>
      <c r="V18" t="s">
        <v>772</v>
      </c>
      <c r="W18" t="e">
        <v>#N/A</v>
      </c>
      <c r="AG18">
        <v>16</v>
      </c>
      <c r="AJ18" s="215">
        <v>0</v>
      </c>
      <c r="AK18" s="214" t="e">
        <v>#NUM!</v>
      </c>
      <c r="AL18" s="217">
        <v>0</v>
      </c>
      <c r="AM18" s="216" t="e">
        <v>#NUM!</v>
      </c>
    </row>
    <row r="19" spans="7:39" x14ac:dyDescent="0.25">
      <c r="G19" t="s">
        <v>1657</v>
      </c>
      <c r="H19" t="s">
        <v>1658</v>
      </c>
      <c r="Q19" t="s">
        <v>1659</v>
      </c>
      <c r="R19" t="s">
        <v>1625</v>
      </c>
      <c r="U19" t="s">
        <v>816</v>
      </c>
      <c r="V19" t="s">
        <v>773</v>
      </c>
      <c r="W19" t="e">
        <v>#N/A</v>
      </c>
      <c r="AG19">
        <v>17</v>
      </c>
      <c r="AJ19" s="215">
        <v>0</v>
      </c>
      <c r="AK19" s="214" t="e">
        <v>#NUM!</v>
      </c>
      <c r="AL19" s="217">
        <v>0</v>
      </c>
      <c r="AM19" s="216" t="e">
        <v>#NUM!</v>
      </c>
    </row>
    <row r="20" spans="7:39" x14ac:dyDescent="0.25">
      <c r="G20" t="s">
        <v>1660</v>
      </c>
      <c r="H20" t="s">
        <v>1661</v>
      </c>
      <c r="Q20" t="s">
        <v>1662</v>
      </c>
      <c r="R20" t="s">
        <v>1631</v>
      </c>
      <c r="U20" t="s">
        <v>819</v>
      </c>
      <c r="V20" t="s">
        <v>774</v>
      </c>
      <c r="W20" t="e">
        <v>#N/A</v>
      </c>
      <c r="AG20">
        <v>18</v>
      </c>
      <c r="AJ20" s="215">
        <v>0</v>
      </c>
      <c r="AK20" s="214" t="e">
        <v>#NUM!</v>
      </c>
      <c r="AL20" s="217">
        <v>0</v>
      </c>
      <c r="AM20" s="216" t="e">
        <v>#NUM!</v>
      </c>
    </row>
    <row r="21" spans="7:39" x14ac:dyDescent="0.25">
      <c r="G21" t="s">
        <v>1663</v>
      </c>
      <c r="H21" t="s">
        <v>1664</v>
      </c>
      <c r="Q21" t="s">
        <v>1665</v>
      </c>
      <c r="R21" t="s">
        <v>1666</v>
      </c>
      <c r="U21" t="s">
        <v>822</v>
      </c>
      <c r="V21" t="s">
        <v>775</v>
      </c>
      <c r="W21" t="e">
        <v>#N/A</v>
      </c>
      <c r="AG21">
        <v>19</v>
      </c>
      <c r="AJ21" s="215">
        <v>0</v>
      </c>
      <c r="AK21" s="214" t="e">
        <v>#NUM!</v>
      </c>
      <c r="AL21" s="217">
        <v>0</v>
      </c>
      <c r="AM21" s="216" t="e">
        <v>#NUM!</v>
      </c>
    </row>
    <row r="22" spans="7:39" x14ac:dyDescent="0.25">
      <c r="G22" t="s">
        <v>1667</v>
      </c>
      <c r="H22" t="s">
        <v>1668</v>
      </c>
      <c r="Q22" t="s">
        <v>1669</v>
      </c>
      <c r="R22" t="s">
        <v>1635</v>
      </c>
      <c r="U22" t="s">
        <v>824</v>
      </c>
      <c r="V22" t="s">
        <v>776</v>
      </c>
      <c r="W22" t="e">
        <v>#N/A</v>
      </c>
      <c r="AG22">
        <v>20</v>
      </c>
      <c r="AJ22" s="215">
        <v>0</v>
      </c>
      <c r="AK22" s="214" t="e">
        <v>#NUM!</v>
      </c>
      <c r="AL22" s="217">
        <v>0</v>
      </c>
      <c r="AM22" s="216" t="e">
        <v>#NUM!</v>
      </c>
    </row>
    <row r="23" spans="7:39" x14ac:dyDescent="0.25">
      <c r="G23" t="s">
        <v>1670</v>
      </c>
      <c r="H23" t="s">
        <v>1671</v>
      </c>
      <c r="Q23" t="s">
        <v>1672</v>
      </c>
      <c r="R23" t="s">
        <v>1640</v>
      </c>
      <c r="U23" t="s">
        <v>826</v>
      </c>
      <c r="V23" t="s">
        <v>777</v>
      </c>
      <c r="W23" t="e">
        <v>#N/A</v>
      </c>
      <c r="AG23">
        <v>21</v>
      </c>
      <c r="AJ23" s="215">
        <v>0</v>
      </c>
      <c r="AK23" s="214" t="e">
        <v>#NUM!</v>
      </c>
      <c r="AL23" s="217">
        <v>0</v>
      </c>
      <c r="AM23" s="216" t="e">
        <v>#NUM!</v>
      </c>
    </row>
    <row r="24" spans="7:39" x14ac:dyDescent="0.25">
      <c r="G24" t="s">
        <v>1673</v>
      </c>
      <c r="H24" t="s">
        <v>1674</v>
      </c>
      <c r="Q24" t="s">
        <v>1675</v>
      </c>
      <c r="R24" t="s">
        <v>499</v>
      </c>
      <c r="U24" t="s">
        <v>828</v>
      </c>
      <c r="V24" t="s">
        <v>778</v>
      </c>
      <c r="W24" t="e">
        <v>#N/A</v>
      </c>
      <c r="AG24">
        <v>22</v>
      </c>
      <c r="AJ24" s="215">
        <v>0</v>
      </c>
      <c r="AK24" s="214" t="e">
        <v>#NUM!</v>
      </c>
      <c r="AL24" s="217">
        <v>0</v>
      </c>
      <c r="AM24" s="216" t="e">
        <v>#NUM!</v>
      </c>
    </row>
    <row r="25" spans="7:39" x14ac:dyDescent="0.25">
      <c r="G25" t="s">
        <v>1676</v>
      </c>
      <c r="H25" t="s">
        <v>1677</v>
      </c>
      <c r="Q25" t="s">
        <v>1678</v>
      </c>
      <c r="R25" t="s">
        <v>1643</v>
      </c>
      <c r="U25" t="s">
        <v>440</v>
      </c>
      <c r="V25" t="s">
        <v>779</v>
      </c>
      <c r="W25" t="e">
        <v>#N/A</v>
      </c>
      <c r="AG25">
        <v>23</v>
      </c>
      <c r="AJ25" s="215">
        <v>0</v>
      </c>
      <c r="AK25" s="214" t="e">
        <v>#NUM!</v>
      </c>
      <c r="AL25" s="217">
        <v>0</v>
      </c>
      <c r="AM25" s="216" t="e">
        <v>#NUM!</v>
      </c>
    </row>
    <row r="26" spans="7:39" x14ac:dyDescent="0.25">
      <c r="G26" t="s">
        <v>1679</v>
      </c>
      <c r="H26" t="s">
        <v>1680</v>
      </c>
      <c r="Q26" t="s">
        <v>1681</v>
      </c>
      <c r="R26" t="s">
        <v>1646</v>
      </c>
      <c r="U26" t="s">
        <v>831</v>
      </c>
      <c r="V26" t="s">
        <v>780</v>
      </c>
      <c r="W26" t="e">
        <v>#N/A</v>
      </c>
      <c r="AG26">
        <v>24</v>
      </c>
      <c r="AJ26" s="215">
        <v>0</v>
      </c>
      <c r="AK26" s="214" t="e">
        <v>#NUM!</v>
      </c>
      <c r="AL26" s="217">
        <v>0</v>
      </c>
      <c r="AM26" s="216" t="e">
        <v>#NUM!</v>
      </c>
    </row>
    <row r="27" spans="7:39" x14ac:dyDescent="0.25">
      <c r="G27" t="s">
        <v>1682</v>
      </c>
      <c r="H27" t="s">
        <v>1683</v>
      </c>
      <c r="Q27" t="s">
        <v>1684</v>
      </c>
      <c r="R27" t="s">
        <v>1649</v>
      </c>
      <c r="AG27">
        <v>25</v>
      </c>
      <c r="AJ27" s="215">
        <v>0</v>
      </c>
      <c r="AK27" s="214" t="e">
        <v>#NUM!</v>
      </c>
      <c r="AL27" s="217">
        <v>0</v>
      </c>
      <c r="AM27" s="216" t="e">
        <v>#NUM!</v>
      </c>
    </row>
    <row r="28" spans="7:39" x14ac:dyDescent="0.25">
      <c r="G28" t="s">
        <v>1685</v>
      </c>
      <c r="H28" t="s">
        <v>1686</v>
      </c>
      <c r="Q28" t="s">
        <v>138</v>
      </c>
      <c r="R28" t="s">
        <v>1653</v>
      </c>
      <c r="AG28">
        <v>26</v>
      </c>
      <c r="AJ28" s="215">
        <v>0</v>
      </c>
      <c r="AK28" s="214" t="e">
        <v>#NUM!</v>
      </c>
      <c r="AL28" s="217">
        <v>0</v>
      </c>
      <c r="AM28" s="216" t="e">
        <v>#NUM!</v>
      </c>
    </row>
    <row r="29" spans="7:39" x14ac:dyDescent="0.25">
      <c r="G29" t="s">
        <v>1687</v>
      </c>
      <c r="H29" t="s">
        <v>1688</v>
      </c>
      <c r="R29" t="s">
        <v>1656</v>
      </c>
      <c r="AG29">
        <v>27</v>
      </c>
      <c r="AJ29" s="215">
        <v>0</v>
      </c>
      <c r="AK29" s="214" t="e">
        <v>#NUM!</v>
      </c>
      <c r="AL29" s="217">
        <v>0</v>
      </c>
      <c r="AM29" s="216" t="e">
        <v>#NUM!</v>
      </c>
    </row>
    <row r="30" spans="7:39" x14ac:dyDescent="0.25">
      <c r="G30" t="s">
        <v>1689</v>
      </c>
      <c r="H30" t="s">
        <v>1690</v>
      </c>
      <c r="R30" t="s">
        <v>1659</v>
      </c>
      <c r="AG30">
        <v>28</v>
      </c>
      <c r="AJ30" s="215">
        <v>0</v>
      </c>
      <c r="AK30" s="214" t="e">
        <v>#NUM!</v>
      </c>
      <c r="AL30" s="217">
        <v>0</v>
      </c>
      <c r="AM30" s="216" t="e">
        <v>#NUM!</v>
      </c>
    </row>
    <row r="31" spans="7:39" x14ac:dyDescent="0.25">
      <c r="G31" t="s">
        <v>1691</v>
      </c>
      <c r="H31" t="s">
        <v>1692</v>
      </c>
      <c r="R31" t="s">
        <v>1693</v>
      </c>
      <c r="AG31">
        <v>29</v>
      </c>
      <c r="AJ31" s="215">
        <v>0</v>
      </c>
      <c r="AK31" s="214" t="e">
        <v>#NUM!</v>
      </c>
      <c r="AL31" s="217">
        <v>0</v>
      </c>
      <c r="AM31" s="216" t="e">
        <v>#NUM!</v>
      </c>
    </row>
    <row r="32" spans="7:39" x14ac:dyDescent="0.25">
      <c r="G32" t="s">
        <v>1694</v>
      </c>
      <c r="H32" t="s">
        <v>1695</v>
      </c>
      <c r="R32" t="s">
        <v>1662</v>
      </c>
      <c r="AG32">
        <v>30</v>
      </c>
      <c r="AJ32" s="215">
        <v>0</v>
      </c>
      <c r="AK32" s="214" t="e">
        <v>#NUM!</v>
      </c>
      <c r="AL32" s="217">
        <v>0</v>
      </c>
      <c r="AM32" s="216" t="e">
        <v>#NUM!</v>
      </c>
    </row>
    <row r="33" spans="7:39" x14ac:dyDescent="0.25">
      <c r="G33" t="s">
        <v>1696</v>
      </c>
      <c r="H33" t="s">
        <v>1697</v>
      </c>
      <c r="R33" t="s">
        <v>1665</v>
      </c>
      <c r="AG33">
        <v>31</v>
      </c>
      <c r="AJ33" s="215">
        <v>0</v>
      </c>
      <c r="AK33" s="214" t="e">
        <v>#NUM!</v>
      </c>
      <c r="AL33" s="217">
        <v>0</v>
      </c>
      <c r="AM33" s="216" t="e">
        <v>#NUM!</v>
      </c>
    </row>
    <row r="34" spans="7:39" x14ac:dyDescent="0.25">
      <c r="G34" t="s">
        <v>1698</v>
      </c>
      <c r="H34" t="s">
        <v>1699</v>
      </c>
      <c r="R34" t="s">
        <v>1700</v>
      </c>
      <c r="AG34">
        <v>32</v>
      </c>
      <c r="AJ34" s="215">
        <v>0</v>
      </c>
      <c r="AK34" s="214" t="e">
        <v>#NUM!</v>
      </c>
      <c r="AL34" s="217">
        <v>0</v>
      </c>
      <c r="AM34" s="216" t="e">
        <v>#NUM!</v>
      </c>
    </row>
    <row r="35" spans="7:39" x14ac:dyDescent="0.25">
      <c r="G35" t="s">
        <v>1701</v>
      </c>
      <c r="H35" t="s">
        <v>1702</v>
      </c>
      <c r="R35" t="s">
        <v>1672</v>
      </c>
      <c r="AG35">
        <v>33</v>
      </c>
      <c r="AJ35" s="215">
        <v>0</v>
      </c>
      <c r="AK35" s="214" t="e">
        <v>#NUM!</v>
      </c>
      <c r="AL35" s="217">
        <v>0</v>
      </c>
      <c r="AM35" s="216" t="e">
        <v>#NUM!</v>
      </c>
    </row>
    <row r="36" spans="7:39" x14ac:dyDescent="0.25">
      <c r="G36" t="s">
        <v>1703</v>
      </c>
      <c r="H36" t="s">
        <v>1704</v>
      </c>
      <c r="R36" t="s">
        <v>1675</v>
      </c>
      <c r="AG36">
        <v>34</v>
      </c>
      <c r="AJ36" s="215">
        <v>0</v>
      </c>
      <c r="AK36" s="214" t="e">
        <v>#NUM!</v>
      </c>
      <c r="AL36" s="217">
        <v>0</v>
      </c>
      <c r="AM36" s="216" t="e">
        <v>#NUM!</v>
      </c>
    </row>
    <row r="37" spans="7:39" x14ac:dyDescent="0.25">
      <c r="G37" t="s">
        <v>1705</v>
      </c>
      <c r="H37" t="s">
        <v>1706</v>
      </c>
      <c r="R37" t="s">
        <v>1707</v>
      </c>
      <c r="AG37">
        <v>35</v>
      </c>
      <c r="AJ37" s="215">
        <v>0</v>
      </c>
      <c r="AK37" s="214" t="e">
        <v>#NUM!</v>
      </c>
      <c r="AL37" s="217">
        <v>0</v>
      </c>
      <c r="AM37" s="216" t="e">
        <v>#NUM!</v>
      </c>
    </row>
    <row r="38" spans="7:39" x14ac:dyDescent="0.25">
      <c r="G38" t="s">
        <v>1708</v>
      </c>
      <c r="H38" t="s">
        <v>1709</v>
      </c>
      <c r="R38" t="s">
        <v>1678</v>
      </c>
      <c r="AG38">
        <v>36</v>
      </c>
      <c r="AJ38" s="215">
        <v>0</v>
      </c>
      <c r="AK38" s="214" t="e">
        <v>#NUM!</v>
      </c>
      <c r="AL38" s="217">
        <v>0</v>
      </c>
      <c r="AM38" s="216" t="e">
        <v>#NUM!</v>
      </c>
    </row>
    <row r="39" spans="7:39" x14ac:dyDescent="0.25">
      <c r="G39" t="s">
        <v>1710</v>
      </c>
      <c r="H39" t="s">
        <v>1711</v>
      </c>
      <c r="R39" t="s">
        <v>1712</v>
      </c>
      <c r="AG39">
        <v>37</v>
      </c>
      <c r="AJ39" s="215">
        <v>0</v>
      </c>
      <c r="AK39" s="214" t="e">
        <v>#NUM!</v>
      </c>
      <c r="AL39" s="217">
        <v>0</v>
      </c>
      <c r="AM39" s="216" t="e">
        <v>#NUM!</v>
      </c>
    </row>
    <row r="40" spans="7:39" x14ac:dyDescent="0.25">
      <c r="G40" t="s">
        <v>1713</v>
      </c>
      <c r="H40" t="s">
        <v>1714</v>
      </c>
      <c r="R40" t="s">
        <v>1681</v>
      </c>
      <c r="AG40">
        <v>38</v>
      </c>
      <c r="AJ40" s="215">
        <v>0</v>
      </c>
      <c r="AK40" s="214" t="e">
        <v>#NUM!</v>
      </c>
      <c r="AL40" s="217">
        <v>0</v>
      </c>
      <c r="AM40" s="216" t="e">
        <v>#NUM!</v>
      </c>
    </row>
    <row r="41" spans="7:39" x14ac:dyDescent="0.25">
      <c r="G41" t="s">
        <v>1715</v>
      </c>
      <c r="H41" t="s">
        <v>1716</v>
      </c>
      <c r="R41" t="s">
        <v>1684</v>
      </c>
      <c r="AG41">
        <v>39</v>
      </c>
      <c r="AJ41" s="215">
        <v>0</v>
      </c>
      <c r="AK41" s="214" t="e">
        <v>#NUM!</v>
      </c>
      <c r="AL41" s="217">
        <v>0</v>
      </c>
      <c r="AM41" s="216" t="e">
        <v>#NUM!</v>
      </c>
    </row>
    <row r="42" spans="7:39" x14ac:dyDescent="0.25">
      <c r="G42" t="s">
        <v>1717</v>
      </c>
      <c r="H42" t="s">
        <v>1718</v>
      </c>
      <c r="R42" t="s">
        <v>138</v>
      </c>
      <c r="AG42">
        <v>40</v>
      </c>
      <c r="AJ42" s="215">
        <v>0</v>
      </c>
      <c r="AK42" s="214" t="e">
        <v>#NUM!</v>
      </c>
      <c r="AL42" s="217">
        <v>0</v>
      </c>
      <c r="AM42" s="216" t="e">
        <v>#NUM!</v>
      </c>
    </row>
    <row r="43" spans="7:39" x14ac:dyDescent="0.25">
      <c r="G43" t="s">
        <v>1719</v>
      </c>
      <c r="H43" t="s">
        <v>1720</v>
      </c>
      <c r="AG43">
        <v>41</v>
      </c>
      <c r="AJ43" s="215">
        <v>0</v>
      </c>
      <c r="AK43" s="214" t="e">
        <v>#NUM!</v>
      </c>
      <c r="AL43" s="217">
        <v>0</v>
      </c>
      <c r="AM43" s="216" t="e">
        <v>#NUM!</v>
      </c>
    </row>
    <row r="44" spans="7:39" x14ac:dyDescent="0.25">
      <c r="G44" t="s">
        <v>1721</v>
      </c>
      <c r="H44" t="s">
        <v>1722</v>
      </c>
      <c r="AG44">
        <v>42</v>
      </c>
      <c r="AJ44" s="215">
        <v>0</v>
      </c>
      <c r="AK44" s="214" t="e">
        <v>#NUM!</v>
      </c>
      <c r="AL44" s="217">
        <v>0</v>
      </c>
      <c r="AM44" s="216" t="e">
        <v>#NUM!</v>
      </c>
    </row>
    <row r="45" spans="7:39" x14ac:dyDescent="0.25">
      <c r="G45" t="s">
        <v>1723</v>
      </c>
      <c r="H45" t="s">
        <v>1724</v>
      </c>
      <c r="AG45">
        <v>43</v>
      </c>
      <c r="AJ45" s="215">
        <v>0</v>
      </c>
      <c r="AK45" s="214" t="e">
        <v>#NUM!</v>
      </c>
      <c r="AL45" s="217">
        <v>0</v>
      </c>
      <c r="AM45" s="216" t="e">
        <v>#NUM!</v>
      </c>
    </row>
    <row r="46" spans="7:39" x14ac:dyDescent="0.25">
      <c r="G46" t="s">
        <v>1725</v>
      </c>
      <c r="H46" t="s">
        <v>1726</v>
      </c>
      <c r="AG46">
        <v>44</v>
      </c>
      <c r="AJ46" s="215">
        <v>0</v>
      </c>
      <c r="AK46" s="214" t="e">
        <v>#NUM!</v>
      </c>
      <c r="AL46" s="217">
        <v>0</v>
      </c>
      <c r="AM46" s="216" t="e">
        <v>#NUM!</v>
      </c>
    </row>
    <row r="47" spans="7:39" x14ac:dyDescent="0.25">
      <c r="G47" t="s">
        <v>1727</v>
      </c>
      <c r="H47" t="s">
        <v>1728</v>
      </c>
      <c r="AG47">
        <v>45</v>
      </c>
      <c r="AJ47" s="215">
        <v>0</v>
      </c>
      <c r="AK47" s="214" t="e">
        <v>#NUM!</v>
      </c>
      <c r="AL47" s="217">
        <v>0</v>
      </c>
      <c r="AM47" s="216" t="e">
        <v>#NUM!</v>
      </c>
    </row>
    <row r="48" spans="7:39" x14ac:dyDescent="0.25">
      <c r="G48" t="s">
        <v>1729</v>
      </c>
      <c r="H48" t="s">
        <v>1730</v>
      </c>
      <c r="AG48">
        <v>46</v>
      </c>
      <c r="AJ48" s="215">
        <v>0</v>
      </c>
      <c r="AK48" s="214" t="e">
        <v>#NUM!</v>
      </c>
      <c r="AL48" s="217">
        <v>0</v>
      </c>
      <c r="AM48" s="216" t="e">
        <v>#NUM!</v>
      </c>
    </row>
    <row r="49" spans="7:39" x14ac:dyDescent="0.25">
      <c r="G49" t="s">
        <v>1731</v>
      </c>
      <c r="H49" t="s">
        <v>1732</v>
      </c>
      <c r="AG49">
        <v>47</v>
      </c>
      <c r="AJ49" s="215">
        <v>0</v>
      </c>
      <c r="AK49" s="214" t="e">
        <v>#NUM!</v>
      </c>
      <c r="AL49" s="217">
        <v>0</v>
      </c>
      <c r="AM49" s="216" t="e">
        <v>#NUM!</v>
      </c>
    </row>
    <row r="50" spans="7:39" x14ac:dyDescent="0.25">
      <c r="G50" t="s">
        <v>1733</v>
      </c>
      <c r="H50" t="s">
        <v>1734</v>
      </c>
      <c r="AG50">
        <v>48</v>
      </c>
      <c r="AJ50" s="215">
        <v>0</v>
      </c>
      <c r="AK50" s="214" t="e">
        <v>#NUM!</v>
      </c>
      <c r="AL50" s="217">
        <v>0</v>
      </c>
      <c r="AM50" s="216" t="e">
        <v>#NUM!</v>
      </c>
    </row>
    <row r="51" spans="7:39" x14ac:dyDescent="0.25">
      <c r="G51" t="s">
        <v>1735</v>
      </c>
      <c r="H51" t="s">
        <v>1736</v>
      </c>
      <c r="AG51">
        <v>49</v>
      </c>
      <c r="AJ51" s="215">
        <v>0</v>
      </c>
      <c r="AK51" s="214" t="e">
        <v>#NUM!</v>
      </c>
      <c r="AL51" s="217">
        <v>0</v>
      </c>
      <c r="AM51" s="216" t="e">
        <v>#NUM!</v>
      </c>
    </row>
    <row r="52" spans="7:39" x14ac:dyDescent="0.25">
      <c r="G52" t="s">
        <v>1737</v>
      </c>
      <c r="H52" t="s">
        <v>1738</v>
      </c>
      <c r="AG52">
        <v>50</v>
      </c>
      <c r="AJ52" s="215">
        <v>0</v>
      </c>
      <c r="AK52" s="214" t="e">
        <v>#NUM!</v>
      </c>
      <c r="AL52" s="217">
        <v>0</v>
      </c>
      <c r="AM52" s="216" t="e">
        <v>#NUM!</v>
      </c>
    </row>
    <row r="53" spans="7:39" x14ac:dyDescent="0.25">
      <c r="H53" t="s">
        <v>1739</v>
      </c>
      <c r="AG53">
        <v>51</v>
      </c>
      <c r="AJ53" s="215">
        <v>0</v>
      </c>
      <c r="AK53" s="214" t="e">
        <v>#NUM!</v>
      </c>
      <c r="AL53" s="217">
        <v>0</v>
      </c>
      <c r="AM53" s="216" t="e">
        <v>#NUM!</v>
      </c>
    </row>
    <row r="54" spans="7:39" x14ac:dyDescent="0.25">
      <c r="H54" t="s">
        <v>1740</v>
      </c>
      <c r="AG54">
        <v>52</v>
      </c>
      <c r="AJ54" s="215">
        <v>0</v>
      </c>
      <c r="AK54" s="214" t="e">
        <v>#NUM!</v>
      </c>
      <c r="AL54" s="217">
        <v>0</v>
      </c>
      <c r="AM54" s="216" t="e">
        <v>#NUM!</v>
      </c>
    </row>
    <row r="55" spans="7:39" x14ac:dyDescent="0.25">
      <c r="H55" t="s">
        <v>1741</v>
      </c>
      <c r="AG55">
        <v>53</v>
      </c>
      <c r="AJ55" s="215">
        <v>0</v>
      </c>
      <c r="AK55" s="214" t="e">
        <v>#NUM!</v>
      </c>
      <c r="AL55" s="217">
        <v>0</v>
      </c>
      <c r="AM55" s="216" t="e">
        <v>#NUM!</v>
      </c>
    </row>
    <row r="56" spans="7:39" x14ac:dyDescent="0.25">
      <c r="H56" t="s">
        <v>1742</v>
      </c>
      <c r="AG56">
        <v>54</v>
      </c>
      <c r="AJ56" s="215">
        <v>0</v>
      </c>
      <c r="AK56" s="214" t="e">
        <v>#NUM!</v>
      </c>
      <c r="AL56" s="217">
        <v>0</v>
      </c>
      <c r="AM56" s="216" t="e">
        <v>#NUM!</v>
      </c>
    </row>
    <row r="57" spans="7:39" x14ac:dyDescent="0.25">
      <c r="H57" t="s">
        <v>1743</v>
      </c>
      <c r="AG57">
        <v>55</v>
      </c>
      <c r="AJ57" s="215">
        <v>0</v>
      </c>
      <c r="AK57" s="214" t="e">
        <v>#NUM!</v>
      </c>
      <c r="AL57" s="217">
        <v>0</v>
      </c>
      <c r="AM57" s="216" t="e">
        <v>#NUM!</v>
      </c>
    </row>
    <row r="58" spans="7:39" x14ac:dyDescent="0.25">
      <c r="H58" t="s">
        <v>1744</v>
      </c>
      <c r="AG58">
        <v>56</v>
      </c>
      <c r="AJ58" s="215">
        <v>0</v>
      </c>
      <c r="AK58" s="214" t="e">
        <v>#NUM!</v>
      </c>
      <c r="AL58" s="217">
        <v>0</v>
      </c>
      <c r="AM58" s="216" t="e">
        <v>#NUM!</v>
      </c>
    </row>
    <row r="59" spans="7:39" x14ac:dyDescent="0.25">
      <c r="H59" t="s">
        <v>1745</v>
      </c>
      <c r="AG59">
        <v>57</v>
      </c>
      <c r="AJ59" s="215">
        <v>0</v>
      </c>
      <c r="AK59" s="214" t="e">
        <v>#NUM!</v>
      </c>
      <c r="AL59" s="217">
        <v>0</v>
      </c>
      <c r="AM59" s="216" t="e">
        <v>#NUM!</v>
      </c>
    </row>
    <row r="60" spans="7:39" x14ac:dyDescent="0.25">
      <c r="H60" t="s">
        <v>1746</v>
      </c>
      <c r="AG60">
        <v>58</v>
      </c>
      <c r="AJ60" s="215">
        <v>0</v>
      </c>
      <c r="AK60" s="214" t="e">
        <v>#NUM!</v>
      </c>
      <c r="AL60" s="217">
        <v>0</v>
      </c>
      <c r="AM60" s="216" t="e">
        <v>#NUM!</v>
      </c>
    </row>
    <row r="61" spans="7:39" x14ac:dyDescent="0.25">
      <c r="H61" t="s">
        <v>1747</v>
      </c>
      <c r="AG61">
        <v>59</v>
      </c>
      <c r="AJ61" s="215">
        <v>0</v>
      </c>
      <c r="AK61" s="214" t="e">
        <v>#NUM!</v>
      </c>
      <c r="AL61" s="217">
        <v>0</v>
      </c>
      <c r="AM61" s="216" t="e">
        <v>#NUM!</v>
      </c>
    </row>
    <row r="62" spans="7:39" x14ac:dyDescent="0.25">
      <c r="H62" t="s">
        <v>1748</v>
      </c>
      <c r="AG62">
        <v>60</v>
      </c>
      <c r="AJ62" s="215">
        <v>0</v>
      </c>
      <c r="AK62" s="214" t="e">
        <v>#NUM!</v>
      </c>
      <c r="AL62" s="217">
        <v>0</v>
      </c>
      <c r="AM62" s="216" t="e">
        <v>#NUM!</v>
      </c>
    </row>
    <row r="63" spans="7:39" x14ac:dyDescent="0.25">
      <c r="H63" t="s">
        <v>1749</v>
      </c>
      <c r="AG63">
        <v>61</v>
      </c>
      <c r="AJ63" s="215">
        <v>0</v>
      </c>
      <c r="AK63" s="214" t="e">
        <v>#NUM!</v>
      </c>
      <c r="AL63" s="217">
        <v>0</v>
      </c>
      <c r="AM63" s="216" t="e">
        <v>#NUM!</v>
      </c>
    </row>
    <row r="64" spans="7:39" x14ac:dyDescent="0.25">
      <c r="H64" t="s">
        <v>1750</v>
      </c>
      <c r="AG64">
        <v>62</v>
      </c>
      <c r="AJ64" s="215">
        <v>0</v>
      </c>
      <c r="AK64" s="214" t="e">
        <v>#NUM!</v>
      </c>
      <c r="AL64" s="217">
        <v>0</v>
      </c>
      <c r="AM64" s="216" t="e">
        <v>#NUM!</v>
      </c>
    </row>
    <row r="65" spans="8:39" x14ac:dyDescent="0.25">
      <c r="H65" t="s">
        <v>1751</v>
      </c>
      <c r="AG65">
        <v>63</v>
      </c>
      <c r="AJ65" s="215">
        <v>0</v>
      </c>
      <c r="AK65" s="214" t="e">
        <v>#NUM!</v>
      </c>
      <c r="AL65" s="217">
        <v>0</v>
      </c>
      <c r="AM65" s="216" t="e">
        <v>#NUM!</v>
      </c>
    </row>
    <row r="66" spans="8:39" x14ac:dyDescent="0.25">
      <c r="H66" t="s">
        <v>1752</v>
      </c>
      <c r="AG66">
        <v>64</v>
      </c>
      <c r="AJ66" s="215">
        <v>0</v>
      </c>
      <c r="AK66" s="214" t="e">
        <v>#NUM!</v>
      </c>
      <c r="AL66" s="217">
        <v>0</v>
      </c>
      <c r="AM66" s="216" t="e">
        <v>#NUM!</v>
      </c>
    </row>
    <row r="67" spans="8:39" x14ac:dyDescent="0.25">
      <c r="H67" t="s">
        <v>1753</v>
      </c>
      <c r="AG67">
        <v>65</v>
      </c>
      <c r="AJ67" s="215">
        <v>0</v>
      </c>
      <c r="AK67" s="214" t="e">
        <v>#NUM!</v>
      </c>
      <c r="AL67" s="217">
        <v>0</v>
      </c>
      <c r="AM67" s="216" t="e">
        <v>#NUM!</v>
      </c>
    </row>
    <row r="68" spans="8:39" x14ac:dyDescent="0.25">
      <c r="H68" t="s">
        <v>1754</v>
      </c>
      <c r="AG68">
        <v>66</v>
      </c>
      <c r="AJ68" s="215">
        <v>0</v>
      </c>
      <c r="AK68" s="214" t="e">
        <v>#NUM!</v>
      </c>
      <c r="AL68" s="217">
        <v>0</v>
      </c>
      <c r="AM68" s="216" t="e">
        <v>#NUM!</v>
      </c>
    </row>
    <row r="69" spans="8:39" x14ac:dyDescent="0.25">
      <c r="H69" t="s">
        <v>1755</v>
      </c>
      <c r="AG69">
        <v>67</v>
      </c>
      <c r="AJ69" s="215">
        <v>0</v>
      </c>
      <c r="AK69" s="214" t="e">
        <v>#NUM!</v>
      </c>
      <c r="AL69" s="217">
        <v>0</v>
      </c>
      <c r="AM69" s="216" t="e">
        <v>#NUM!</v>
      </c>
    </row>
    <row r="70" spans="8:39" x14ac:dyDescent="0.25">
      <c r="H70" t="s">
        <v>1756</v>
      </c>
      <c r="AG70">
        <v>68</v>
      </c>
      <c r="AJ70" s="215">
        <v>0</v>
      </c>
      <c r="AK70" s="214" t="e">
        <v>#NUM!</v>
      </c>
      <c r="AL70" s="217">
        <v>0</v>
      </c>
      <c r="AM70" s="216" t="e">
        <v>#NUM!</v>
      </c>
    </row>
    <row r="71" spans="8:39" x14ac:dyDescent="0.25">
      <c r="H71" t="s">
        <v>1757</v>
      </c>
      <c r="AG71">
        <v>69</v>
      </c>
      <c r="AJ71" s="215">
        <v>0</v>
      </c>
      <c r="AK71" s="214" t="e">
        <v>#NUM!</v>
      </c>
      <c r="AL71" s="217">
        <v>0</v>
      </c>
      <c r="AM71" s="216" t="e">
        <v>#NUM!</v>
      </c>
    </row>
    <row r="72" spans="8:39" x14ac:dyDescent="0.25">
      <c r="H72" t="s">
        <v>1758</v>
      </c>
      <c r="AG72">
        <v>70</v>
      </c>
      <c r="AJ72" s="215">
        <v>0</v>
      </c>
      <c r="AK72" s="214" t="e">
        <v>#NUM!</v>
      </c>
      <c r="AL72" s="217">
        <v>0</v>
      </c>
      <c r="AM72" s="216" t="e">
        <v>#NUM!</v>
      </c>
    </row>
    <row r="73" spans="8:39" x14ac:dyDescent="0.25">
      <c r="H73" t="s">
        <v>1759</v>
      </c>
      <c r="AG73">
        <v>71</v>
      </c>
      <c r="AJ73" s="215">
        <v>0</v>
      </c>
      <c r="AK73" s="214" t="e">
        <v>#NUM!</v>
      </c>
      <c r="AL73" s="217">
        <v>0</v>
      </c>
      <c r="AM73" s="216" t="e">
        <v>#NUM!</v>
      </c>
    </row>
    <row r="74" spans="8:39" x14ac:dyDescent="0.25">
      <c r="H74" t="s">
        <v>1760</v>
      </c>
      <c r="AG74">
        <v>72</v>
      </c>
      <c r="AJ74" s="215">
        <v>0</v>
      </c>
      <c r="AK74" s="214" t="e">
        <v>#NUM!</v>
      </c>
      <c r="AL74" s="217">
        <v>0</v>
      </c>
      <c r="AM74" s="216" t="e">
        <v>#NUM!</v>
      </c>
    </row>
    <row r="75" spans="8:39" x14ac:dyDescent="0.25">
      <c r="H75" t="s">
        <v>1761</v>
      </c>
      <c r="AG75">
        <v>73</v>
      </c>
      <c r="AJ75" s="215">
        <v>0</v>
      </c>
      <c r="AK75" s="214" t="e">
        <v>#NUM!</v>
      </c>
      <c r="AL75" s="217">
        <v>0</v>
      </c>
      <c r="AM75" s="216" t="e">
        <v>#NUM!</v>
      </c>
    </row>
    <row r="76" spans="8:39" x14ac:dyDescent="0.25">
      <c r="H76" t="s">
        <v>1762</v>
      </c>
      <c r="AG76">
        <v>74</v>
      </c>
      <c r="AJ76" s="215">
        <v>0</v>
      </c>
      <c r="AK76" s="214" t="e">
        <v>#NUM!</v>
      </c>
      <c r="AL76" s="217">
        <v>0</v>
      </c>
      <c r="AM76" s="216" t="e">
        <v>#NUM!</v>
      </c>
    </row>
    <row r="77" spans="8:39" x14ac:dyDescent="0.25">
      <c r="H77" t="s">
        <v>1763</v>
      </c>
      <c r="AG77">
        <v>75</v>
      </c>
      <c r="AJ77" s="215">
        <v>0</v>
      </c>
      <c r="AK77" s="214" t="e">
        <v>#NUM!</v>
      </c>
      <c r="AL77" s="217">
        <v>0</v>
      </c>
      <c r="AM77" s="216" t="e">
        <v>#NUM!</v>
      </c>
    </row>
    <row r="78" spans="8:39" x14ac:dyDescent="0.25">
      <c r="H78" t="s">
        <v>1764</v>
      </c>
      <c r="AG78">
        <v>76</v>
      </c>
      <c r="AJ78" s="215">
        <v>0</v>
      </c>
      <c r="AK78" s="214" t="e">
        <v>#NUM!</v>
      </c>
      <c r="AL78" s="217">
        <v>0</v>
      </c>
      <c r="AM78" s="216" t="e">
        <v>#NUM!</v>
      </c>
    </row>
    <row r="79" spans="8:39" x14ac:dyDescent="0.25">
      <c r="H79" t="s">
        <v>1765</v>
      </c>
      <c r="AG79">
        <v>77</v>
      </c>
      <c r="AJ79" s="215">
        <v>0</v>
      </c>
      <c r="AK79" s="214" t="e">
        <v>#NUM!</v>
      </c>
      <c r="AL79" s="217">
        <v>0</v>
      </c>
      <c r="AM79" s="216" t="e">
        <v>#NUM!</v>
      </c>
    </row>
    <row r="80" spans="8:39" x14ac:dyDescent="0.25">
      <c r="H80" t="s">
        <v>1766</v>
      </c>
      <c r="AG80">
        <v>78</v>
      </c>
      <c r="AJ80" s="215">
        <v>0</v>
      </c>
      <c r="AK80" s="214" t="e">
        <v>#NUM!</v>
      </c>
      <c r="AL80" s="217">
        <v>0</v>
      </c>
      <c r="AM80" s="216" t="e">
        <v>#NUM!</v>
      </c>
    </row>
    <row r="81" spans="8:39" x14ac:dyDescent="0.25">
      <c r="H81" t="s">
        <v>1767</v>
      </c>
      <c r="AG81">
        <v>79</v>
      </c>
      <c r="AJ81" s="215">
        <v>0</v>
      </c>
      <c r="AK81" s="214" t="e">
        <v>#NUM!</v>
      </c>
      <c r="AL81" s="217">
        <v>0</v>
      </c>
      <c r="AM81" s="216" t="e">
        <v>#NUM!</v>
      </c>
    </row>
    <row r="82" spans="8:39" x14ac:dyDescent="0.25">
      <c r="H82" t="s">
        <v>1768</v>
      </c>
      <c r="AG82">
        <v>80</v>
      </c>
      <c r="AJ82" s="215">
        <v>0</v>
      </c>
      <c r="AK82" s="214" t="e">
        <v>#NUM!</v>
      </c>
      <c r="AL82" s="217">
        <v>0</v>
      </c>
      <c r="AM82" s="216" t="e">
        <v>#NUM!</v>
      </c>
    </row>
    <row r="83" spans="8:39" x14ac:dyDescent="0.25">
      <c r="H83" t="s">
        <v>1632</v>
      </c>
      <c r="AG83">
        <v>81</v>
      </c>
      <c r="AJ83" s="215">
        <v>0</v>
      </c>
      <c r="AK83" s="214" t="e">
        <v>#NUM!</v>
      </c>
      <c r="AL83" s="217">
        <v>0</v>
      </c>
      <c r="AM83" s="216" t="e">
        <v>#NUM!</v>
      </c>
    </row>
    <row r="84" spans="8:39" x14ac:dyDescent="0.25">
      <c r="H84" t="s">
        <v>1769</v>
      </c>
      <c r="AG84">
        <v>82</v>
      </c>
      <c r="AJ84" s="215">
        <v>0</v>
      </c>
      <c r="AK84" s="214" t="e">
        <v>#NUM!</v>
      </c>
      <c r="AL84" s="217">
        <v>0</v>
      </c>
      <c r="AM84" s="216" t="e">
        <v>#NUM!</v>
      </c>
    </row>
    <row r="85" spans="8:39" x14ac:dyDescent="0.25">
      <c r="H85" t="s">
        <v>1770</v>
      </c>
      <c r="AG85">
        <v>83</v>
      </c>
      <c r="AJ85" s="215">
        <v>0</v>
      </c>
      <c r="AK85" s="214" t="e">
        <v>#NUM!</v>
      </c>
      <c r="AL85" s="217">
        <v>0</v>
      </c>
      <c r="AM85" s="216" t="e">
        <v>#NUM!</v>
      </c>
    </row>
    <row r="86" spans="8:39" x14ac:dyDescent="0.25">
      <c r="H86" t="s">
        <v>1771</v>
      </c>
      <c r="AG86">
        <v>84</v>
      </c>
      <c r="AJ86" s="215">
        <v>0</v>
      </c>
      <c r="AK86" s="214" t="e">
        <v>#NUM!</v>
      </c>
      <c r="AL86" s="217">
        <v>0</v>
      </c>
      <c r="AM86" s="216" t="e">
        <v>#NUM!</v>
      </c>
    </row>
    <row r="87" spans="8:39" x14ac:dyDescent="0.25">
      <c r="H87" t="s">
        <v>1772</v>
      </c>
      <c r="AG87">
        <v>85</v>
      </c>
      <c r="AJ87" s="215">
        <v>0</v>
      </c>
      <c r="AK87" s="214" t="e">
        <v>#NUM!</v>
      </c>
      <c r="AL87" s="217">
        <v>0</v>
      </c>
      <c r="AM87" s="216" t="e">
        <v>#NUM!</v>
      </c>
    </row>
    <row r="88" spans="8:39" x14ac:dyDescent="0.25">
      <c r="H88" t="s">
        <v>1773</v>
      </c>
      <c r="AG88">
        <v>86</v>
      </c>
      <c r="AJ88" s="215">
        <v>0</v>
      </c>
      <c r="AK88" s="214" t="e">
        <v>#NUM!</v>
      </c>
      <c r="AL88" s="217">
        <v>0</v>
      </c>
      <c r="AM88" s="216" t="e">
        <v>#NUM!</v>
      </c>
    </row>
    <row r="89" spans="8:39" x14ac:dyDescent="0.25">
      <c r="H89" t="s">
        <v>1774</v>
      </c>
      <c r="AG89">
        <v>87</v>
      </c>
      <c r="AJ89" s="215">
        <v>0</v>
      </c>
      <c r="AK89" s="214" t="e">
        <v>#NUM!</v>
      </c>
      <c r="AL89" s="217">
        <v>0</v>
      </c>
      <c r="AM89" s="216" t="e">
        <v>#NUM!</v>
      </c>
    </row>
    <row r="90" spans="8:39" x14ac:dyDescent="0.25">
      <c r="H90" t="s">
        <v>1775</v>
      </c>
      <c r="AG90">
        <v>88</v>
      </c>
      <c r="AJ90" s="215">
        <v>0</v>
      </c>
      <c r="AK90" s="214" t="e">
        <v>#NUM!</v>
      </c>
      <c r="AL90" s="217">
        <v>0</v>
      </c>
      <c r="AM90" s="216" t="e">
        <v>#NUM!</v>
      </c>
    </row>
    <row r="91" spans="8:39" x14ac:dyDescent="0.25">
      <c r="H91" t="s">
        <v>1776</v>
      </c>
      <c r="AG91">
        <v>89</v>
      </c>
      <c r="AJ91" s="215">
        <v>0</v>
      </c>
      <c r="AK91" s="214" t="e">
        <v>#NUM!</v>
      </c>
      <c r="AL91" s="217">
        <v>0</v>
      </c>
      <c r="AM91" s="216" t="e">
        <v>#NUM!</v>
      </c>
    </row>
    <row r="92" spans="8:39" x14ac:dyDescent="0.25">
      <c r="H92" t="s">
        <v>1777</v>
      </c>
      <c r="AG92">
        <v>90</v>
      </c>
      <c r="AJ92" s="215">
        <v>0</v>
      </c>
      <c r="AK92" s="214" t="e">
        <v>#NUM!</v>
      </c>
      <c r="AL92" s="217">
        <v>0</v>
      </c>
      <c r="AM92" s="216" t="e">
        <v>#NUM!</v>
      </c>
    </row>
    <row r="93" spans="8:39" x14ac:dyDescent="0.25">
      <c r="H93" t="s">
        <v>1778</v>
      </c>
      <c r="AG93">
        <v>91</v>
      </c>
      <c r="AJ93" s="215">
        <v>0</v>
      </c>
      <c r="AK93" s="214" t="e">
        <v>#NUM!</v>
      </c>
      <c r="AL93" s="217">
        <v>0</v>
      </c>
      <c r="AM93" s="216" t="e">
        <v>#NUM!</v>
      </c>
    </row>
    <row r="94" spans="8:39" x14ac:dyDescent="0.25">
      <c r="H94" t="s">
        <v>1779</v>
      </c>
      <c r="AG94">
        <v>92</v>
      </c>
      <c r="AJ94" s="215">
        <v>0</v>
      </c>
      <c r="AK94" s="214" t="e">
        <v>#NUM!</v>
      </c>
      <c r="AL94" s="217">
        <v>0</v>
      </c>
      <c r="AM94" s="216" t="e">
        <v>#NUM!</v>
      </c>
    </row>
    <row r="95" spans="8:39" x14ac:dyDescent="0.25">
      <c r="H95" t="s">
        <v>1780</v>
      </c>
      <c r="AG95">
        <v>93</v>
      </c>
      <c r="AJ95" s="215">
        <v>0</v>
      </c>
      <c r="AK95" s="214" t="e">
        <v>#NUM!</v>
      </c>
      <c r="AL95" s="217">
        <v>0</v>
      </c>
      <c r="AM95" s="216" t="e">
        <v>#NUM!</v>
      </c>
    </row>
    <row r="96" spans="8:39" x14ac:dyDescent="0.25">
      <c r="H96" t="s">
        <v>1781</v>
      </c>
      <c r="AG96">
        <v>94</v>
      </c>
      <c r="AJ96" s="215">
        <v>0</v>
      </c>
      <c r="AK96" s="214" t="e">
        <v>#NUM!</v>
      </c>
      <c r="AL96" s="217">
        <v>0</v>
      </c>
      <c r="AM96" s="216" t="e">
        <v>#NUM!</v>
      </c>
    </row>
    <row r="97" spans="8:39" x14ac:dyDescent="0.25">
      <c r="H97" t="s">
        <v>1782</v>
      </c>
      <c r="AG97">
        <v>95</v>
      </c>
      <c r="AJ97" s="215">
        <v>0</v>
      </c>
      <c r="AK97" s="214" t="e">
        <v>#NUM!</v>
      </c>
      <c r="AL97" s="217">
        <v>0</v>
      </c>
      <c r="AM97" s="216" t="e">
        <v>#NUM!</v>
      </c>
    </row>
    <row r="98" spans="8:39" x14ac:dyDescent="0.25">
      <c r="H98" t="s">
        <v>1783</v>
      </c>
      <c r="AG98">
        <v>96</v>
      </c>
      <c r="AJ98" s="215">
        <v>0</v>
      </c>
      <c r="AK98" s="214" t="e">
        <v>#NUM!</v>
      </c>
      <c r="AL98" s="217">
        <v>0</v>
      </c>
      <c r="AM98" s="216" t="e">
        <v>#NUM!</v>
      </c>
    </row>
    <row r="99" spans="8:39" x14ac:dyDescent="0.25">
      <c r="H99" t="s">
        <v>1784</v>
      </c>
      <c r="AG99">
        <v>97</v>
      </c>
      <c r="AJ99" s="215">
        <v>0</v>
      </c>
      <c r="AK99" s="214" t="e">
        <v>#NUM!</v>
      </c>
      <c r="AL99" s="217">
        <v>0</v>
      </c>
      <c r="AM99" s="216" t="e">
        <v>#NUM!</v>
      </c>
    </row>
    <row r="100" spans="8:39" x14ac:dyDescent="0.25">
      <c r="H100" t="s">
        <v>1785</v>
      </c>
      <c r="AG100">
        <v>98</v>
      </c>
      <c r="AJ100" s="215">
        <v>0</v>
      </c>
      <c r="AK100" s="214" t="e">
        <v>#NUM!</v>
      </c>
      <c r="AL100" s="217">
        <v>0</v>
      </c>
      <c r="AM100" s="216" t="e">
        <v>#NUM!</v>
      </c>
    </row>
    <row r="101" spans="8:39" x14ac:dyDescent="0.25">
      <c r="H101" t="s">
        <v>1786</v>
      </c>
      <c r="AG101">
        <v>99</v>
      </c>
      <c r="AJ101" s="215">
        <v>0</v>
      </c>
      <c r="AK101" s="214" t="e">
        <v>#NUM!</v>
      </c>
      <c r="AL101" s="217">
        <v>0</v>
      </c>
      <c r="AM101" s="216" t="e">
        <v>#NUM!</v>
      </c>
    </row>
    <row r="102" spans="8:39" x14ac:dyDescent="0.25">
      <c r="H102" t="s">
        <v>1787</v>
      </c>
      <c r="AG102">
        <v>100</v>
      </c>
      <c r="AJ102" s="215">
        <v>0</v>
      </c>
      <c r="AK102" s="214" t="e">
        <v>#NUM!</v>
      </c>
      <c r="AL102" s="217">
        <v>0</v>
      </c>
      <c r="AM102" s="216" t="e">
        <v>#NUM!</v>
      </c>
    </row>
    <row r="103" spans="8:39" x14ac:dyDescent="0.25">
      <c r="H103" t="s">
        <v>1788</v>
      </c>
      <c r="AG103">
        <v>101</v>
      </c>
      <c r="AJ103" s="215">
        <v>0</v>
      </c>
      <c r="AK103" s="214" t="e">
        <v>#NUM!</v>
      </c>
      <c r="AL103" s="217">
        <v>0</v>
      </c>
      <c r="AM103" s="216" t="e">
        <v>#NUM!</v>
      </c>
    </row>
    <row r="104" spans="8:39" x14ac:dyDescent="0.25">
      <c r="H104" t="s">
        <v>1789</v>
      </c>
      <c r="AG104">
        <v>102</v>
      </c>
      <c r="AJ104" s="215">
        <v>0</v>
      </c>
      <c r="AK104" s="214" t="e">
        <v>#NUM!</v>
      </c>
      <c r="AL104" s="217">
        <v>0</v>
      </c>
      <c r="AM104" s="216" t="e">
        <v>#NUM!</v>
      </c>
    </row>
    <row r="105" spans="8:39" x14ac:dyDescent="0.25">
      <c r="H105" t="s">
        <v>1790</v>
      </c>
      <c r="AG105">
        <v>103</v>
      </c>
      <c r="AJ105" s="215">
        <v>0</v>
      </c>
      <c r="AK105" s="214" t="e">
        <v>#NUM!</v>
      </c>
      <c r="AL105" s="217">
        <v>0</v>
      </c>
      <c r="AM105" s="216" t="e">
        <v>#NUM!</v>
      </c>
    </row>
    <row r="106" spans="8:39" x14ac:dyDescent="0.25">
      <c r="H106" t="s">
        <v>1791</v>
      </c>
      <c r="AG106">
        <v>104</v>
      </c>
      <c r="AJ106" s="215">
        <v>0</v>
      </c>
      <c r="AK106" s="214" t="e">
        <v>#NUM!</v>
      </c>
      <c r="AL106" s="217">
        <v>0</v>
      </c>
      <c r="AM106" s="216" t="e">
        <v>#NUM!</v>
      </c>
    </row>
    <row r="107" spans="8:39" x14ac:dyDescent="0.25">
      <c r="H107" t="s">
        <v>1792</v>
      </c>
      <c r="AG107">
        <v>105</v>
      </c>
      <c r="AJ107" s="215">
        <v>0</v>
      </c>
      <c r="AK107" s="214" t="e">
        <v>#NUM!</v>
      </c>
      <c r="AL107" s="217">
        <v>0</v>
      </c>
      <c r="AM107" s="216" t="e">
        <v>#NUM!</v>
      </c>
    </row>
    <row r="108" spans="8:39" x14ac:dyDescent="0.25">
      <c r="H108" t="s">
        <v>1793</v>
      </c>
      <c r="AG108">
        <v>106</v>
      </c>
      <c r="AJ108" s="215">
        <v>0</v>
      </c>
      <c r="AK108" s="214" t="e">
        <v>#NUM!</v>
      </c>
      <c r="AL108" s="217">
        <v>0</v>
      </c>
      <c r="AM108" s="216" t="e">
        <v>#NUM!</v>
      </c>
    </row>
    <row r="109" spans="8:39" x14ac:dyDescent="0.25">
      <c r="H109" t="s">
        <v>1794</v>
      </c>
      <c r="AG109">
        <v>107</v>
      </c>
      <c r="AJ109" s="215">
        <v>0</v>
      </c>
      <c r="AK109" s="214" t="e">
        <v>#NUM!</v>
      </c>
      <c r="AL109" s="217">
        <v>0</v>
      </c>
      <c r="AM109" s="216" t="e">
        <v>#NUM!</v>
      </c>
    </row>
    <row r="110" spans="8:39" x14ac:dyDescent="0.25">
      <c r="H110" t="s">
        <v>1795</v>
      </c>
      <c r="AG110">
        <v>108</v>
      </c>
      <c r="AJ110" s="215">
        <v>0</v>
      </c>
      <c r="AK110" s="214" t="e">
        <v>#NUM!</v>
      </c>
      <c r="AL110" s="217">
        <v>0</v>
      </c>
      <c r="AM110" s="216" t="e">
        <v>#NUM!</v>
      </c>
    </row>
    <row r="111" spans="8:39" x14ac:dyDescent="0.25">
      <c r="H111" t="s">
        <v>1796</v>
      </c>
      <c r="AG111">
        <v>109</v>
      </c>
      <c r="AJ111" s="215">
        <v>0</v>
      </c>
      <c r="AK111" s="214" t="e">
        <v>#NUM!</v>
      </c>
      <c r="AL111" s="217">
        <v>0</v>
      </c>
      <c r="AM111" s="216" t="e">
        <v>#NUM!</v>
      </c>
    </row>
    <row r="112" spans="8:39" x14ac:dyDescent="0.25">
      <c r="H112" t="s">
        <v>1797</v>
      </c>
      <c r="AG112">
        <v>110</v>
      </c>
      <c r="AJ112" s="215">
        <v>0</v>
      </c>
      <c r="AK112" s="214" t="e">
        <v>#NUM!</v>
      </c>
      <c r="AL112" s="217">
        <v>0</v>
      </c>
      <c r="AM112" s="216" t="e">
        <v>#NUM!</v>
      </c>
    </row>
    <row r="113" spans="8:39" x14ac:dyDescent="0.25">
      <c r="H113" t="s">
        <v>1798</v>
      </c>
      <c r="AG113">
        <v>111</v>
      </c>
      <c r="AJ113" s="215">
        <v>0</v>
      </c>
      <c r="AK113" s="214" t="e">
        <v>#NUM!</v>
      </c>
      <c r="AL113" s="217">
        <v>0</v>
      </c>
      <c r="AM113" s="216" t="e">
        <v>#NUM!</v>
      </c>
    </row>
    <row r="114" spans="8:39" x14ac:dyDescent="0.25">
      <c r="H114" t="s">
        <v>1799</v>
      </c>
      <c r="AG114">
        <v>112</v>
      </c>
      <c r="AJ114" s="215">
        <v>0</v>
      </c>
      <c r="AK114" s="214" t="e">
        <v>#NUM!</v>
      </c>
      <c r="AL114" s="217">
        <v>0</v>
      </c>
      <c r="AM114" s="216" t="e">
        <v>#NUM!</v>
      </c>
    </row>
    <row r="115" spans="8:39" x14ac:dyDescent="0.25">
      <c r="H115" t="s">
        <v>1800</v>
      </c>
      <c r="AG115">
        <v>113</v>
      </c>
      <c r="AJ115" s="215">
        <v>0</v>
      </c>
      <c r="AK115" s="214" t="e">
        <v>#NUM!</v>
      </c>
      <c r="AL115" s="217">
        <v>0</v>
      </c>
      <c r="AM115" s="216" t="e">
        <v>#NUM!</v>
      </c>
    </row>
    <row r="116" spans="8:39" x14ac:dyDescent="0.25">
      <c r="H116" t="s">
        <v>1801</v>
      </c>
      <c r="AG116">
        <v>114</v>
      </c>
      <c r="AJ116" s="215">
        <v>0</v>
      </c>
      <c r="AK116" s="214" t="e">
        <v>#NUM!</v>
      </c>
      <c r="AL116" s="217">
        <v>0</v>
      </c>
      <c r="AM116" s="216" t="e">
        <v>#NUM!</v>
      </c>
    </row>
    <row r="117" spans="8:39" x14ac:dyDescent="0.25">
      <c r="H117" t="s">
        <v>1802</v>
      </c>
      <c r="AG117">
        <v>115</v>
      </c>
      <c r="AJ117" s="215">
        <v>0</v>
      </c>
      <c r="AK117" s="214" t="e">
        <v>#NUM!</v>
      </c>
      <c r="AL117" s="217">
        <v>0</v>
      </c>
      <c r="AM117" s="216" t="e">
        <v>#NUM!</v>
      </c>
    </row>
    <row r="118" spans="8:39" x14ac:dyDescent="0.25">
      <c r="H118" t="s">
        <v>1803</v>
      </c>
      <c r="AG118">
        <v>116</v>
      </c>
      <c r="AJ118" s="215">
        <v>0</v>
      </c>
      <c r="AK118" s="214" t="e">
        <v>#NUM!</v>
      </c>
      <c r="AL118" s="217">
        <v>0</v>
      </c>
      <c r="AM118" s="216" t="e">
        <v>#NUM!</v>
      </c>
    </row>
    <row r="119" spans="8:39" x14ac:dyDescent="0.25">
      <c r="H119" t="s">
        <v>1804</v>
      </c>
      <c r="AG119">
        <v>117</v>
      </c>
      <c r="AJ119" s="215">
        <v>0</v>
      </c>
      <c r="AK119" s="214" t="e">
        <v>#NUM!</v>
      </c>
      <c r="AL119" s="217">
        <v>0</v>
      </c>
      <c r="AM119" s="216" t="e">
        <v>#NUM!</v>
      </c>
    </row>
    <row r="120" spans="8:39" x14ac:dyDescent="0.25">
      <c r="H120" t="s">
        <v>1805</v>
      </c>
      <c r="AG120">
        <v>118</v>
      </c>
      <c r="AJ120" s="215">
        <v>0</v>
      </c>
      <c r="AK120" s="214" t="e">
        <v>#NUM!</v>
      </c>
      <c r="AL120" s="217">
        <v>0</v>
      </c>
      <c r="AM120" s="216" t="e">
        <v>#NUM!</v>
      </c>
    </row>
    <row r="121" spans="8:39" x14ac:dyDescent="0.25">
      <c r="H121" t="s">
        <v>1806</v>
      </c>
      <c r="AG121">
        <v>119</v>
      </c>
      <c r="AJ121" s="215">
        <v>0</v>
      </c>
      <c r="AK121" s="214" t="e">
        <v>#NUM!</v>
      </c>
      <c r="AL121" s="217">
        <v>0</v>
      </c>
      <c r="AM121" s="216" t="e">
        <v>#NUM!</v>
      </c>
    </row>
    <row r="122" spans="8:39" x14ac:dyDescent="0.25">
      <c r="H122" t="s">
        <v>1807</v>
      </c>
      <c r="AG122">
        <v>120</v>
      </c>
      <c r="AJ122" s="215">
        <v>0</v>
      </c>
      <c r="AK122" s="214" t="e">
        <v>#NUM!</v>
      </c>
      <c r="AL122" s="217">
        <v>0</v>
      </c>
      <c r="AM122" s="216" t="e">
        <v>#NUM!</v>
      </c>
    </row>
    <row r="123" spans="8:39" x14ac:dyDescent="0.25">
      <c r="H123" t="s">
        <v>1808</v>
      </c>
      <c r="AG123">
        <v>121</v>
      </c>
      <c r="AJ123" s="215">
        <v>0</v>
      </c>
      <c r="AK123" s="214" t="e">
        <v>#NUM!</v>
      </c>
      <c r="AL123" s="217">
        <v>0</v>
      </c>
      <c r="AM123" s="216" t="e">
        <v>#NUM!</v>
      </c>
    </row>
    <row r="124" spans="8:39" x14ac:dyDescent="0.25">
      <c r="H124" t="s">
        <v>1809</v>
      </c>
      <c r="AG124">
        <v>122</v>
      </c>
      <c r="AJ124" s="215">
        <v>0</v>
      </c>
      <c r="AK124" s="214" t="e">
        <v>#NUM!</v>
      </c>
      <c r="AL124" s="217">
        <v>0</v>
      </c>
      <c r="AM124" s="216" t="e">
        <v>#NUM!</v>
      </c>
    </row>
    <row r="125" spans="8:39" x14ac:dyDescent="0.25">
      <c r="H125" t="s">
        <v>1810</v>
      </c>
      <c r="AG125">
        <v>123</v>
      </c>
      <c r="AJ125" s="215">
        <v>0</v>
      </c>
      <c r="AK125" s="214" t="e">
        <v>#NUM!</v>
      </c>
      <c r="AL125" s="217">
        <v>0</v>
      </c>
      <c r="AM125" s="216" t="e">
        <v>#NUM!</v>
      </c>
    </row>
    <row r="126" spans="8:39" x14ac:dyDescent="0.25">
      <c r="H126" t="s">
        <v>1811</v>
      </c>
      <c r="AG126">
        <v>124</v>
      </c>
      <c r="AJ126" s="215">
        <v>0</v>
      </c>
      <c r="AK126" s="214" t="e">
        <v>#NUM!</v>
      </c>
      <c r="AL126" s="217">
        <v>0</v>
      </c>
      <c r="AM126" s="216" t="e">
        <v>#NUM!</v>
      </c>
    </row>
    <row r="127" spans="8:39" x14ac:dyDescent="0.25">
      <c r="H127" t="s">
        <v>1812</v>
      </c>
      <c r="AG127">
        <v>125</v>
      </c>
      <c r="AJ127" s="215">
        <v>0</v>
      </c>
      <c r="AK127" s="214" t="e">
        <v>#NUM!</v>
      </c>
      <c r="AL127" s="217">
        <v>0</v>
      </c>
      <c r="AM127" s="216" t="e">
        <v>#NUM!</v>
      </c>
    </row>
    <row r="128" spans="8:39" x14ac:dyDescent="0.25">
      <c r="H128" t="s">
        <v>1813</v>
      </c>
      <c r="AG128">
        <v>126</v>
      </c>
      <c r="AJ128" s="215">
        <v>0</v>
      </c>
      <c r="AK128" s="214" t="e">
        <v>#NUM!</v>
      </c>
      <c r="AL128" s="217">
        <v>0</v>
      </c>
      <c r="AM128" s="216" t="e">
        <v>#NUM!</v>
      </c>
    </row>
    <row r="129" spans="8:39" x14ac:dyDescent="0.25">
      <c r="H129" t="s">
        <v>1814</v>
      </c>
      <c r="AG129">
        <v>127</v>
      </c>
      <c r="AJ129" s="215">
        <v>0</v>
      </c>
      <c r="AK129" s="214" t="e">
        <v>#NUM!</v>
      </c>
      <c r="AL129" s="217">
        <v>0</v>
      </c>
      <c r="AM129" s="216" t="e">
        <v>#NUM!</v>
      </c>
    </row>
    <row r="130" spans="8:39" x14ac:dyDescent="0.25">
      <c r="H130" t="s">
        <v>1815</v>
      </c>
      <c r="AG130">
        <v>128</v>
      </c>
      <c r="AJ130" s="215">
        <v>0</v>
      </c>
      <c r="AK130" s="214" t="e">
        <v>#NUM!</v>
      </c>
      <c r="AL130" s="217">
        <v>0</v>
      </c>
      <c r="AM130" s="216" t="e">
        <v>#NUM!</v>
      </c>
    </row>
    <row r="131" spans="8:39" x14ac:dyDescent="0.25">
      <c r="H131" t="s">
        <v>1816</v>
      </c>
      <c r="AG131">
        <v>129</v>
      </c>
      <c r="AJ131" s="215">
        <v>0</v>
      </c>
      <c r="AK131" s="214" t="e">
        <v>#NUM!</v>
      </c>
      <c r="AL131" s="217">
        <v>0</v>
      </c>
      <c r="AM131" s="216" t="e">
        <v>#NUM!</v>
      </c>
    </row>
    <row r="132" spans="8:39" x14ac:dyDescent="0.25">
      <c r="H132" t="s">
        <v>1817</v>
      </c>
      <c r="AG132">
        <v>130</v>
      </c>
      <c r="AJ132" s="215">
        <v>0</v>
      </c>
      <c r="AK132" s="214" t="e">
        <v>#NUM!</v>
      </c>
      <c r="AL132" s="217">
        <v>0</v>
      </c>
      <c r="AM132" s="216" t="e">
        <v>#NUM!</v>
      </c>
    </row>
    <row r="133" spans="8:39" x14ac:dyDescent="0.25">
      <c r="H133" t="s">
        <v>1818</v>
      </c>
      <c r="AG133">
        <v>131</v>
      </c>
      <c r="AJ133" s="215">
        <v>0</v>
      </c>
      <c r="AK133" s="214" t="e">
        <v>#NUM!</v>
      </c>
      <c r="AL133" s="217">
        <v>0</v>
      </c>
      <c r="AM133" s="216" t="e">
        <v>#NUM!</v>
      </c>
    </row>
    <row r="134" spans="8:39" x14ac:dyDescent="0.25">
      <c r="H134" t="s">
        <v>1819</v>
      </c>
      <c r="AG134">
        <v>132</v>
      </c>
      <c r="AJ134" s="215">
        <v>0</v>
      </c>
      <c r="AK134" s="214" t="e">
        <v>#NUM!</v>
      </c>
      <c r="AL134" s="217">
        <v>0</v>
      </c>
      <c r="AM134" s="216" t="e">
        <v>#NUM!</v>
      </c>
    </row>
    <row r="135" spans="8:39" x14ac:dyDescent="0.25">
      <c r="H135" t="s">
        <v>1820</v>
      </c>
      <c r="AG135">
        <v>133</v>
      </c>
      <c r="AJ135" s="215">
        <v>0</v>
      </c>
      <c r="AK135" s="214" t="e">
        <v>#NUM!</v>
      </c>
      <c r="AL135" s="217">
        <v>0</v>
      </c>
      <c r="AM135" s="216" t="e">
        <v>#NUM!</v>
      </c>
    </row>
    <row r="136" spans="8:39" x14ac:dyDescent="0.25">
      <c r="H136" t="s">
        <v>1821</v>
      </c>
      <c r="AG136">
        <v>134</v>
      </c>
      <c r="AJ136" s="215">
        <v>0</v>
      </c>
      <c r="AK136" s="214" t="e">
        <v>#NUM!</v>
      </c>
      <c r="AL136" s="217">
        <v>0</v>
      </c>
      <c r="AM136" s="216" t="e">
        <v>#NUM!</v>
      </c>
    </row>
    <row r="137" spans="8:39" x14ac:dyDescent="0.25">
      <c r="H137" t="s">
        <v>1822</v>
      </c>
      <c r="AG137">
        <v>135</v>
      </c>
      <c r="AJ137" s="215">
        <v>0</v>
      </c>
      <c r="AK137" s="214" t="e">
        <v>#NUM!</v>
      </c>
      <c r="AL137" s="217">
        <v>0</v>
      </c>
      <c r="AM137" s="216" t="e">
        <v>#NUM!</v>
      </c>
    </row>
    <row r="138" spans="8:39" x14ac:dyDescent="0.25">
      <c r="H138" t="s">
        <v>1823</v>
      </c>
      <c r="AG138">
        <v>136</v>
      </c>
      <c r="AJ138" s="215">
        <v>0</v>
      </c>
      <c r="AK138" s="214" t="e">
        <v>#NUM!</v>
      </c>
      <c r="AL138" s="217">
        <v>0</v>
      </c>
      <c r="AM138" s="216" t="e">
        <v>#NUM!</v>
      </c>
    </row>
    <row r="139" spans="8:39" x14ac:dyDescent="0.25">
      <c r="H139" t="s">
        <v>1824</v>
      </c>
      <c r="AG139">
        <v>137</v>
      </c>
      <c r="AJ139" s="215">
        <v>0</v>
      </c>
      <c r="AK139" s="214" t="e">
        <v>#NUM!</v>
      </c>
      <c r="AL139" s="217">
        <v>0</v>
      </c>
      <c r="AM139" s="216" t="e">
        <v>#NUM!</v>
      </c>
    </row>
    <row r="140" spans="8:39" x14ac:dyDescent="0.25">
      <c r="H140" t="s">
        <v>1825</v>
      </c>
      <c r="AG140">
        <v>138</v>
      </c>
      <c r="AJ140" s="215">
        <v>0</v>
      </c>
      <c r="AK140" s="214" t="e">
        <v>#NUM!</v>
      </c>
      <c r="AL140" s="217">
        <v>0</v>
      </c>
      <c r="AM140" s="216" t="e">
        <v>#NUM!</v>
      </c>
    </row>
    <row r="141" spans="8:39" x14ac:dyDescent="0.25">
      <c r="H141" t="s">
        <v>1826</v>
      </c>
      <c r="AG141">
        <v>139</v>
      </c>
      <c r="AJ141" s="215">
        <v>0</v>
      </c>
      <c r="AK141" s="214" t="e">
        <v>#NUM!</v>
      </c>
      <c r="AL141" s="217">
        <v>0</v>
      </c>
      <c r="AM141" s="216" t="e">
        <v>#NUM!</v>
      </c>
    </row>
    <row r="142" spans="8:39" x14ac:dyDescent="0.25">
      <c r="H142" t="s">
        <v>1827</v>
      </c>
      <c r="AG142">
        <v>140</v>
      </c>
      <c r="AJ142" s="215">
        <v>0</v>
      </c>
      <c r="AK142" s="214" t="e">
        <v>#NUM!</v>
      </c>
      <c r="AL142" s="217">
        <v>0</v>
      </c>
      <c r="AM142" s="216" t="e">
        <v>#NUM!</v>
      </c>
    </row>
    <row r="143" spans="8:39" x14ac:dyDescent="0.25">
      <c r="H143" t="s">
        <v>1828</v>
      </c>
      <c r="AG143">
        <v>141</v>
      </c>
      <c r="AJ143" s="215">
        <v>0</v>
      </c>
      <c r="AK143" s="214" t="e">
        <v>#NUM!</v>
      </c>
      <c r="AL143" s="217">
        <v>0</v>
      </c>
      <c r="AM143" s="216" t="e">
        <v>#NUM!</v>
      </c>
    </row>
    <row r="144" spans="8:39" x14ac:dyDescent="0.25">
      <c r="H144" t="s">
        <v>1829</v>
      </c>
      <c r="AG144">
        <v>142</v>
      </c>
      <c r="AJ144" s="215">
        <v>0</v>
      </c>
      <c r="AK144" s="214" t="e">
        <v>#NUM!</v>
      </c>
      <c r="AL144" s="217">
        <v>0</v>
      </c>
      <c r="AM144" s="216" t="e">
        <v>#NUM!</v>
      </c>
    </row>
    <row r="145" spans="8:39" x14ac:dyDescent="0.25">
      <c r="H145" t="s">
        <v>1830</v>
      </c>
      <c r="AG145">
        <v>143</v>
      </c>
      <c r="AJ145" s="215">
        <v>0</v>
      </c>
      <c r="AK145" s="214" t="e">
        <v>#NUM!</v>
      </c>
      <c r="AL145" s="217">
        <v>0</v>
      </c>
      <c r="AM145" s="216" t="e">
        <v>#NUM!</v>
      </c>
    </row>
    <row r="146" spans="8:39" x14ac:dyDescent="0.25">
      <c r="H146" t="s">
        <v>1831</v>
      </c>
      <c r="AG146">
        <v>144</v>
      </c>
      <c r="AJ146" s="215">
        <v>0</v>
      </c>
      <c r="AK146" s="214" t="e">
        <v>#NUM!</v>
      </c>
      <c r="AL146" s="217">
        <v>0</v>
      </c>
      <c r="AM146" s="216" t="e">
        <v>#NUM!</v>
      </c>
    </row>
    <row r="147" spans="8:39" x14ac:dyDescent="0.25">
      <c r="H147" t="s">
        <v>1832</v>
      </c>
      <c r="AG147">
        <v>145</v>
      </c>
      <c r="AJ147" s="215">
        <v>0</v>
      </c>
      <c r="AK147" s="214" t="e">
        <v>#NUM!</v>
      </c>
      <c r="AL147" s="217">
        <v>0</v>
      </c>
      <c r="AM147" s="216" t="e">
        <v>#NUM!</v>
      </c>
    </row>
    <row r="148" spans="8:39" x14ac:dyDescent="0.25">
      <c r="H148" t="s">
        <v>1833</v>
      </c>
      <c r="AG148">
        <v>146</v>
      </c>
      <c r="AJ148" s="215">
        <v>0</v>
      </c>
      <c r="AK148" s="214" t="e">
        <v>#NUM!</v>
      </c>
      <c r="AL148" s="217">
        <v>0</v>
      </c>
      <c r="AM148" s="216" t="e">
        <v>#NUM!</v>
      </c>
    </row>
    <row r="149" spans="8:39" x14ac:dyDescent="0.25">
      <c r="H149" t="s">
        <v>1834</v>
      </c>
      <c r="AG149">
        <v>147</v>
      </c>
      <c r="AJ149" s="215">
        <v>0</v>
      </c>
      <c r="AK149" s="214" t="e">
        <v>#NUM!</v>
      </c>
      <c r="AL149" s="217">
        <v>0</v>
      </c>
      <c r="AM149" s="216" t="e">
        <v>#NUM!</v>
      </c>
    </row>
    <row r="150" spans="8:39" x14ac:dyDescent="0.25">
      <c r="H150" t="s">
        <v>1835</v>
      </c>
      <c r="AG150">
        <v>148</v>
      </c>
      <c r="AJ150" s="215">
        <v>0</v>
      </c>
      <c r="AK150" s="214" t="e">
        <v>#NUM!</v>
      </c>
      <c r="AL150" s="217">
        <v>0</v>
      </c>
      <c r="AM150" s="216" t="e">
        <v>#NUM!</v>
      </c>
    </row>
    <row r="151" spans="8:39" x14ac:dyDescent="0.25">
      <c r="H151" t="s">
        <v>1836</v>
      </c>
      <c r="AG151">
        <v>149</v>
      </c>
      <c r="AJ151" s="215">
        <v>0</v>
      </c>
      <c r="AK151" s="214" t="e">
        <v>#NUM!</v>
      </c>
      <c r="AL151" s="217">
        <v>0</v>
      </c>
      <c r="AM151" s="216" t="e">
        <v>#NUM!</v>
      </c>
    </row>
    <row r="152" spans="8:39" x14ac:dyDescent="0.25">
      <c r="H152" t="s">
        <v>1837</v>
      </c>
      <c r="AG152">
        <v>150</v>
      </c>
      <c r="AJ152" s="215">
        <v>0</v>
      </c>
      <c r="AK152" s="214" t="e">
        <v>#NUM!</v>
      </c>
      <c r="AL152" s="217">
        <v>0</v>
      </c>
      <c r="AM152" s="216" t="e">
        <v>#NUM!</v>
      </c>
    </row>
    <row r="153" spans="8:39" x14ac:dyDescent="0.25">
      <c r="H153" t="s">
        <v>1838</v>
      </c>
      <c r="AG153">
        <v>151</v>
      </c>
      <c r="AJ153" s="215">
        <v>0</v>
      </c>
      <c r="AK153" s="214" t="e">
        <v>#NUM!</v>
      </c>
      <c r="AL153" s="217">
        <v>0</v>
      </c>
      <c r="AM153" s="216" t="e">
        <v>#NUM!</v>
      </c>
    </row>
    <row r="154" spans="8:39" x14ac:dyDescent="0.25">
      <c r="H154" t="s">
        <v>1839</v>
      </c>
      <c r="AG154">
        <v>152</v>
      </c>
      <c r="AJ154" s="215">
        <v>0</v>
      </c>
      <c r="AK154" s="214" t="e">
        <v>#NUM!</v>
      </c>
      <c r="AL154" s="217">
        <v>0</v>
      </c>
      <c r="AM154" s="216" t="e">
        <v>#NUM!</v>
      </c>
    </row>
    <row r="155" spans="8:39" x14ac:dyDescent="0.25">
      <c r="H155" t="s">
        <v>1840</v>
      </c>
      <c r="AG155">
        <v>153</v>
      </c>
      <c r="AJ155" s="215">
        <v>0</v>
      </c>
      <c r="AK155" s="214" t="e">
        <v>#NUM!</v>
      </c>
      <c r="AL155" s="217">
        <v>0</v>
      </c>
      <c r="AM155" s="216" t="e">
        <v>#NUM!</v>
      </c>
    </row>
    <row r="156" spans="8:39" x14ac:dyDescent="0.25">
      <c r="H156" t="s">
        <v>1841</v>
      </c>
      <c r="AG156">
        <v>154</v>
      </c>
      <c r="AJ156" s="215">
        <v>0</v>
      </c>
      <c r="AK156" s="214" t="e">
        <v>#NUM!</v>
      </c>
      <c r="AL156" s="217">
        <v>0</v>
      </c>
      <c r="AM156" s="216" t="e">
        <v>#NUM!</v>
      </c>
    </row>
    <row r="157" spans="8:39" x14ac:dyDescent="0.25">
      <c r="H157" t="s">
        <v>1842</v>
      </c>
      <c r="AG157">
        <v>155</v>
      </c>
      <c r="AJ157" s="215">
        <v>0</v>
      </c>
      <c r="AK157" s="214" t="e">
        <v>#NUM!</v>
      </c>
      <c r="AL157" s="217">
        <v>0</v>
      </c>
      <c r="AM157" s="216" t="e">
        <v>#NUM!</v>
      </c>
    </row>
    <row r="158" spans="8:39" x14ac:dyDescent="0.25">
      <c r="H158" t="s">
        <v>1843</v>
      </c>
      <c r="AG158">
        <v>156</v>
      </c>
      <c r="AJ158" s="215">
        <v>0</v>
      </c>
      <c r="AK158" s="214" t="e">
        <v>#NUM!</v>
      </c>
      <c r="AL158" s="217">
        <v>0</v>
      </c>
      <c r="AM158" s="216" t="e">
        <v>#NUM!</v>
      </c>
    </row>
    <row r="159" spans="8:39" x14ac:dyDescent="0.25">
      <c r="H159" t="s">
        <v>1844</v>
      </c>
      <c r="AG159">
        <v>157</v>
      </c>
      <c r="AJ159" s="215">
        <v>0</v>
      </c>
      <c r="AK159" s="214" t="e">
        <v>#NUM!</v>
      </c>
      <c r="AL159" s="217">
        <v>0</v>
      </c>
      <c r="AM159" s="216" t="e">
        <v>#NUM!</v>
      </c>
    </row>
    <row r="160" spans="8:39" x14ac:dyDescent="0.25">
      <c r="H160" t="s">
        <v>1845</v>
      </c>
      <c r="AG160">
        <v>158</v>
      </c>
      <c r="AJ160" s="215">
        <v>0</v>
      </c>
      <c r="AK160" s="214" t="e">
        <v>#NUM!</v>
      </c>
      <c r="AL160" s="217">
        <v>0</v>
      </c>
      <c r="AM160" s="216" t="e">
        <v>#NUM!</v>
      </c>
    </row>
    <row r="161" spans="8:39" x14ac:dyDescent="0.25">
      <c r="H161" t="s">
        <v>1846</v>
      </c>
      <c r="AG161">
        <v>159</v>
      </c>
      <c r="AJ161" s="215">
        <v>0</v>
      </c>
      <c r="AK161" s="214" t="e">
        <v>#NUM!</v>
      </c>
      <c r="AL161" s="217">
        <v>0</v>
      </c>
      <c r="AM161" s="216" t="e">
        <v>#NUM!</v>
      </c>
    </row>
    <row r="162" spans="8:39" x14ac:dyDescent="0.25">
      <c r="H162" t="s">
        <v>1847</v>
      </c>
      <c r="AG162">
        <v>160</v>
      </c>
      <c r="AJ162" s="215">
        <v>0</v>
      </c>
      <c r="AK162" s="214" t="e">
        <v>#NUM!</v>
      </c>
      <c r="AL162" s="217">
        <v>0</v>
      </c>
      <c r="AM162" s="216" t="e">
        <v>#NUM!</v>
      </c>
    </row>
    <row r="163" spans="8:39" x14ac:dyDescent="0.25">
      <c r="H163" t="s">
        <v>1848</v>
      </c>
      <c r="AG163">
        <v>161</v>
      </c>
      <c r="AJ163" s="215">
        <v>0</v>
      </c>
      <c r="AK163" s="214" t="e">
        <v>#NUM!</v>
      </c>
      <c r="AL163" s="217">
        <v>0</v>
      </c>
      <c r="AM163" s="216" t="e">
        <v>#NUM!</v>
      </c>
    </row>
    <row r="164" spans="8:39" x14ac:dyDescent="0.25">
      <c r="H164" t="s">
        <v>1849</v>
      </c>
      <c r="AG164">
        <v>162</v>
      </c>
      <c r="AJ164" s="215">
        <v>0</v>
      </c>
      <c r="AK164" s="214" t="e">
        <v>#NUM!</v>
      </c>
      <c r="AL164" s="217">
        <v>0</v>
      </c>
      <c r="AM164" s="216" t="e">
        <v>#NUM!</v>
      </c>
    </row>
    <row r="165" spans="8:39" x14ac:dyDescent="0.25">
      <c r="H165" t="s">
        <v>1850</v>
      </c>
      <c r="AG165">
        <v>163</v>
      </c>
      <c r="AJ165" s="215">
        <v>0</v>
      </c>
      <c r="AK165" s="214" t="e">
        <v>#NUM!</v>
      </c>
      <c r="AL165" s="217">
        <v>0</v>
      </c>
      <c r="AM165" s="216" t="e">
        <v>#NUM!</v>
      </c>
    </row>
    <row r="166" spans="8:39" x14ac:dyDescent="0.25">
      <c r="H166" t="s">
        <v>1851</v>
      </c>
      <c r="AG166">
        <v>164</v>
      </c>
      <c r="AJ166" s="215">
        <v>0</v>
      </c>
      <c r="AK166" s="214" t="e">
        <v>#NUM!</v>
      </c>
      <c r="AL166" s="217">
        <v>0</v>
      </c>
      <c r="AM166" s="216" t="e">
        <v>#NUM!</v>
      </c>
    </row>
    <row r="167" spans="8:39" x14ac:dyDescent="0.25">
      <c r="H167" t="s">
        <v>1852</v>
      </c>
      <c r="AG167">
        <v>165</v>
      </c>
      <c r="AJ167" s="215">
        <v>0</v>
      </c>
      <c r="AK167" s="214" t="e">
        <v>#NUM!</v>
      </c>
      <c r="AL167" s="217">
        <v>0</v>
      </c>
      <c r="AM167" s="216" t="e">
        <v>#NUM!</v>
      </c>
    </row>
    <row r="168" spans="8:39" x14ac:dyDescent="0.25">
      <c r="H168" t="s">
        <v>1853</v>
      </c>
      <c r="AG168">
        <v>166</v>
      </c>
      <c r="AJ168" s="215">
        <v>0</v>
      </c>
      <c r="AK168" s="214" t="e">
        <v>#NUM!</v>
      </c>
      <c r="AL168" s="217">
        <v>0</v>
      </c>
      <c r="AM168" s="216" t="e">
        <v>#NUM!</v>
      </c>
    </row>
    <row r="169" spans="8:39" x14ac:dyDescent="0.25">
      <c r="H169" t="s">
        <v>1854</v>
      </c>
      <c r="AG169">
        <v>167</v>
      </c>
      <c r="AJ169" s="215">
        <v>0</v>
      </c>
      <c r="AK169" s="214" t="e">
        <v>#NUM!</v>
      </c>
      <c r="AL169" s="217">
        <v>0</v>
      </c>
      <c r="AM169" s="216" t="e">
        <v>#NUM!</v>
      </c>
    </row>
    <row r="170" spans="8:39" x14ac:dyDescent="0.25">
      <c r="H170" t="s">
        <v>1855</v>
      </c>
      <c r="AG170">
        <v>168</v>
      </c>
      <c r="AJ170" s="215">
        <v>0</v>
      </c>
      <c r="AK170" s="214" t="e">
        <v>#NUM!</v>
      </c>
      <c r="AL170" s="217">
        <v>0</v>
      </c>
      <c r="AM170" s="216" t="e">
        <v>#NUM!</v>
      </c>
    </row>
    <row r="171" spans="8:39" x14ac:dyDescent="0.25">
      <c r="H171" t="s">
        <v>1856</v>
      </c>
      <c r="AG171">
        <v>169</v>
      </c>
      <c r="AJ171" s="215">
        <v>0</v>
      </c>
      <c r="AK171" s="214" t="e">
        <v>#NUM!</v>
      </c>
      <c r="AL171" s="217">
        <v>0</v>
      </c>
      <c r="AM171" s="216" t="e">
        <v>#NUM!</v>
      </c>
    </row>
    <row r="172" spans="8:39" x14ac:dyDescent="0.25">
      <c r="H172" t="s">
        <v>1857</v>
      </c>
      <c r="AG172">
        <v>170</v>
      </c>
      <c r="AJ172" s="215">
        <v>0</v>
      </c>
      <c r="AK172" s="214" t="e">
        <v>#NUM!</v>
      </c>
      <c r="AL172" s="217">
        <v>0</v>
      </c>
      <c r="AM172" s="216" t="e">
        <v>#NUM!</v>
      </c>
    </row>
    <row r="173" spans="8:39" x14ac:dyDescent="0.25">
      <c r="H173" t="s">
        <v>1858</v>
      </c>
      <c r="AG173">
        <v>171</v>
      </c>
      <c r="AJ173" s="215">
        <v>0</v>
      </c>
      <c r="AK173" s="214" t="e">
        <v>#NUM!</v>
      </c>
      <c r="AL173" s="217">
        <v>0</v>
      </c>
      <c r="AM173" s="216" t="e">
        <v>#NUM!</v>
      </c>
    </row>
    <row r="174" spans="8:39" x14ac:dyDescent="0.25">
      <c r="H174" t="s">
        <v>1859</v>
      </c>
      <c r="AG174">
        <v>172</v>
      </c>
      <c r="AJ174" s="215">
        <v>0</v>
      </c>
      <c r="AK174" s="214" t="e">
        <v>#NUM!</v>
      </c>
      <c r="AL174" s="217">
        <v>0</v>
      </c>
      <c r="AM174" s="216" t="e">
        <v>#NUM!</v>
      </c>
    </row>
    <row r="175" spans="8:39" x14ac:dyDescent="0.25">
      <c r="H175" t="s">
        <v>1860</v>
      </c>
      <c r="AG175">
        <v>173</v>
      </c>
      <c r="AJ175" s="215">
        <v>0</v>
      </c>
      <c r="AK175" s="214" t="e">
        <v>#NUM!</v>
      </c>
      <c r="AL175" s="217">
        <v>0</v>
      </c>
      <c r="AM175" s="216" t="e">
        <v>#NUM!</v>
      </c>
    </row>
    <row r="176" spans="8:39" x14ac:dyDescent="0.25">
      <c r="H176" t="s">
        <v>1861</v>
      </c>
      <c r="AG176">
        <v>174</v>
      </c>
      <c r="AJ176" s="215">
        <v>0</v>
      </c>
      <c r="AK176" s="214" t="e">
        <v>#NUM!</v>
      </c>
      <c r="AL176" s="217">
        <v>0</v>
      </c>
      <c r="AM176" s="216" t="e">
        <v>#NUM!</v>
      </c>
    </row>
    <row r="177" spans="8:39" x14ac:dyDescent="0.25">
      <c r="H177" t="s">
        <v>1862</v>
      </c>
      <c r="AG177">
        <v>175</v>
      </c>
      <c r="AJ177" s="215">
        <v>0</v>
      </c>
      <c r="AK177" s="214" t="e">
        <v>#NUM!</v>
      </c>
      <c r="AL177" s="217">
        <v>0</v>
      </c>
      <c r="AM177" s="216" t="e">
        <v>#NUM!</v>
      </c>
    </row>
    <row r="178" spans="8:39" x14ac:dyDescent="0.25">
      <c r="H178" t="s">
        <v>1863</v>
      </c>
      <c r="AG178">
        <v>176</v>
      </c>
      <c r="AJ178" s="215">
        <v>0</v>
      </c>
      <c r="AK178" s="214" t="e">
        <v>#NUM!</v>
      </c>
      <c r="AL178" s="217">
        <v>0</v>
      </c>
      <c r="AM178" s="216" t="e">
        <v>#NUM!</v>
      </c>
    </row>
    <row r="179" spans="8:39" x14ac:dyDescent="0.25">
      <c r="H179" t="s">
        <v>1864</v>
      </c>
      <c r="AG179">
        <v>177</v>
      </c>
      <c r="AJ179" s="215">
        <v>0</v>
      </c>
      <c r="AK179" s="214" t="e">
        <v>#NUM!</v>
      </c>
      <c r="AL179" s="217">
        <v>0</v>
      </c>
      <c r="AM179" s="216" t="e">
        <v>#NUM!</v>
      </c>
    </row>
    <row r="180" spans="8:39" x14ac:dyDescent="0.25">
      <c r="H180" t="s">
        <v>1865</v>
      </c>
      <c r="AG180">
        <v>178</v>
      </c>
      <c r="AJ180" s="215">
        <v>0</v>
      </c>
      <c r="AK180" s="214" t="e">
        <v>#NUM!</v>
      </c>
      <c r="AL180" s="217">
        <v>0</v>
      </c>
      <c r="AM180" s="216" t="e">
        <v>#NUM!</v>
      </c>
    </row>
    <row r="181" spans="8:39" x14ac:dyDescent="0.25">
      <c r="H181" t="s">
        <v>1866</v>
      </c>
      <c r="AG181">
        <v>179</v>
      </c>
      <c r="AJ181" s="215">
        <v>0</v>
      </c>
      <c r="AK181" s="214" t="e">
        <v>#NUM!</v>
      </c>
      <c r="AL181" s="217">
        <v>0</v>
      </c>
      <c r="AM181" s="216" t="e">
        <v>#NUM!</v>
      </c>
    </row>
    <row r="182" spans="8:39" x14ac:dyDescent="0.25">
      <c r="H182" t="s">
        <v>1867</v>
      </c>
      <c r="AG182">
        <v>180</v>
      </c>
      <c r="AJ182" s="215">
        <v>0</v>
      </c>
      <c r="AK182" s="214" t="e">
        <v>#NUM!</v>
      </c>
      <c r="AL182" s="217">
        <v>0</v>
      </c>
      <c r="AM182" s="216" t="e">
        <v>#NUM!</v>
      </c>
    </row>
    <row r="183" spans="8:39" x14ac:dyDescent="0.25">
      <c r="H183" t="s">
        <v>1868</v>
      </c>
      <c r="AG183">
        <v>181</v>
      </c>
      <c r="AJ183" s="215">
        <v>0</v>
      </c>
      <c r="AK183" s="214" t="e">
        <v>#NUM!</v>
      </c>
      <c r="AL183" s="217">
        <v>0</v>
      </c>
      <c r="AM183" s="216" t="e">
        <v>#NUM!</v>
      </c>
    </row>
    <row r="184" spans="8:39" x14ac:dyDescent="0.25">
      <c r="H184" t="s">
        <v>1869</v>
      </c>
      <c r="AG184">
        <v>182</v>
      </c>
      <c r="AJ184" s="215">
        <v>0</v>
      </c>
      <c r="AK184" s="214" t="e">
        <v>#NUM!</v>
      </c>
      <c r="AL184" s="217">
        <v>0</v>
      </c>
      <c r="AM184" s="216" t="e">
        <v>#NUM!</v>
      </c>
    </row>
    <row r="185" spans="8:39" x14ac:dyDescent="0.25">
      <c r="H185" t="s">
        <v>1870</v>
      </c>
      <c r="AG185">
        <v>183</v>
      </c>
      <c r="AJ185" s="215">
        <v>0</v>
      </c>
      <c r="AK185" s="214" t="e">
        <v>#NUM!</v>
      </c>
      <c r="AL185" s="217">
        <v>0</v>
      </c>
      <c r="AM185" s="216" t="e">
        <v>#NUM!</v>
      </c>
    </row>
    <row r="186" spans="8:39" x14ac:dyDescent="0.25">
      <c r="H186" t="s">
        <v>1871</v>
      </c>
      <c r="AG186">
        <v>184</v>
      </c>
      <c r="AJ186" s="215">
        <v>0</v>
      </c>
      <c r="AK186" s="214" t="e">
        <v>#NUM!</v>
      </c>
      <c r="AL186" s="217">
        <v>0</v>
      </c>
      <c r="AM186" s="216" t="e">
        <v>#NUM!</v>
      </c>
    </row>
    <row r="187" spans="8:39" x14ac:dyDescent="0.25">
      <c r="H187" t="s">
        <v>1872</v>
      </c>
      <c r="AG187">
        <v>185</v>
      </c>
      <c r="AJ187" s="215">
        <v>0</v>
      </c>
      <c r="AK187" s="214" t="e">
        <v>#NUM!</v>
      </c>
      <c r="AL187" s="217">
        <v>0</v>
      </c>
      <c r="AM187" s="216" t="e">
        <v>#NUM!</v>
      </c>
    </row>
    <row r="188" spans="8:39" x14ac:dyDescent="0.25">
      <c r="H188" t="s">
        <v>1873</v>
      </c>
      <c r="AG188">
        <v>186</v>
      </c>
      <c r="AJ188" s="215">
        <v>0</v>
      </c>
      <c r="AK188" s="214" t="e">
        <v>#NUM!</v>
      </c>
      <c r="AL188" s="217">
        <v>0</v>
      </c>
      <c r="AM188" s="216" t="e">
        <v>#NUM!</v>
      </c>
    </row>
    <row r="189" spans="8:39" x14ac:dyDescent="0.25">
      <c r="H189" t="s">
        <v>1874</v>
      </c>
      <c r="AG189">
        <v>187</v>
      </c>
      <c r="AJ189" s="215">
        <v>0</v>
      </c>
      <c r="AK189" s="214" t="e">
        <v>#NUM!</v>
      </c>
      <c r="AL189" s="217">
        <v>0</v>
      </c>
      <c r="AM189" s="216" t="e">
        <v>#NUM!</v>
      </c>
    </row>
    <row r="190" spans="8:39" x14ac:dyDescent="0.25">
      <c r="H190" t="s">
        <v>1875</v>
      </c>
      <c r="AG190">
        <v>188</v>
      </c>
      <c r="AJ190" s="215">
        <v>0</v>
      </c>
      <c r="AK190" s="214" t="e">
        <v>#NUM!</v>
      </c>
      <c r="AL190" s="217">
        <v>0</v>
      </c>
      <c r="AM190" s="216" t="e">
        <v>#NUM!</v>
      </c>
    </row>
    <row r="191" spans="8:39" x14ac:dyDescent="0.25">
      <c r="H191" t="s">
        <v>1876</v>
      </c>
      <c r="AG191">
        <v>189</v>
      </c>
      <c r="AJ191" s="215">
        <v>0</v>
      </c>
      <c r="AK191" s="214" t="e">
        <v>#NUM!</v>
      </c>
      <c r="AL191" s="217">
        <v>0</v>
      </c>
      <c r="AM191" s="216" t="e">
        <v>#NUM!</v>
      </c>
    </row>
    <row r="192" spans="8:39" x14ac:dyDescent="0.25">
      <c r="H192" t="s">
        <v>1877</v>
      </c>
      <c r="AG192">
        <v>190</v>
      </c>
      <c r="AJ192" s="215">
        <v>0</v>
      </c>
      <c r="AK192" s="214" t="e">
        <v>#NUM!</v>
      </c>
      <c r="AL192" s="217">
        <v>0</v>
      </c>
      <c r="AM192" s="216" t="e">
        <v>#NUM!</v>
      </c>
    </row>
    <row r="193" spans="8:39" x14ac:dyDescent="0.25">
      <c r="H193" t="s">
        <v>1878</v>
      </c>
      <c r="AG193">
        <v>191</v>
      </c>
      <c r="AJ193" s="215">
        <v>0</v>
      </c>
      <c r="AK193" s="214" t="e">
        <v>#NUM!</v>
      </c>
      <c r="AL193" s="217">
        <v>0</v>
      </c>
      <c r="AM193" s="216" t="e">
        <v>#NUM!</v>
      </c>
    </row>
    <row r="194" spans="8:39" x14ac:dyDescent="0.25">
      <c r="H194" t="s">
        <v>1879</v>
      </c>
      <c r="AG194">
        <v>192</v>
      </c>
      <c r="AJ194" s="215">
        <v>0</v>
      </c>
      <c r="AK194" s="214" t="e">
        <v>#NUM!</v>
      </c>
      <c r="AL194" s="217">
        <v>0</v>
      </c>
      <c r="AM194" s="216" t="e">
        <v>#NUM!</v>
      </c>
    </row>
    <row r="195" spans="8:39" x14ac:dyDescent="0.25">
      <c r="H195" t="s">
        <v>1880</v>
      </c>
      <c r="AG195">
        <v>193</v>
      </c>
      <c r="AJ195" s="215">
        <v>0</v>
      </c>
      <c r="AK195" s="214" t="e">
        <v>#NUM!</v>
      </c>
      <c r="AL195" s="217">
        <v>0</v>
      </c>
      <c r="AM195" s="216" t="e">
        <v>#NUM!</v>
      </c>
    </row>
    <row r="196" spans="8:39" x14ac:dyDescent="0.25">
      <c r="H196" t="s">
        <v>1881</v>
      </c>
      <c r="AG196">
        <v>194</v>
      </c>
      <c r="AJ196" s="215">
        <v>0</v>
      </c>
      <c r="AK196" s="214" t="e">
        <v>#NUM!</v>
      </c>
      <c r="AL196" s="217">
        <v>0</v>
      </c>
      <c r="AM196" s="216" t="e">
        <v>#NUM!</v>
      </c>
    </row>
    <row r="197" spans="8:39" x14ac:dyDescent="0.25">
      <c r="H197" t="s">
        <v>1882</v>
      </c>
      <c r="AG197">
        <v>195</v>
      </c>
      <c r="AJ197" s="215">
        <v>0</v>
      </c>
      <c r="AK197" s="214" t="e">
        <v>#NUM!</v>
      </c>
      <c r="AL197" s="217">
        <v>0</v>
      </c>
      <c r="AM197" s="216" t="e">
        <v>#NUM!</v>
      </c>
    </row>
    <row r="198" spans="8:39" x14ac:dyDescent="0.25">
      <c r="H198" t="s">
        <v>1883</v>
      </c>
      <c r="AG198">
        <v>196</v>
      </c>
      <c r="AJ198" s="215">
        <v>0</v>
      </c>
      <c r="AK198" s="214" t="e">
        <v>#NUM!</v>
      </c>
      <c r="AL198" s="217">
        <v>0</v>
      </c>
      <c r="AM198" s="216" t="e">
        <v>#NUM!</v>
      </c>
    </row>
    <row r="199" spans="8:39" x14ac:dyDescent="0.25">
      <c r="H199" t="s">
        <v>1884</v>
      </c>
      <c r="AG199">
        <v>197</v>
      </c>
      <c r="AJ199" s="215">
        <v>0</v>
      </c>
      <c r="AK199" s="214" t="e">
        <v>#NUM!</v>
      </c>
      <c r="AL199" s="217">
        <v>0</v>
      </c>
      <c r="AM199" s="216" t="e">
        <v>#NUM!</v>
      </c>
    </row>
    <row r="200" spans="8:39" x14ac:dyDescent="0.25">
      <c r="H200" t="s">
        <v>1885</v>
      </c>
      <c r="AG200">
        <v>198</v>
      </c>
      <c r="AJ200" s="215">
        <v>0</v>
      </c>
      <c r="AK200" s="214" t="e">
        <v>#NUM!</v>
      </c>
      <c r="AL200" s="217">
        <v>0</v>
      </c>
      <c r="AM200" s="216" t="e">
        <v>#NUM!</v>
      </c>
    </row>
    <row r="201" spans="8:39" x14ac:dyDescent="0.25">
      <c r="H201" t="s">
        <v>1886</v>
      </c>
      <c r="AG201">
        <v>199</v>
      </c>
      <c r="AJ201" s="215">
        <v>0</v>
      </c>
      <c r="AK201" s="214" t="e">
        <v>#NUM!</v>
      </c>
      <c r="AL201" s="217">
        <v>0</v>
      </c>
      <c r="AM201" s="216" t="e">
        <v>#NUM!</v>
      </c>
    </row>
    <row r="202" spans="8:39" x14ac:dyDescent="0.25">
      <c r="H202" t="s">
        <v>1887</v>
      </c>
      <c r="AG202">
        <v>200</v>
      </c>
      <c r="AJ202" s="215">
        <v>0</v>
      </c>
      <c r="AK202" s="214" t="e">
        <v>#NUM!</v>
      </c>
      <c r="AL202" s="217">
        <v>0</v>
      </c>
      <c r="AM202" s="216" t="e">
        <v>#NUM!</v>
      </c>
    </row>
    <row r="203" spans="8:39" x14ac:dyDescent="0.25">
      <c r="H203" t="s">
        <v>1888</v>
      </c>
      <c r="AG203">
        <v>201</v>
      </c>
      <c r="AJ203" s="215">
        <v>0</v>
      </c>
      <c r="AK203" s="214" t="e">
        <v>#NUM!</v>
      </c>
      <c r="AL203" s="217">
        <v>0</v>
      </c>
      <c r="AM203" s="216" t="e">
        <v>#NUM!</v>
      </c>
    </row>
    <row r="204" spans="8:39" x14ac:dyDescent="0.25">
      <c r="H204" t="s">
        <v>1889</v>
      </c>
      <c r="AG204">
        <v>202</v>
      </c>
      <c r="AJ204" s="215">
        <v>0</v>
      </c>
      <c r="AK204" s="214" t="e">
        <v>#NUM!</v>
      </c>
      <c r="AL204" s="217">
        <v>0</v>
      </c>
      <c r="AM204" s="216" t="e">
        <v>#NUM!</v>
      </c>
    </row>
    <row r="205" spans="8:39" x14ac:dyDescent="0.25">
      <c r="H205" t="s">
        <v>1890</v>
      </c>
      <c r="AG205">
        <v>203</v>
      </c>
      <c r="AJ205" s="215">
        <v>0</v>
      </c>
      <c r="AK205" s="214" t="e">
        <v>#NUM!</v>
      </c>
      <c r="AL205" s="217">
        <v>0</v>
      </c>
      <c r="AM205" s="216" t="e">
        <v>#NUM!</v>
      </c>
    </row>
    <row r="206" spans="8:39" x14ac:dyDescent="0.25">
      <c r="H206" t="s">
        <v>1891</v>
      </c>
      <c r="AG206">
        <v>204</v>
      </c>
      <c r="AJ206" s="215">
        <v>0</v>
      </c>
      <c r="AK206" s="214" t="e">
        <v>#NUM!</v>
      </c>
      <c r="AL206" s="217">
        <v>0</v>
      </c>
      <c r="AM206" s="216" t="e">
        <v>#NUM!</v>
      </c>
    </row>
    <row r="207" spans="8:39" x14ac:dyDescent="0.25">
      <c r="H207" t="s">
        <v>1892</v>
      </c>
      <c r="AG207">
        <v>205</v>
      </c>
      <c r="AJ207" s="215">
        <v>0</v>
      </c>
      <c r="AK207" s="214" t="e">
        <v>#NUM!</v>
      </c>
      <c r="AL207" s="217">
        <v>0</v>
      </c>
      <c r="AM207" s="216" t="e">
        <v>#NUM!</v>
      </c>
    </row>
    <row r="208" spans="8:39" x14ac:dyDescent="0.25">
      <c r="H208" t="s">
        <v>1893</v>
      </c>
      <c r="AG208">
        <v>206</v>
      </c>
      <c r="AJ208" s="215">
        <v>0</v>
      </c>
      <c r="AK208" s="214" t="e">
        <v>#NUM!</v>
      </c>
      <c r="AL208" s="217">
        <v>0</v>
      </c>
      <c r="AM208" s="216" t="e">
        <v>#NUM!</v>
      </c>
    </row>
    <row r="209" spans="8:39" x14ac:dyDescent="0.25">
      <c r="H209" t="s">
        <v>1894</v>
      </c>
      <c r="AG209">
        <v>207</v>
      </c>
      <c r="AJ209" s="215">
        <v>0</v>
      </c>
      <c r="AK209" s="214" t="e">
        <v>#NUM!</v>
      </c>
      <c r="AL209" s="217">
        <v>0</v>
      </c>
      <c r="AM209" s="216" t="e">
        <v>#NUM!</v>
      </c>
    </row>
    <row r="210" spans="8:39" x14ac:dyDescent="0.25">
      <c r="H210" t="s">
        <v>1895</v>
      </c>
      <c r="AG210">
        <v>208</v>
      </c>
      <c r="AJ210" s="215">
        <v>0</v>
      </c>
      <c r="AK210" s="214" t="e">
        <v>#NUM!</v>
      </c>
      <c r="AL210" s="217">
        <v>0</v>
      </c>
      <c r="AM210" s="216" t="e">
        <v>#NUM!</v>
      </c>
    </row>
    <row r="211" spans="8:39" x14ac:dyDescent="0.25">
      <c r="H211" t="s">
        <v>1896</v>
      </c>
      <c r="AG211">
        <v>209</v>
      </c>
      <c r="AJ211" s="215">
        <v>0</v>
      </c>
      <c r="AK211" s="214" t="e">
        <v>#NUM!</v>
      </c>
      <c r="AL211" s="217">
        <v>0</v>
      </c>
      <c r="AM211" s="216" t="e">
        <v>#NUM!</v>
      </c>
    </row>
    <row r="212" spans="8:39" x14ac:dyDescent="0.25">
      <c r="H212" t="s">
        <v>1897</v>
      </c>
      <c r="AG212">
        <v>210</v>
      </c>
      <c r="AJ212" s="215">
        <v>0</v>
      </c>
      <c r="AK212" s="214" t="e">
        <v>#NUM!</v>
      </c>
    </row>
    <row r="213" spans="8:39" x14ac:dyDescent="0.25">
      <c r="H213" t="s">
        <v>1898</v>
      </c>
      <c r="AG213">
        <v>211</v>
      </c>
      <c r="AJ213" s="215">
        <v>0</v>
      </c>
      <c r="AK213" s="214" t="e">
        <v>#NUM!</v>
      </c>
    </row>
    <row r="214" spans="8:39" x14ac:dyDescent="0.25">
      <c r="H214" t="s">
        <v>1899</v>
      </c>
      <c r="AG214">
        <v>212</v>
      </c>
      <c r="AJ214" s="215">
        <v>0</v>
      </c>
      <c r="AK214" s="214" t="e">
        <v>#NUM!</v>
      </c>
    </row>
    <row r="215" spans="8:39" x14ac:dyDescent="0.25">
      <c r="H215" t="s">
        <v>1900</v>
      </c>
      <c r="AG215">
        <v>213</v>
      </c>
      <c r="AJ215" s="215">
        <v>0</v>
      </c>
      <c r="AK215" s="214" t="e">
        <v>#NUM!</v>
      </c>
    </row>
    <row r="216" spans="8:39" x14ac:dyDescent="0.25">
      <c r="H216" t="s">
        <v>1901</v>
      </c>
      <c r="AG216">
        <v>214</v>
      </c>
      <c r="AJ216" s="215">
        <v>0</v>
      </c>
      <c r="AK216" s="214" t="e">
        <v>#NUM!</v>
      </c>
    </row>
    <row r="217" spans="8:39" x14ac:dyDescent="0.25">
      <c r="H217" t="s">
        <v>1902</v>
      </c>
      <c r="AG217">
        <v>215</v>
      </c>
      <c r="AJ217" s="215">
        <v>0</v>
      </c>
      <c r="AK217" s="214" t="e">
        <v>#NUM!</v>
      </c>
    </row>
    <row r="218" spans="8:39" x14ac:dyDescent="0.25">
      <c r="H218" t="s">
        <v>1903</v>
      </c>
      <c r="AG218">
        <v>216</v>
      </c>
      <c r="AJ218" s="215">
        <v>0</v>
      </c>
      <c r="AK218" s="214" t="e">
        <v>#NUM!</v>
      </c>
    </row>
    <row r="219" spans="8:39" x14ac:dyDescent="0.25">
      <c r="H219" t="s">
        <v>1904</v>
      </c>
      <c r="AG219">
        <v>217</v>
      </c>
      <c r="AJ219" s="215">
        <v>0</v>
      </c>
      <c r="AK219" s="214" t="e">
        <v>#NUM!</v>
      </c>
    </row>
    <row r="220" spans="8:39" x14ac:dyDescent="0.25">
      <c r="H220" t="s">
        <v>1905</v>
      </c>
      <c r="AG220">
        <v>218</v>
      </c>
      <c r="AJ220" s="215">
        <v>0</v>
      </c>
      <c r="AK220" s="214" t="e">
        <v>#NUM!</v>
      </c>
    </row>
    <row r="221" spans="8:39" x14ac:dyDescent="0.25">
      <c r="H221" t="s">
        <v>1906</v>
      </c>
      <c r="AG221">
        <v>219</v>
      </c>
      <c r="AJ221" s="215">
        <v>0</v>
      </c>
      <c r="AK221" s="214" t="e">
        <v>#NUM!</v>
      </c>
    </row>
    <row r="222" spans="8:39" x14ac:dyDescent="0.25">
      <c r="H222" t="s">
        <v>1907</v>
      </c>
      <c r="AG222">
        <v>220</v>
      </c>
      <c r="AJ222" s="215">
        <v>0</v>
      </c>
      <c r="AK222" s="214" t="e">
        <v>#NUM!</v>
      </c>
    </row>
    <row r="223" spans="8:39" x14ac:dyDescent="0.25">
      <c r="H223" t="s">
        <v>1908</v>
      </c>
      <c r="AG223">
        <v>221</v>
      </c>
      <c r="AJ223" s="215">
        <v>0</v>
      </c>
      <c r="AK223" s="214" t="e">
        <v>#NUM!</v>
      </c>
    </row>
    <row r="224" spans="8:39" x14ac:dyDescent="0.25">
      <c r="H224" t="s">
        <v>1909</v>
      </c>
      <c r="AG224">
        <v>222</v>
      </c>
      <c r="AJ224" s="215">
        <v>0</v>
      </c>
      <c r="AK224" s="214" t="e">
        <v>#NUM!</v>
      </c>
    </row>
    <row r="225" spans="8:37" x14ac:dyDescent="0.25">
      <c r="H225" t="s">
        <v>1910</v>
      </c>
      <c r="AG225">
        <v>223</v>
      </c>
      <c r="AJ225" s="215">
        <v>0</v>
      </c>
      <c r="AK225" s="214" t="e">
        <v>#NUM!</v>
      </c>
    </row>
    <row r="226" spans="8:37" x14ac:dyDescent="0.25">
      <c r="H226" t="s">
        <v>1911</v>
      </c>
      <c r="AG226">
        <v>224</v>
      </c>
      <c r="AJ226" s="215">
        <v>0</v>
      </c>
      <c r="AK226" s="214" t="e">
        <v>#NUM!</v>
      </c>
    </row>
    <row r="227" spans="8:37" x14ac:dyDescent="0.25">
      <c r="H227" t="s">
        <v>1912</v>
      </c>
      <c r="AG227">
        <v>225</v>
      </c>
      <c r="AJ227" s="215">
        <v>0</v>
      </c>
      <c r="AK227" s="214" t="e">
        <v>#NUM!</v>
      </c>
    </row>
    <row r="228" spans="8:37" x14ac:dyDescent="0.25">
      <c r="H228" t="s">
        <v>1913</v>
      </c>
      <c r="AG228">
        <v>226</v>
      </c>
      <c r="AJ228" s="215">
        <v>0</v>
      </c>
      <c r="AK228" s="214" t="e">
        <v>#NUM!</v>
      </c>
    </row>
    <row r="229" spans="8:37" x14ac:dyDescent="0.25">
      <c r="H229" t="s">
        <v>1914</v>
      </c>
      <c r="AG229">
        <v>227</v>
      </c>
      <c r="AJ229" s="215">
        <v>0</v>
      </c>
      <c r="AK229" s="214" t="e">
        <v>#NUM!</v>
      </c>
    </row>
    <row r="230" spans="8:37" x14ac:dyDescent="0.25">
      <c r="H230" t="s">
        <v>1915</v>
      </c>
      <c r="AG230">
        <v>228</v>
      </c>
      <c r="AJ230" s="215">
        <v>0</v>
      </c>
      <c r="AK230" s="214" t="e">
        <v>#NUM!</v>
      </c>
    </row>
    <row r="231" spans="8:37" x14ac:dyDescent="0.25">
      <c r="H231" t="s">
        <v>1916</v>
      </c>
      <c r="AG231">
        <v>229</v>
      </c>
      <c r="AJ231" s="215">
        <v>0</v>
      </c>
      <c r="AK231" s="214" t="e">
        <v>#NUM!</v>
      </c>
    </row>
    <row r="232" spans="8:37" x14ac:dyDescent="0.25">
      <c r="H232" t="s">
        <v>1917</v>
      </c>
      <c r="AG232">
        <v>230</v>
      </c>
    </row>
    <row r="233" spans="8:37" x14ac:dyDescent="0.25">
      <c r="H233" t="s">
        <v>1918</v>
      </c>
      <c r="AG233">
        <v>231</v>
      </c>
    </row>
    <row r="234" spans="8:37" x14ac:dyDescent="0.25">
      <c r="H234" t="s">
        <v>1919</v>
      </c>
      <c r="AG234">
        <v>232</v>
      </c>
    </row>
    <row r="235" spans="8:37" x14ac:dyDescent="0.25">
      <c r="H235" t="s">
        <v>1920</v>
      </c>
      <c r="AG235">
        <v>233</v>
      </c>
    </row>
    <row r="236" spans="8:37" x14ac:dyDescent="0.25">
      <c r="H236" t="s">
        <v>1921</v>
      </c>
      <c r="AG236">
        <v>234</v>
      </c>
    </row>
    <row r="237" spans="8:37" x14ac:dyDescent="0.25">
      <c r="H237" t="s">
        <v>1922</v>
      </c>
      <c r="AG237">
        <v>235</v>
      </c>
    </row>
    <row r="238" spans="8:37" x14ac:dyDescent="0.25">
      <c r="H238" t="s">
        <v>1923</v>
      </c>
      <c r="AG238">
        <v>236</v>
      </c>
    </row>
    <row r="239" spans="8:37" x14ac:dyDescent="0.25">
      <c r="H239" t="s">
        <v>1924</v>
      </c>
      <c r="AG239">
        <v>237</v>
      </c>
    </row>
    <row r="240" spans="8:37" x14ac:dyDescent="0.25">
      <c r="H240" t="s">
        <v>1925</v>
      </c>
      <c r="AG240">
        <v>238</v>
      </c>
    </row>
    <row r="241" spans="8:33" x14ac:dyDescent="0.25">
      <c r="H241" t="s">
        <v>1926</v>
      </c>
      <c r="AG241">
        <v>239</v>
      </c>
    </row>
    <row r="242" spans="8:33" x14ac:dyDescent="0.25">
      <c r="H242" t="s">
        <v>1927</v>
      </c>
      <c r="AG242">
        <v>240</v>
      </c>
    </row>
    <row r="243" spans="8:33" x14ac:dyDescent="0.25">
      <c r="AG243">
        <v>241</v>
      </c>
    </row>
    <row r="244" spans="8:33" x14ac:dyDescent="0.25">
      <c r="AG244">
        <v>242</v>
      </c>
    </row>
    <row r="245" spans="8:33" x14ac:dyDescent="0.25">
      <c r="AG245">
        <v>243</v>
      </c>
    </row>
    <row r="246" spans="8:33" x14ac:dyDescent="0.25">
      <c r="AG246">
        <v>244</v>
      </c>
    </row>
    <row r="247" spans="8:33" x14ac:dyDescent="0.25">
      <c r="AG247">
        <v>245</v>
      </c>
    </row>
    <row r="248" spans="8:33" x14ac:dyDescent="0.25">
      <c r="AG248">
        <v>246</v>
      </c>
    </row>
    <row r="249" spans="8:33" x14ac:dyDescent="0.25">
      <c r="AG249">
        <v>247</v>
      </c>
    </row>
    <row r="250" spans="8:33" x14ac:dyDescent="0.25">
      <c r="AG250">
        <v>248</v>
      </c>
    </row>
    <row r="251" spans="8:33" x14ac:dyDescent="0.25">
      <c r="AG251">
        <v>249</v>
      </c>
    </row>
    <row r="252" spans="8:33" x14ac:dyDescent="0.25">
      <c r="AG252">
        <v>250</v>
      </c>
    </row>
    <row r="253" spans="8:33" x14ac:dyDescent="0.25">
      <c r="AG253">
        <v>251</v>
      </c>
    </row>
    <row r="254" spans="8:33" x14ac:dyDescent="0.25">
      <c r="AG254">
        <v>252</v>
      </c>
    </row>
    <row r="255" spans="8:33" x14ac:dyDescent="0.25">
      <c r="AG255">
        <v>253</v>
      </c>
    </row>
    <row r="256" spans="8:33" x14ac:dyDescent="0.25">
      <c r="AG256">
        <v>254</v>
      </c>
    </row>
    <row r="257" spans="33:33" x14ac:dyDescent="0.25">
      <c r="AG257">
        <v>255</v>
      </c>
    </row>
    <row r="258" spans="33:33" x14ac:dyDescent="0.25">
      <c r="AG258">
        <v>256</v>
      </c>
    </row>
    <row r="259" spans="33:33" x14ac:dyDescent="0.25">
      <c r="AG259">
        <v>257</v>
      </c>
    </row>
    <row r="260" spans="33:33" x14ac:dyDescent="0.25">
      <c r="AG260">
        <v>258</v>
      </c>
    </row>
    <row r="261" spans="33:33" x14ac:dyDescent="0.25">
      <c r="AG261">
        <v>259</v>
      </c>
    </row>
    <row r="262" spans="33:33" x14ac:dyDescent="0.25">
      <c r="AG262">
        <v>260</v>
      </c>
    </row>
    <row r="263" spans="33:33" x14ac:dyDescent="0.25">
      <c r="AG263">
        <v>261</v>
      </c>
    </row>
    <row r="264" spans="33:33" x14ac:dyDescent="0.25">
      <c r="AG264">
        <v>262</v>
      </c>
    </row>
    <row r="265" spans="33:33" x14ac:dyDescent="0.25">
      <c r="AG265">
        <v>263</v>
      </c>
    </row>
    <row r="266" spans="33:33" x14ac:dyDescent="0.25">
      <c r="AG266">
        <v>264</v>
      </c>
    </row>
    <row r="267" spans="33:33" x14ac:dyDescent="0.25">
      <c r="AG267">
        <v>265</v>
      </c>
    </row>
    <row r="268" spans="33:33" x14ac:dyDescent="0.25">
      <c r="AG268">
        <v>266</v>
      </c>
    </row>
    <row r="269" spans="33:33" x14ac:dyDescent="0.25">
      <c r="AG269">
        <v>267</v>
      </c>
    </row>
    <row r="270" spans="33:33" x14ac:dyDescent="0.25">
      <c r="AG270">
        <v>268</v>
      </c>
    </row>
    <row r="271" spans="33:33" x14ac:dyDescent="0.25">
      <c r="AG271">
        <v>269</v>
      </c>
    </row>
    <row r="272" spans="33:33" x14ac:dyDescent="0.25">
      <c r="AG272">
        <v>270</v>
      </c>
    </row>
    <row r="273" spans="33:33" x14ac:dyDescent="0.25">
      <c r="AG273">
        <v>271</v>
      </c>
    </row>
    <row r="274" spans="33:33" x14ac:dyDescent="0.25">
      <c r="AG274">
        <v>272</v>
      </c>
    </row>
    <row r="275" spans="33:33" x14ac:dyDescent="0.25">
      <c r="AG275">
        <v>273</v>
      </c>
    </row>
    <row r="276" spans="33:33" x14ac:dyDescent="0.25">
      <c r="AG276">
        <v>274</v>
      </c>
    </row>
    <row r="277" spans="33:33" x14ac:dyDescent="0.25">
      <c r="AG277">
        <v>275</v>
      </c>
    </row>
    <row r="278" spans="33:33" x14ac:dyDescent="0.25">
      <c r="AG278">
        <v>276</v>
      </c>
    </row>
    <row r="279" spans="33:33" x14ac:dyDescent="0.25">
      <c r="AG279">
        <v>277</v>
      </c>
    </row>
    <row r="280" spans="33:33" x14ac:dyDescent="0.25">
      <c r="AG280">
        <v>278</v>
      </c>
    </row>
    <row r="281" spans="33:33" x14ac:dyDescent="0.25">
      <c r="AG281">
        <v>279</v>
      </c>
    </row>
    <row r="282" spans="33:33" x14ac:dyDescent="0.25">
      <c r="AG282">
        <v>280</v>
      </c>
    </row>
    <row r="283" spans="33:33" x14ac:dyDescent="0.25">
      <c r="AG283">
        <v>281</v>
      </c>
    </row>
    <row r="284" spans="33:33" x14ac:dyDescent="0.25">
      <c r="AG284">
        <v>282</v>
      </c>
    </row>
    <row r="285" spans="33:33" x14ac:dyDescent="0.25">
      <c r="AG285">
        <v>283</v>
      </c>
    </row>
    <row r="286" spans="33:33" x14ac:dyDescent="0.25">
      <c r="AG286">
        <v>284</v>
      </c>
    </row>
    <row r="287" spans="33:33" x14ac:dyDescent="0.25">
      <c r="AG287">
        <v>285</v>
      </c>
    </row>
    <row r="288" spans="33:33" x14ac:dyDescent="0.25">
      <c r="AG288">
        <v>286</v>
      </c>
    </row>
    <row r="289" spans="33:33" x14ac:dyDescent="0.25">
      <c r="AG289">
        <v>287</v>
      </c>
    </row>
    <row r="290" spans="33:33" x14ac:dyDescent="0.25">
      <c r="AG290">
        <v>288</v>
      </c>
    </row>
    <row r="291" spans="33:33" x14ac:dyDescent="0.25">
      <c r="AG291">
        <v>289</v>
      </c>
    </row>
    <row r="292" spans="33:33" x14ac:dyDescent="0.25">
      <c r="AG292">
        <v>290</v>
      </c>
    </row>
    <row r="293" spans="33:33" x14ac:dyDescent="0.25">
      <c r="AG293">
        <v>291</v>
      </c>
    </row>
    <row r="294" spans="33:33" x14ac:dyDescent="0.25">
      <c r="AG294">
        <v>292</v>
      </c>
    </row>
    <row r="295" spans="33:33" x14ac:dyDescent="0.25">
      <c r="AG295">
        <v>293</v>
      </c>
    </row>
    <row r="296" spans="33:33" x14ac:dyDescent="0.25">
      <c r="AG296">
        <v>294</v>
      </c>
    </row>
    <row r="297" spans="33:33" x14ac:dyDescent="0.25">
      <c r="AG297">
        <v>295</v>
      </c>
    </row>
    <row r="298" spans="33:33" x14ac:dyDescent="0.25">
      <c r="AG298">
        <v>296</v>
      </c>
    </row>
    <row r="299" spans="33:33" x14ac:dyDescent="0.25">
      <c r="AG299">
        <v>297</v>
      </c>
    </row>
    <row r="300" spans="33:33" x14ac:dyDescent="0.25">
      <c r="AG300">
        <v>298</v>
      </c>
    </row>
    <row r="301" spans="33:33" x14ac:dyDescent="0.25">
      <c r="AG301">
        <v>299</v>
      </c>
    </row>
    <row r="302" spans="33:33" x14ac:dyDescent="0.25">
      <c r="AG302">
        <v>300</v>
      </c>
    </row>
    <row r="303" spans="33:33" x14ac:dyDescent="0.25">
      <c r="AG303">
        <v>301</v>
      </c>
    </row>
    <row r="304" spans="33:33" x14ac:dyDescent="0.25">
      <c r="AG304">
        <v>302</v>
      </c>
    </row>
    <row r="305" spans="33:33" x14ac:dyDescent="0.25">
      <c r="AG305">
        <v>303</v>
      </c>
    </row>
    <row r="306" spans="33:33" x14ac:dyDescent="0.25">
      <c r="AG306">
        <v>304</v>
      </c>
    </row>
    <row r="307" spans="33:33" x14ac:dyDescent="0.25">
      <c r="AG307">
        <v>305</v>
      </c>
    </row>
    <row r="308" spans="33:33" x14ac:dyDescent="0.25">
      <c r="AG308">
        <v>306</v>
      </c>
    </row>
    <row r="309" spans="33:33" x14ac:dyDescent="0.25">
      <c r="AG309">
        <v>307</v>
      </c>
    </row>
    <row r="310" spans="33:33" x14ac:dyDescent="0.25">
      <c r="AG310">
        <v>308</v>
      </c>
    </row>
    <row r="311" spans="33:33" x14ac:dyDescent="0.25">
      <c r="AG311">
        <v>309</v>
      </c>
    </row>
    <row r="312" spans="33:33" x14ac:dyDescent="0.25">
      <c r="AG312">
        <v>310</v>
      </c>
    </row>
    <row r="313" spans="33:33" x14ac:dyDescent="0.25">
      <c r="AG313">
        <v>311</v>
      </c>
    </row>
    <row r="314" spans="33:33" x14ac:dyDescent="0.25">
      <c r="AG314">
        <v>312</v>
      </c>
    </row>
    <row r="315" spans="33:33" x14ac:dyDescent="0.25">
      <c r="AG315">
        <v>313</v>
      </c>
    </row>
    <row r="316" spans="33:33" x14ac:dyDescent="0.25">
      <c r="AG316">
        <v>314</v>
      </c>
    </row>
    <row r="317" spans="33:33" x14ac:dyDescent="0.25">
      <c r="AG317">
        <v>315</v>
      </c>
    </row>
    <row r="318" spans="33:33" x14ac:dyDescent="0.25">
      <c r="AG318">
        <v>316</v>
      </c>
    </row>
    <row r="319" spans="33:33" x14ac:dyDescent="0.25">
      <c r="AG319">
        <v>317</v>
      </c>
    </row>
    <row r="320" spans="33:33" x14ac:dyDescent="0.25">
      <c r="AG320">
        <v>318</v>
      </c>
    </row>
    <row r="321" spans="33:33" x14ac:dyDescent="0.25">
      <c r="AG321">
        <v>319</v>
      </c>
    </row>
    <row r="322" spans="33:33" x14ac:dyDescent="0.25">
      <c r="AG322">
        <v>320</v>
      </c>
    </row>
    <row r="323" spans="33:33" x14ac:dyDescent="0.25">
      <c r="AG323">
        <v>321</v>
      </c>
    </row>
    <row r="324" spans="33:33" x14ac:dyDescent="0.25">
      <c r="AG324">
        <v>322</v>
      </c>
    </row>
    <row r="325" spans="33:33" x14ac:dyDescent="0.25">
      <c r="AG325">
        <v>323</v>
      </c>
    </row>
    <row r="326" spans="33:33" x14ac:dyDescent="0.25">
      <c r="AG326">
        <v>324</v>
      </c>
    </row>
    <row r="327" spans="33:33" x14ac:dyDescent="0.25">
      <c r="AG327">
        <v>325</v>
      </c>
    </row>
    <row r="328" spans="33:33" x14ac:dyDescent="0.25">
      <c r="AG328">
        <v>326</v>
      </c>
    </row>
    <row r="329" spans="33:33" x14ac:dyDescent="0.25">
      <c r="AG329">
        <v>327</v>
      </c>
    </row>
    <row r="330" spans="33:33" x14ac:dyDescent="0.25">
      <c r="AG330">
        <v>328</v>
      </c>
    </row>
    <row r="331" spans="33:33" x14ac:dyDescent="0.25">
      <c r="AG331">
        <v>329</v>
      </c>
    </row>
    <row r="332" spans="33:33" x14ac:dyDescent="0.25">
      <c r="AG332">
        <v>330</v>
      </c>
    </row>
    <row r="333" spans="33:33" x14ac:dyDescent="0.25">
      <c r="AG333">
        <v>331</v>
      </c>
    </row>
    <row r="334" spans="33:33" x14ac:dyDescent="0.25">
      <c r="AG334">
        <v>332</v>
      </c>
    </row>
    <row r="335" spans="33:33" x14ac:dyDescent="0.25">
      <c r="AG335">
        <v>333</v>
      </c>
    </row>
    <row r="336" spans="33:33" x14ac:dyDescent="0.25">
      <c r="AG336">
        <v>334</v>
      </c>
    </row>
    <row r="337" spans="33:33" x14ac:dyDescent="0.25">
      <c r="AG337">
        <v>335</v>
      </c>
    </row>
    <row r="338" spans="33:33" x14ac:dyDescent="0.25">
      <c r="AG338">
        <v>336</v>
      </c>
    </row>
    <row r="339" spans="33:33" x14ac:dyDescent="0.25">
      <c r="AG339">
        <v>337</v>
      </c>
    </row>
    <row r="340" spans="33:33" x14ac:dyDescent="0.25">
      <c r="AG340">
        <v>338</v>
      </c>
    </row>
    <row r="341" spans="33:33" x14ac:dyDescent="0.25">
      <c r="AG341">
        <v>339</v>
      </c>
    </row>
    <row r="342" spans="33:33" x14ac:dyDescent="0.25">
      <c r="AG342">
        <v>340</v>
      </c>
    </row>
    <row r="343" spans="33:33" x14ac:dyDescent="0.25">
      <c r="AG343">
        <v>341</v>
      </c>
    </row>
    <row r="344" spans="33:33" x14ac:dyDescent="0.25">
      <c r="AG344">
        <v>342</v>
      </c>
    </row>
    <row r="345" spans="33:33" x14ac:dyDescent="0.25">
      <c r="AG345">
        <v>343</v>
      </c>
    </row>
    <row r="346" spans="33:33" x14ac:dyDescent="0.25">
      <c r="AG346">
        <v>344</v>
      </c>
    </row>
    <row r="347" spans="33:33" x14ac:dyDescent="0.25">
      <c r="AG347">
        <v>345</v>
      </c>
    </row>
    <row r="348" spans="33:33" x14ac:dyDescent="0.25">
      <c r="AG348">
        <v>346</v>
      </c>
    </row>
    <row r="349" spans="33:33" x14ac:dyDescent="0.25">
      <c r="AG349">
        <v>347</v>
      </c>
    </row>
    <row r="350" spans="33:33" x14ac:dyDescent="0.25">
      <c r="AG350">
        <v>348</v>
      </c>
    </row>
    <row r="351" spans="33:33" x14ac:dyDescent="0.25">
      <c r="AG351">
        <v>349</v>
      </c>
    </row>
    <row r="352" spans="33:33" x14ac:dyDescent="0.25">
      <c r="AG352">
        <v>350</v>
      </c>
    </row>
    <row r="353" spans="33:33" x14ac:dyDescent="0.25">
      <c r="AG353">
        <v>351</v>
      </c>
    </row>
    <row r="354" spans="33:33" x14ac:dyDescent="0.25">
      <c r="AG354">
        <v>352</v>
      </c>
    </row>
    <row r="355" spans="33:33" x14ac:dyDescent="0.25">
      <c r="AG355">
        <v>353</v>
      </c>
    </row>
    <row r="356" spans="33:33" x14ac:dyDescent="0.25">
      <c r="AG356">
        <v>354</v>
      </c>
    </row>
    <row r="357" spans="33:33" x14ac:dyDescent="0.25">
      <c r="AG357">
        <v>355</v>
      </c>
    </row>
    <row r="358" spans="33:33" x14ac:dyDescent="0.25">
      <c r="AG358">
        <v>356</v>
      </c>
    </row>
    <row r="359" spans="33:33" x14ac:dyDescent="0.25">
      <c r="AG359">
        <v>357</v>
      </c>
    </row>
    <row r="360" spans="33:33" x14ac:dyDescent="0.25">
      <c r="AG360">
        <v>358</v>
      </c>
    </row>
    <row r="361" spans="33:33" x14ac:dyDescent="0.25">
      <c r="AG361">
        <v>359</v>
      </c>
    </row>
    <row r="362" spans="33:33" x14ac:dyDescent="0.25">
      <c r="AG362">
        <v>360</v>
      </c>
    </row>
    <row r="363" spans="33:33" x14ac:dyDescent="0.25">
      <c r="AG363">
        <v>361</v>
      </c>
    </row>
    <row r="364" spans="33:33" x14ac:dyDescent="0.25">
      <c r="AG364">
        <v>362</v>
      </c>
    </row>
    <row r="365" spans="33:33" x14ac:dyDescent="0.25">
      <c r="AG365">
        <v>363</v>
      </c>
    </row>
    <row r="366" spans="33:33" x14ac:dyDescent="0.25">
      <c r="AG366">
        <v>364</v>
      </c>
    </row>
    <row r="367" spans="33:33" x14ac:dyDescent="0.25">
      <c r="AG367">
        <v>365</v>
      </c>
    </row>
    <row r="368" spans="33:33" x14ac:dyDescent="0.25">
      <c r="AG368">
        <v>366</v>
      </c>
    </row>
    <row r="369" spans="33:33" x14ac:dyDescent="0.25">
      <c r="AG369">
        <v>367</v>
      </c>
    </row>
    <row r="370" spans="33:33" x14ac:dyDescent="0.25">
      <c r="AG370">
        <v>368</v>
      </c>
    </row>
    <row r="371" spans="33:33" x14ac:dyDescent="0.25">
      <c r="AG371">
        <v>369</v>
      </c>
    </row>
    <row r="372" spans="33:33" x14ac:dyDescent="0.25">
      <c r="AG372">
        <v>370</v>
      </c>
    </row>
    <row r="373" spans="33:33" x14ac:dyDescent="0.25">
      <c r="AG373">
        <v>371</v>
      </c>
    </row>
    <row r="374" spans="33:33" x14ac:dyDescent="0.25">
      <c r="AG374">
        <v>372</v>
      </c>
    </row>
    <row r="375" spans="33:33" x14ac:dyDescent="0.25">
      <c r="AG375">
        <v>373</v>
      </c>
    </row>
    <row r="376" spans="33:33" x14ac:dyDescent="0.25">
      <c r="AG376">
        <v>374</v>
      </c>
    </row>
    <row r="377" spans="33:33" x14ac:dyDescent="0.25">
      <c r="AG377">
        <v>375</v>
      </c>
    </row>
    <row r="378" spans="33:33" x14ac:dyDescent="0.25">
      <c r="AG378">
        <v>376</v>
      </c>
    </row>
    <row r="379" spans="33:33" x14ac:dyDescent="0.25">
      <c r="AG379">
        <v>377</v>
      </c>
    </row>
    <row r="380" spans="33:33" x14ac:dyDescent="0.25">
      <c r="AG380">
        <v>378</v>
      </c>
    </row>
    <row r="381" spans="33:33" x14ac:dyDescent="0.25">
      <c r="AG381">
        <v>379</v>
      </c>
    </row>
    <row r="382" spans="33:33" x14ac:dyDescent="0.25">
      <c r="AG382">
        <v>380</v>
      </c>
    </row>
    <row r="383" spans="33:33" x14ac:dyDescent="0.25">
      <c r="AG383">
        <v>381</v>
      </c>
    </row>
    <row r="384" spans="33:33" x14ac:dyDescent="0.25">
      <c r="AG384">
        <v>382</v>
      </c>
    </row>
    <row r="385" spans="33:33" x14ac:dyDescent="0.25">
      <c r="AG385">
        <v>383</v>
      </c>
    </row>
    <row r="386" spans="33:33" x14ac:dyDescent="0.25">
      <c r="AG386">
        <v>384</v>
      </c>
    </row>
    <row r="387" spans="33:33" x14ac:dyDescent="0.25">
      <c r="AG387">
        <v>385</v>
      </c>
    </row>
    <row r="388" spans="33:33" x14ac:dyDescent="0.25">
      <c r="AG388">
        <v>386</v>
      </c>
    </row>
    <row r="389" spans="33:33" x14ac:dyDescent="0.25">
      <c r="AG389">
        <v>387</v>
      </c>
    </row>
    <row r="390" spans="33:33" x14ac:dyDescent="0.25">
      <c r="AG390">
        <v>388</v>
      </c>
    </row>
    <row r="391" spans="33:33" x14ac:dyDescent="0.25">
      <c r="AG391">
        <v>389</v>
      </c>
    </row>
    <row r="392" spans="33:33" x14ac:dyDescent="0.25">
      <c r="AG392">
        <v>390</v>
      </c>
    </row>
    <row r="393" spans="33:33" x14ac:dyDescent="0.25">
      <c r="AG393">
        <v>391</v>
      </c>
    </row>
    <row r="394" spans="33:33" x14ac:dyDescent="0.25">
      <c r="AG394">
        <v>392</v>
      </c>
    </row>
    <row r="395" spans="33:33" x14ac:dyDescent="0.25">
      <c r="AG395">
        <v>393</v>
      </c>
    </row>
    <row r="396" spans="33:33" x14ac:dyDescent="0.25">
      <c r="AG396">
        <v>394</v>
      </c>
    </row>
    <row r="397" spans="33:33" x14ac:dyDescent="0.25">
      <c r="AG397">
        <v>395</v>
      </c>
    </row>
    <row r="398" spans="33:33" x14ac:dyDescent="0.25">
      <c r="AG398">
        <v>396</v>
      </c>
    </row>
    <row r="399" spans="33:33" x14ac:dyDescent="0.25">
      <c r="AG399">
        <v>397</v>
      </c>
    </row>
    <row r="400" spans="33:33" x14ac:dyDescent="0.25">
      <c r="AG400">
        <v>398</v>
      </c>
    </row>
    <row r="401" spans="33:33" x14ac:dyDescent="0.25">
      <c r="AG401">
        <v>399</v>
      </c>
    </row>
    <row r="402" spans="33:33" x14ac:dyDescent="0.25">
      <c r="AG402">
        <v>400</v>
      </c>
    </row>
    <row r="403" spans="33:33" x14ac:dyDescent="0.25">
      <c r="AG403">
        <v>401</v>
      </c>
    </row>
    <row r="404" spans="33:33" x14ac:dyDescent="0.25">
      <c r="AG404">
        <v>402</v>
      </c>
    </row>
    <row r="405" spans="33:33" x14ac:dyDescent="0.25">
      <c r="AG405">
        <v>403</v>
      </c>
    </row>
    <row r="406" spans="33:33" x14ac:dyDescent="0.25">
      <c r="AG406">
        <v>404</v>
      </c>
    </row>
    <row r="407" spans="33:33" x14ac:dyDescent="0.25">
      <c r="AG407">
        <v>405</v>
      </c>
    </row>
    <row r="408" spans="33:33" x14ac:dyDescent="0.25">
      <c r="AG408">
        <v>406</v>
      </c>
    </row>
    <row r="409" spans="33:33" x14ac:dyDescent="0.25">
      <c r="AG409">
        <v>407</v>
      </c>
    </row>
    <row r="410" spans="33:33" x14ac:dyDescent="0.25">
      <c r="AG410">
        <v>408</v>
      </c>
    </row>
    <row r="411" spans="33:33" x14ac:dyDescent="0.25">
      <c r="AG411">
        <v>409</v>
      </c>
    </row>
    <row r="412" spans="33:33" x14ac:dyDescent="0.25">
      <c r="AG412">
        <v>410</v>
      </c>
    </row>
    <row r="413" spans="33:33" x14ac:dyDescent="0.25">
      <c r="AG413">
        <v>411</v>
      </c>
    </row>
    <row r="414" spans="33:33" x14ac:dyDescent="0.25">
      <c r="AG414">
        <v>412</v>
      </c>
    </row>
    <row r="415" spans="33:33" x14ac:dyDescent="0.25">
      <c r="AG415">
        <v>413</v>
      </c>
    </row>
    <row r="416" spans="33:33" x14ac:dyDescent="0.25">
      <c r="AG416">
        <v>414</v>
      </c>
    </row>
    <row r="417" spans="33:33" x14ac:dyDescent="0.25">
      <c r="AG417">
        <v>415</v>
      </c>
    </row>
    <row r="418" spans="33:33" x14ac:dyDescent="0.25">
      <c r="AG418">
        <v>416</v>
      </c>
    </row>
    <row r="419" spans="33:33" x14ac:dyDescent="0.25">
      <c r="AG419">
        <v>417</v>
      </c>
    </row>
    <row r="420" spans="33:33" x14ac:dyDescent="0.25">
      <c r="AG420">
        <v>418</v>
      </c>
    </row>
    <row r="421" spans="33:33" x14ac:dyDescent="0.25">
      <c r="AG421">
        <v>419</v>
      </c>
    </row>
    <row r="422" spans="33:33" x14ac:dyDescent="0.25">
      <c r="AG422">
        <v>420</v>
      </c>
    </row>
    <row r="423" spans="33:33" x14ac:dyDescent="0.25">
      <c r="AG423">
        <v>421</v>
      </c>
    </row>
    <row r="424" spans="33:33" x14ac:dyDescent="0.25">
      <c r="AG424">
        <v>422</v>
      </c>
    </row>
    <row r="425" spans="33:33" x14ac:dyDescent="0.25">
      <c r="AG425">
        <v>423</v>
      </c>
    </row>
    <row r="426" spans="33:33" x14ac:dyDescent="0.25">
      <c r="AG426">
        <v>424</v>
      </c>
    </row>
    <row r="427" spans="33:33" x14ac:dyDescent="0.25">
      <c r="AG427">
        <v>425</v>
      </c>
    </row>
    <row r="428" spans="33:33" x14ac:dyDescent="0.25">
      <c r="AG428">
        <v>426</v>
      </c>
    </row>
    <row r="429" spans="33:33" x14ac:dyDescent="0.25">
      <c r="AG429">
        <v>427</v>
      </c>
    </row>
    <row r="430" spans="33:33" x14ac:dyDescent="0.25">
      <c r="AG430">
        <v>428</v>
      </c>
    </row>
    <row r="431" spans="33:33" x14ac:dyDescent="0.25">
      <c r="AG431">
        <v>429</v>
      </c>
    </row>
    <row r="432" spans="33:33" x14ac:dyDescent="0.25">
      <c r="AG432">
        <v>430</v>
      </c>
    </row>
    <row r="433" spans="33:33" x14ac:dyDescent="0.25">
      <c r="AG433">
        <v>431</v>
      </c>
    </row>
    <row r="434" spans="33:33" x14ac:dyDescent="0.25">
      <c r="AG434">
        <v>432</v>
      </c>
    </row>
    <row r="435" spans="33:33" x14ac:dyDescent="0.25">
      <c r="AG435">
        <v>433</v>
      </c>
    </row>
    <row r="436" spans="33:33" x14ac:dyDescent="0.25">
      <c r="AG436">
        <v>434</v>
      </c>
    </row>
    <row r="437" spans="33:33" x14ac:dyDescent="0.25">
      <c r="AG437">
        <v>435</v>
      </c>
    </row>
    <row r="438" spans="33:33" x14ac:dyDescent="0.25">
      <c r="AG438">
        <v>436</v>
      </c>
    </row>
    <row r="439" spans="33:33" x14ac:dyDescent="0.25">
      <c r="AG439">
        <v>437</v>
      </c>
    </row>
    <row r="440" spans="33:33" x14ac:dyDescent="0.25">
      <c r="AG440">
        <v>438</v>
      </c>
    </row>
    <row r="441" spans="33:33" x14ac:dyDescent="0.25">
      <c r="AG441">
        <v>439</v>
      </c>
    </row>
    <row r="442" spans="33:33" x14ac:dyDescent="0.25">
      <c r="AG442">
        <v>440</v>
      </c>
    </row>
    <row r="443" spans="33:33" x14ac:dyDescent="0.25">
      <c r="AG443">
        <v>441</v>
      </c>
    </row>
    <row r="444" spans="33:33" x14ac:dyDescent="0.25">
      <c r="AG444">
        <v>442</v>
      </c>
    </row>
    <row r="445" spans="33:33" x14ac:dyDescent="0.25">
      <c r="AG445">
        <v>443</v>
      </c>
    </row>
    <row r="446" spans="33:33" x14ac:dyDescent="0.25">
      <c r="AG446">
        <v>444</v>
      </c>
    </row>
    <row r="447" spans="33:33" x14ac:dyDescent="0.25">
      <c r="AG447">
        <v>445</v>
      </c>
    </row>
    <row r="448" spans="33:33" x14ac:dyDescent="0.25">
      <c r="AG448">
        <v>446</v>
      </c>
    </row>
    <row r="449" spans="33:33" x14ac:dyDescent="0.25">
      <c r="AG449">
        <v>447</v>
      </c>
    </row>
    <row r="450" spans="33:33" x14ac:dyDescent="0.25">
      <c r="AG450">
        <v>448</v>
      </c>
    </row>
    <row r="451" spans="33:33" x14ac:dyDescent="0.25">
      <c r="AG451">
        <v>449</v>
      </c>
    </row>
    <row r="452" spans="33:33" x14ac:dyDescent="0.25">
      <c r="AG452">
        <v>450</v>
      </c>
    </row>
    <row r="453" spans="33:33" x14ac:dyDescent="0.25">
      <c r="AG453">
        <v>451</v>
      </c>
    </row>
    <row r="454" spans="33:33" x14ac:dyDescent="0.25">
      <c r="AG454">
        <v>452</v>
      </c>
    </row>
    <row r="455" spans="33:33" x14ac:dyDescent="0.25">
      <c r="AG455">
        <v>453</v>
      </c>
    </row>
    <row r="456" spans="33:33" x14ac:dyDescent="0.25">
      <c r="AG456">
        <v>454</v>
      </c>
    </row>
    <row r="457" spans="33:33" x14ac:dyDescent="0.25">
      <c r="AG457">
        <v>455</v>
      </c>
    </row>
    <row r="458" spans="33:33" x14ac:dyDescent="0.25">
      <c r="AG458">
        <v>456</v>
      </c>
    </row>
    <row r="459" spans="33:33" x14ac:dyDescent="0.25">
      <c r="AG459">
        <v>457</v>
      </c>
    </row>
    <row r="460" spans="33:33" x14ac:dyDescent="0.25">
      <c r="AG460">
        <v>458</v>
      </c>
    </row>
    <row r="461" spans="33:33" x14ac:dyDescent="0.25">
      <c r="AG461">
        <v>459</v>
      </c>
    </row>
    <row r="462" spans="33:33" x14ac:dyDescent="0.25">
      <c r="AG462">
        <v>460</v>
      </c>
    </row>
    <row r="463" spans="33:33" x14ac:dyDescent="0.25">
      <c r="AG463">
        <v>461</v>
      </c>
    </row>
    <row r="464" spans="33:33" x14ac:dyDescent="0.25">
      <c r="AG464">
        <v>462</v>
      </c>
    </row>
    <row r="465" spans="33:33" x14ac:dyDescent="0.25">
      <c r="AG465">
        <v>463</v>
      </c>
    </row>
    <row r="466" spans="33:33" x14ac:dyDescent="0.25">
      <c r="AG466">
        <v>464</v>
      </c>
    </row>
    <row r="467" spans="33:33" x14ac:dyDescent="0.25">
      <c r="AG467">
        <v>465</v>
      </c>
    </row>
    <row r="468" spans="33:33" x14ac:dyDescent="0.25">
      <c r="AG468">
        <v>466</v>
      </c>
    </row>
    <row r="469" spans="33:33" x14ac:dyDescent="0.25">
      <c r="AG469">
        <v>467</v>
      </c>
    </row>
    <row r="470" spans="33:33" x14ac:dyDescent="0.25">
      <c r="AG470">
        <v>468</v>
      </c>
    </row>
    <row r="471" spans="33:33" x14ac:dyDescent="0.25">
      <c r="AG471">
        <v>469</v>
      </c>
    </row>
    <row r="472" spans="33:33" x14ac:dyDescent="0.25">
      <c r="AG472">
        <v>470</v>
      </c>
    </row>
    <row r="473" spans="33:33" x14ac:dyDescent="0.25">
      <c r="AG473">
        <v>471</v>
      </c>
    </row>
    <row r="474" spans="33:33" x14ac:dyDescent="0.25">
      <c r="AG474">
        <v>472</v>
      </c>
    </row>
    <row r="475" spans="33:33" x14ac:dyDescent="0.25">
      <c r="AG475">
        <v>473</v>
      </c>
    </row>
    <row r="476" spans="33:33" x14ac:dyDescent="0.25">
      <c r="AG476">
        <v>474</v>
      </c>
    </row>
    <row r="477" spans="33:33" x14ac:dyDescent="0.25">
      <c r="AG477">
        <v>475</v>
      </c>
    </row>
    <row r="478" spans="33:33" x14ac:dyDescent="0.25">
      <c r="AG478">
        <v>476</v>
      </c>
    </row>
    <row r="479" spans="33:33" x14ac:dyDescent="0.25">
      <c r="AG479">
        <v>477</v>
      </c>
    </row>
    <row r="480" spans="33:33" x14ac:dyDescent="0.25">
      <c r="AG480">
        <v>478</v>
      </c>
    </row>
    <row r="481" spans="33:33" x14ac:dyDescent="0.25">
      <c r="AG481">
        <v>479</v>
      </c>
    </row>
    <row r="482" spans="33:33" x14ac:dyDescent="0.25">
      <c r="AG482">
        <v>480</v>
      </c>
    </row>
    <row r="483" spans="33:33" x14ac:dyDescent="0.25">
      <c r="AG483">
        <v>481</v>
      </c>
    </row>
    <row r="484" spans="33:33" x14ac:dyDescent="0.25">
      <c r="AG484">
        <v>482</v>
      </c>
    </row>
    <row r="485" spans="33:33" x14ac:dyDescent="0.25">
      <c r="AG485">
        <v>483</v>
      </c>
    </row>
    <row r="486" spans="33:33" x14ac:dyDescent="0.25">
      <c r="AG486">
        <v>484</v>
      </c>
    </row>
    <row r="487" spans="33:33" x14ac:dyDescent="0.25">
      <c r="AG487">
        <v>485</v>
      </c>
    </row>
    <row r="488" spans="33:33" x14ac:dyDescent="0.25">
      <c r="AG488">
        <v>486</v>
      </c>
    </row>
    <row r="489" spans="33:33" x14ac:dyDescent="0.25">
      <c r="AG489">
        <v>487</v>
      </c>
    </row>
    <row r="490" spans="33:33" x14ac:dyDescent="0.25">
      <c r="AG490">
        <v>488</v>
      </c>
    </row>
    <row r="491" spans="33:33" x14ac:dyDescent="0.25">
      <c r="AG491">
        <v>489</v>
      </c>
    </row>
    <row r="492" spans="33:33" x14ac:dyDescent="0.25">
      <c r="AG492">
        <v>490</v>
      </c>
    </row>
    <row r="493" spans="33:33" x14ac:dyDescent="0.25">
      <c r="AG493">
        <v>491</v>
      </c>
    </row>
    <row r="494" spans="33:33" x14ac:dyDescent="0.25">
      <c r="AG494">
        <v>492</v>
      </c>
    </row>
    <row r="495" spans="33:33" x14ac:dyDescent="0.25">
      <c r="AG495">
        <v>493</v>
      </c>
    </row>
    <row r="496" spans="33:33" x14ac:dyDescent="0.25">
      <c r="AG496">
        <v>494</v>
      </c>
    </row>
    <row r="497" spans="33:33" x14ac:dyDescent="0.25">
      <c r="AG497">
        <v>495</v>
      </c>
    </row>
    <row r="498" spans="33:33" x14ac:dyDescent="0.25">
      <c r="AG498">
        <v>496</v>
      </c>
    </row>
    <row r="499" spans="33:33" x14ac:dyDescent="0.25">
      <c r="AG499">
        <v>497</v>
      </c>
    </row>
    <row r="500" spans="33:33" x14ac:dyDescent="0.25">
      <c r="AG500">
        <v>498</v>
      </c>
    </row>
    <row r="501" spans="33:33" x14ac:dyDescent="0.25">
      <c r="AG501">
        <v>499</v>
      </c>
    </row>
    <row r="502" spans="33:33" x14ac:dyDescent="0.25">
      <c r="AG502">
        <v>500</v>
      </c>
    </row>
    <row r="503" spans="33:33" x14ac:dyDescent="0.25">
      <c r="AG503">
        <v>501</v>
      </c>
    </row>
    <row r="504" spans="33:33" x14ac:dyDescent="0.25">
      <c r="AG504">
        <v>502</v>
      </c>
    </row>
    <row r="505" spans="33:33" x14ac:dyDescent="0.25">
      <c r="AG505">
        <v>503</v>
      </c>
    </row>
    <row r="506" spans="33:33" x14ac:dyDescent="0.25">
      <c r="AG506">
        <v>504</v>
      </c>
    </row>
    <row r="507" spans="33:33" x14ac:dyDescent="0.25">
      <c r="AG507">
        <v>505</v>
      </c>
    </row>
    <row r="508" spans="33:33" x14ac:dyDescent="0.25">
      <c r="AG508">
        <v>506</v>
      </c>
    </row>
    <row r="509" spans="33:33" x14ac:dyDescent="0.25">
      <c r="AG509">
        <v>507</v>
      </c>
    </row>
    <row r="510" spans="33:33" x14ac:dyDescent="0.25">
      <c r="AG510">
        <v>508</v>
      </c>
    </row>
    <row r="511" spans="33:33" x14ac:dyDescent="0.25">
      <c r="AG511">
        <v>509</v>
      </c>
    </row>
    <row r="512" spans="33:33" x14ac:dyDescent="0.25">
      <c r="AG512">
        <v>510</v>
      </c>
    </row>
    <row r="513" spans="33:33" x14ac:dyDescent="0.25">
      <c r="AG513">
        <v>511</v>
      </c>
    </row>
    <row r="514" spans="33:33" x14ac:dyDescent="0.25">
      <c r="AG514">
        <v>512</v>
      </c>
    </row>
    <row r="515" spans="33:33" x14ac:dyDescent="0.25">
      <c r="AG515">
        <v>513</v>
      </c>
    </row>
    <row r="516" spans="33:33" x14ac:dyDescent="0.25">
      <c r="AG516">
        <v>514</v>
      </c>
    </row>
    <row r="517" spans="33:33" x14ac:dyDescent="0.25">
      <c r="AG517">
        <v>515</v>
      </c>
    </row>
    <row r="518" spans="33:33" x14ac:dyDescent="0.25">
      <c r="AG518">
        <v>516</v>
      </c>
    </row>
    <row r="519" spans="33:33" x14ac:dyDescent="0.25">
      <c r="AG519">
        <v>517</v>
      </c>
    </row>
    <row r="520" spans="33:33" x14ac:dyDescent="0.25">
      <c r="AG520">
        <v>518</v>
      </c>
    </row>
    <row r="521" spans="33:33" x14ac:dyDescent="0.25">
      <c r="AG521">
        <v>519</v>
      </c>
    </row>
    <row r="522" spans="33:33" x14ac:dyDescent="0.25">
      <c r="AG522">
        <v>520</v>
      </c>
    </row>
    <row r="523" spans="33:33" x14ac:dyDescent="0.25">
      <c r="AG523">
        <v>521</v>
      </c>
    </row>
    <row r="524" spans="33:33" x14ac:dyDescent="0.25">
      <c r="AG524">
        <v>522</v>
      </c>
    </row>
    <row r="525" spans="33:33" x14ac:dyDescent="0.25">
      <c r="AG525">
        <v>523</v>
      </c>
    </row>
    <row r="526" spans="33:33" x14ac:dyDescent="0.25">
      <c r="AG526">
        <v>524</v>
      </c>
    </row>
    <row r="527" spans="33:33" x14ac:dyDescent="0.25">
      <c r="AG527">
        <v>525</v>
      </c>
    </row>
    <row r="528" spans="33:33" x14ac:dyDescent="0.25">
      <c r="AG528">
        <v>526</v>
      </c>
    </row>
    <row r="529" spans="33:33" x14ac:dyDescent="0.25">
      <c r="AG529">
        <v>527</v>
      </c>
    </row>
    <row r="530" spans="33:33" x14ac:dyDescent="0.25">
      <c r="AG530">
        <v>528</v>
      </c>
    </row>
    <row r="531" spans="33:33" x14ac:dyDescent="0.25">
      <c r="AG531">
        <v>529</v>
      </c>
    </row>
    <row r="532" spans="33:33" x14ac:dyDescent="0.25">
      <c r="AG532">
        <v>530</v>
      </c>
    </row>
    <row r="533" spans="33:33" x14ac:dyDescent="0.25">
      <c r="AG533">
        <v>531</v>
      </c>
    </row>
    <row r="534" spans="33:33" x14ac:dyDescent="0.25">
      <c r="AG534">
        <v>532</v>
      </c>
    </row>
    <row r="535" spans="33:33" x14ac:dyDescent="0.25">
      <c r="AG535">
        <v>533</v>
      </c>
    </row>
    <row r="536" spans="33:33" x14ac:dyDescent="0.25">
      <c r="AG536">
        <v>534</v>
      </c>
    </row>
    <row r="537" spans="33:33" x14ac:dyDescent="0.25">
      <c r="AG537">
        <v>535</v>
      </c>
    </row>
    <row r="538" spans="33:33" x14ac:dyDescent="0.25">
      <c r="AG538">
        <v>536</v>
      </c>
    </row>
    <row r="539" spans="33:33" x14ac:dyDescent="0.25">
      <c r="AG539">
        <v>537</v>
      </c>
    </row>
    <row r="540" spans="33:33" x14ac:dyDescent="0.25">
      <c r="AG540">
        <v>538</v>
      </c>
    </row>
    <row r="541" spans="33:33" x14ac:dyDescent="0.25">
      <c r="AG541">
        <v>539</v>
      </c>
    </row>
    <row r="542" spans="33:33" x14ac:dyDescent="0.25">
      <c r="AG542">
        <v>540</v>
      </c>
    </row>
    <row r="543" spans="33:33" x14ac:dyDescent="0.25">
      <c r="AG543">
        <v>541</v>
      </c>
    </row>
    <row r="544" spans="33:33" x14ac:dyDescent="0.25">
      <c r="AG544">
        <v>542</v>
      </c>
    </row>
    <row r="545" spans="33:33" x14ac:dyDescent="0.25">
      <c r="AG545">
        <v>543</v>
      </c>
    </row>
    <row r="546" spans="33:33" x14ac:dyDescent="0.25">
      <c r="AG546">
        <v>544</v>
      </c>
    </row>
    <row r="547" spans="33:33" x14ac:dyDescent="0.25">
      <c r="AG547">
        <v>545</v>
      </c>
    </row>
    <row r="548" spans="33:33" x14ac:dyDescent="0.25">
      <c r="AG548">
        <v>546</v>
      </c>
    </row>
    <row r="549" spans="33:33" x14ac:dyDescent="0.25">
      <c r="AG549">
        <v>547</v>
      </c>
    </row>
    <row r="550" spans="33:33" x14ac:dyDescent="0.25">
      <c r="AG550">
        <v>548</v>
      </c>
    </row>
    <row r="551" spans="33:33" x14ac:dyDescent="0.25">
      <c r="AG551">
        <v>549</v>
      </c>
    </row>
    <row r="552" spans="33:33" x14ac:dyDescent="0.25">
      <c r="AG552">
        <v>550</v>
      </c>
    </row>
    <row r="553" spans="33:33" x14ac:dyDescent="0.25">
      <c r="AG553">
        <v>551</v>
      </c>
    </row>
    <row r="554" spans="33:33" x14ac:dyDescent="0.25">
      <c r="AG554">
        <v>552</v>
      </c>
    </row>
    <row r="555" spans="33:33" x14ac:dyDescent="0.25">
      <c r="AG555">
        <v>553</v>
      </c>
    </row>
    <row r="556" spans="33:33" x14ac:dyDescent="0.25">
      <c r="AG556">
        <v>554</v>
      </c>
    </row>
    <row r="557" spans="33:33" x14ac:dyDescent="0.25">
      <c r="AG557">
        <v>555</v>
      </c>
    </row>
    <row r="558" spans="33:33" x14ac:dyDescent="0.25">
      <c r="AG558">
        <v>556</v>
      </c>
    </row>
    <row r="559" spans="33:33" x14ac:dyDescent="0.25">
      <c r="AG559">
        <v>557</v>
      </c>
    </row>
    <row r="560" spans="33:33" x14ac:dyDescent="0.25">
      <c r="AG560">
        <v>558</v>
      </c>
    </row>
    <row r="561" spans="33:33" x14ac:dyDescent="0.25">
      <c r="AG561">
        <v>559</v>
      </c>
    </row>
    <row r="562" spans="33:33" x14ac:dyDescent="0.25">
      <c r="AG562">
        <v>560</v>
      </c>
    </row>
    <row r="563" spans="33:33" x14ac:dyDescent="0.25">
      <c r="AG563">
        <v>561</v>
      </c>
    </row>
    <row r="564" spans="33:33" x14ac:dyDescent="0.25">
      <c r="AG564">
        <v>562</v>
      </c>
    </row>
    <row r="565" spans="33:33" x14ac:dyDescent="0.25">
      <c r="AG565">
        <v>563</v>
      </c>
    </row>
    <row r="566" spans="33:33" x14ac:dyDescent="0.25">
      <c r="AG566">
        <v>564</v>
      </c>
    </row>
    <row r="567" spans="33:33" x14ac:dyDescent="0.25">
      <c r="AG567">
        <v>565</v>
      </c>
    </row>
    <row r="568" spans="33:33" x14ac:dyDescent="0.25">
      <c r="AG568">
        <v>566</v>
      </c>
    </row>
    <row r="569" spans="33:33" x14ac:dyDescent="0.25">
      <c r="AG569">
        <v>567</v>
      </c>
    </row>
    <row r="570" spans="33:33" x14ac:dyDescent="0.25">
      <c r="AG570">
        <v>568</v>
      </c>
    </row>
    <row r="571" spans="33:33" x14ac:dyDescent="0.25">
      <c r="AG571">
        <v>569</v>
      </c>
    </row>
    <row r="572" spans="33:33" x14ac:dyDescent="0.25">
      <c r="AG572">
        <v>570</v>
      </c>
    </row>
    <row r="573" spans="33:33" x14ac:dyDescent="0.25">
      <c r="AG573">
        <v>571</v>
      </c>
    </row>
    <row r="574" spans="33:33" x14ac:dyDescent="0.25">
      <c r="AG574">
        <v>572</v>
      </c>
    </row>
    <row r="575" spans="33:33" x14ac:dyDescent="0.25">
      <c r="AG575">
        <v>573</v>
      </c>
    </row>
    <row r="576" spans="33:33" x14ac:dyDescent="0.25">
      <c r="AG576">
        <v>574</v>
      </c>
    </row>
    <row r="577" spans="33:33" x14ac:dyDescent="0.25">
      <c r="AG577">
        <v>575</v>
      </c>
    </row>
    <row r="578" spans="33:33" x14ac:dyDescent="0.25">
      <c r="AG578">
        <v>576</v>
      </c>
    </row>
    <row r="579" spans="33:33" x14ac:dyDescent="0.25">
      <c r="AG579">
        <v>577</v>
      </c>
    </row>
    <row r="580" spans="33:33" x14ac:dyDescent="0.25">
      <c r="AG580">
        <v>578</v>
      </c>
    </row>
    <row r="581" spans="33:33" x14ac:dyDescent="0.25">
      <c r="AG581">
        <v>579</v>
      </c>
    </row>
    <row r="582" spans="33:33" x14ac:dyDescent="0.25">
      <c r="AG582">
        <v>580</v>
      </c>
    </row>
    <row r="583" spans="33:33" x14ac:dyDescent="0.25">
      <c r="AG583">
        <v>581</v>
      </c>
    </row>
    <row r="584" spans="33:33" x14ac:dyDescent="0.25">
      <c r="AG584">
        <v>582</v>
      </c>
    </row>
    <row r="585" spans="33:33" x14ac:dyDescent="0.25">
      <c r="AG585">
        <v>583</v>
      </c>
    </row>
    <row r="586" spans="33:33" x14ac:dyDescent="0.25">
      <c r="AG586">
        <v>584</v>
      </c>
    </row>
    <row r="587" spans="33:33" x14ac:dyDescent="0.25">
      <c r="AG587">
        <v>585</v>
      </c>
    </row>
    <row r="588" spans="33:33" x14ac:dyDescent="0.25">
      <c r="AG588">
        <v>586</v>
      </c>
    </row>
    <row r="589" spans="33:33" x14ac:dyDescent="0.25">
      <c r="AG589">
        <v>587</v>
      </c>
    </row>
    <row r="590" spans="33:33" x14ac:dyDescent="0.25">
      <c r="AG590">
        <v>588</v>
      </c>
    </row>
    <row r="591" spans="33:33" x14ac:dyDescent="0.25">
      <c r="AG591">
        <v>589</v>
      </c>
    </row>
    <row r="592" spans="33:33" x14ac:dyDescent="0.25">
      <c r="AG592">
        <v>590</v>
      </c>
    </row>
    <row r="593" spans="33:33" x14ac:dyDescent="0.25">
      <c r="AG593">
        <v>591</v>
      </c>
    </row>
    <row r="594" spans="33:33" x14ac:dyDescent="0.25">
      <c r="AG594">
        <v>592</v>
      </c>
    </row>
    <row r="595" spans="33:33" x14ac:dyDescent="0.25">
      <c r="AG595">
        <v>593</v>
      </c>
    </row>
    <row r="596" spans="33:33" x14ac:dyDescent="0.25">
      <c r="AG596">
        <v>594</v>
      </c>
    </row>
    <row r="597" spans="33:33" x14ac:dyDescent="0.25">
      <c r="AG597">
        <v>595</v>
      </c>
    </row>
    <row r="598" spans="33:33" x14ac:dyDescent="0.25">
      <c r="AG598">
        <v>596</v>
      </c>
    </row>
    <row r="599" spans="33:33" x14ac:dyDescent="0.25">
      <c r="AG599">
        <v>597</v>
      </c>
    </row>
    <row r="600" spans="33:33" x14ac:dyDescent="0.25">
      <c r="AG600">
        <v>598</v>
      </c>
    </row>
    <row r="601" spans="33:33" x14ac:dyDescent="0.25">
      <c r="AG601">
        <v>599</v>
      </c>
    </row>
    <row r="602" spans="33:33" x14ac:dyDescent="0.25">
      <c r="AG602">
        <v>600</v>
      </c>
    </row>
    <row r="603" spans="33:33" x14ac:dyDescent="0.25">
      <c r="AG603">
        <v>601</v>
      </c>
    </row>
    <row r="604" spans="33:33" x14ac:dyDescent="0.25">
      <c r="AG604">
        <v>602</v>
      </c>
    </row>
    <row r="605" spans="33:33" x14ac:dyDescent="0.25">
      <c r="AG605">
        <v>603</v>
      </c>
    </row>
    <row r="606" spans="33:33" x14ac:dyDescent="0.25">
      <c r="AG606">
        <v>604</v>
      </c>
    </row>
    <row r="607" spans="33:33" x14ac:dyDescent="0.25">
      <c r="AG607">
        <v>605</v>
      </c>
    </row>
    <row r="608" spans="33:33" x14ac:dyDescent="0.25">
      <c r="AG608">
        <v>606</v>
      </c>
    </row>
    <row r="609" spans="33:33" x14ac:dyDescent="0.25">
      <c r="AG609">
        <v>607</v>
      </c>
    </row>
    <row r="610" spans="33:33" x14ac:dyDescent="0.25">
      <c r="AG610">
        <v>608</v>
      </c>
    </row>
    <row r="611" spans="33:33" x14ac:dyDescent="0.25">
      <c r="AG611">
        <v>609</v>
      </c>
    </row>
    <row r="612" spans="33:33" x14ac:dyDescent="0.25">
      <c r="AG612">
        <v>610</v>
      </c>
    </row>
    <row r="613" spans="33:33" x14ac:dyDescent="0.25">
      <c r="AG613">
        <v>611</v>
      </c>
    </row>
    <row r="614" spans="33:33" x14ac:dyDescent="0.25">
      <c r="AG614">
        <v>612</v>
      </c>
    </row>
    <row r="615" spans="33:33" x14ac:dyDescent="0.25">
      <c r="AG615">
        <v>613</v>
      </c>
    </row>
    <row r="616" spans="33:33" x14ac:dyDescent="0.25">
      <c r="AG616">
        <v>614</v>
      </c>
    </row>
    <row r="617" spans="33:33" x14ac:dyDescent="0.25">
      <c r="AG617">
        <v>615</v>
      </c>
    </row>
    <row r="618" spans="33:33" x14ac:dyDescent="0.25">
      <c r="AG618">
        <v>616</v>
      </c>
    </row>
    <row r="619" spans="33:33" x14ac:dyDescent="0.25">
      <c r="AG619">
        <v>617</v>
      </c>
    </row>
    <row r="620" spans="33:33" x14ac:dyDescent="0.25">
      <c r="AG620">
        <v>618</v>
      </c>
    </row>
    <row r="621" spans="33:33" x14ac:dyDescent="0.25">
      <c r="AG621">
        <v>619</v>
      </c>
    </row>
    <row r="622" spans="33:33" x14ac:dyDescent="0.25">
      <c r="AG622">
        <v>620</v>
      </c>
    </row>
    <row r="623" spans="33:33" x14ac:dyDescent="0.25">
      <c r="AG623">
        <v>621</v>
      </c>
    </row>
    <row r="624" spans="33:33" x14ac:dyDescent="0.25">
      <c r="AG624">
        <v>622</v>
      </c>
    </row>
    <row r="625" spans="33:33" x14ac:dyDescent="0.25">
      <c r="AG625">
        <v>623</v>
      </c>
    </row>
    <row r="626" spans="33:33" x14ac:dyDescent="0.25">
      <c r="AG626">
        <v>624</v>
      </c>
    </row>
    <row r="627" spans="33:33" x14ac:dyDescent="0.25">
      <c r="AG627">
        <v>625</v>
      </c>
    </row>
    <row r="628" spans="33:33" x14ac:dyDescent="0.25">
      <c r="AG628">
        <v>626</v>
      </c>
    </row>
    <row r="629" spans="33:33" x14ac:dyDescent="0.25">
      <c r="AG629">
        <v>627</v>
      </c>
    </row>
    <row r="630" spans="33:33" x14ac:dyDescent="0.25">
      <c r="AG630">
        <v>628</v>
      </c>
    </row>
    <row r="631" spans="33:33" x14ac:dyDescent="0.25">
      <c r="AG631">
        <v>629</v>
      </c>
    </row>
    <row r="632" spans="33:33" x14ac:dyDescent="0.25">
      <c r="AG632">
        <v>630</v>
      </c>
    </row>
    <row r="633" spans="33:33" x14ac:dyDescent="0.25">
      <c r="AG633">
        <v>631</v>
      </c>
    </row>
    <row r="634" spans="33:33" x14ac:dyDescent="0.25">
      <c r="AG634">
        <v>632</v>
      </c>
    </row>
    <row r="635" spans="33:33" x14ac:dyDescent="0.25">
      <c r="AG635">
        <v>633</v>
      </c>
    </row>
    <row r="636" spans="33:33" x14ac:dyDescent="0.25">
      <c r="AG636">
        <v>634</v>
      </c>
    </row>
    <row r="637" spans="33:33" x14ac:dyDescent="0.25">
      <c r="AG637">
        <v>635</v>
      </c>
    </row>
    <row r="638" spans="33:33" x14ac:dyDescent="0.25">
      <c r="AG638">
        <v>636</v>
      </c>
    </row>
    <row r="639" spans="33:33" x14ac:dyDescent="0.25">
      <c r="AG639">
        <v>637</v>
      </c>
    </row>
    <row r="640" spans="33:33" x14ac:dyDescent="0.25">
      <c r="AG640">
        <v>638</v>
      </c>
    </row>
    <row r="641" spans="33:33" x14ac:dyDescent="0.25">
      <c r="AG641">
        <v>639</v>
      </c>
    </row>
    <row r="642" spans="33:33" x14ac:dyDescent="0.25">
      <c r="AG642">
        <v>640</v>
      </c>
    </row>
    <row r="643" spans="33:33" x14ac:dyDescent="0.25">
      <c r="AG643">
        <v>641</v>
      </c>
    </row>
    <row r="644" spans="33:33" x14ac:dyDescent="0.25">
      <c r="AG644">
        <v>642</v>
      </c>
    </row>
    <row r="645" spans="33:33" x14ac:dyDescent="0.25">
      <c r="AG645">
        <v>643</v>
      </c>
    </row>
    <row r="646" spans="33:33" x14ac:dyDescent="0.25">
      <c r="AG646">
        <v>644</v>
      </c>
    </row>
    <row r="647" spans="33:33" x14ac:dyDescent="0.25">
      <c r="AG647">
        <v>645</v>
      </c>
    </row>
    <row r="648" spans="33:33" x14ac:dyDescent="0.25">
      <c r="AG648">
        <v>646</v>
      </c>
    </row>
    <row r="649" spans="33:33" x14ac:dyDescent="0.25">
      <c r="AG649">
        <v>647</v>
      </c>
    </row>
    <row r="650" spans="33:33" x14ac:dyDescent="0.25">
      <c r="AG650">
        <v>648</v>
      </c>
    </row>
    <row r="651" spans="33:33" x14ac:dyDescent="0.25">
      <c r="AG651">
        <v>649</v>
      </c>
    </row>
    <row r="652" spans="33:33" x14ac:dyDescent="0.25">
      <c r="AG652">
        <v>650</v>
      </c>
    </row>
    <row r="653" spans="33:33" x14ac:dyDescent="0.25">
      <c r="AG653">
        <v>651</v>
      </c>
    </row>
    <row r="654" spans="33:33" x14ac:dyDescent="0.25">
      <c r="AG654">
        <v>652</v>
      </c>
    </row>
    <row r="655" spans="33:33" x14ac:dyDescent="0.25">
      <c r="AG655">
        <v>653</v>
      </c>
    </row>
    <row r="656" spans="33:33" x14ac:dyDescent="0.25">
      <c r="AG656">
        <v>654</v>
      </c>
    </row>
    <row r="657" spans="33:33" x14ac:dyDescent="0.25">
      <c r="AG657">
        <v>655</v>
      </c>
    </row>
    <row r="658" spans="33:33" x14ac:dyDescent="0.25">
      <c r="AG658">
        <v>656</v>
      </c>
    </row>
    <row r="659" spans="33:33" x14ac:dyDescent="0.25">
      <c r="AG659">
        <v>657</v>
      </c>
    </row>
    <row r="660" spans="33:33" x14ac:dyDescent="0.25">
      <c r="AG660">
        <v>658</v>
      </c>
    </row>
    <row r="661" spans="33:33" x14ac:dyDescent="0.25">
      <c r="AG661">
        <v>659</v>
      </c>
    </row>
    <row r="662" spans="33:33" x14ac:dyDescent="0.25">
      <c r="AG662">
        <v>660</v>
      </c>
    </row>
    <row r="663" spans="33:33" x14ac:dyDescent="0.25">
      <c r="AG663">
        <v>661</v>
      </c>
    </row>
    <row r="664" spans="33:33" x14ac:dyDescent="0.25">
      <c r="AG664">
        <v>662</v>
      </c>
    </row>
    <row r="665" spans="33:33" x14ac:dyDescent="0.25">
      <c r="AG665">
        <v>663</v>
      </c>
    </row>
    <row r="666" spans="33:33" x14ac:dyDescent="0.25">
      <c r="AG666">
        <v>664</v>
      </c>
    </row>
    <row r="667" spans="33:33" x14ac:dyDescent="0.25">
      <c r="AG667">
        <v>665</v>
      </c>
    </row>
    <row r="668" spans="33:33" x14ac:dyDescent="0.25">
      <c r="AG668">
        <v>666</v>
      </c>
    </row>
    <row r="669" spans="33:33" x14ac:dyDescent="0.25">
      <c r="AG669">
        <v>667</v>
      </c>
    </row>
    <row r="670" spans="33:33" x14ac:dyDescent="0.25">
      <c r="AG670">
        <v>668</v>
      </c>
    </row>
    <row r="671" spans="33:33" x14ac:dyDescent="0.25">
      <c r="AG671">
        <v>669</v>
      </c>
    </row>
    <row r="672" spans="33:33" x14ac:dyDescent="0.25">
      <c r="AG672">
        <v>670</v>
      </c>
    </row>
    <row r="673" spans="33:33" x14ac:dyDescent="0.25">
      <c r="AG673">
        <v>671</v>
      </c>
    </row>
    <row r="674" spans="33:33" x14ac:dyDescent="0.25">
      <c r="AG674">
        <v>672</v>
      </c>
    </row>
    <row r="675" spans="33:33" x14ac:dyDescent="0.25">
      <c r="AG675">
        <v>673</v>
      </c>
    </row>
    <row r="676" spans="33:33" x14ac:dyDescent="0.25">
      <c r="AG676">
        <v>674</v>
      </c>
    </row>
    <row r="677" spans="33:33" x14ac:dyDescent="0.25">
      <c r="AG677">
        <v>675</v>
      </c>
    </row>
    <row r="678" spans="33:33" x14ac:dyDescent="0.25">
      <c r="AG678">
        <v>676</v>
      </c>
    </row>
    <row r="679" spans="33:33" x14ac:dyDescent="0.25">
      <c r="AG679">
        <v>677</v>
      </c>
    </row>
    <row r="680" spans="33:33" x14ac:dyDescent="0.25">
      <c r="AG680">
        <v>678</v>
      </c>
    </row>
    <row r="681" spans="33:33" x14ac:dyDescent="0.25">
      <c r="AG681">
        <v>679</v>
      </c>
    </row>
    <row r="682" spans="33:33" x14ac:dyDescent="0.25">
      <c r="AG682">
        <v>680</v>
      </c>
    </row>
    <row r="683" spans="33:33" x14ac:dyDescent="0.25">
      <c r="AG683">
        <v>681</v>
      </c>
    </row>
    <row r="684" spans="33:33" x14ac:dyDescent="0.25">
      <c r="AG684">
        <v>682</v>
      </c>
    </row>
    <row r="685" spans="33:33" x14ac:dyDescent="0.25">
      <c r="AG685">
        <v>683</v>
      </c>
    </row>
    <row r="686" spans="33:33" x14ac:dyDescent="0.25">
      <c r="AG686">
        <v>684</v>
      </c>
    </row>
    <row r="687" spans="33:33" x14ac:dyDescent="0.25">
      <c r="AG687">
        <v>685</v>
      </c>
    </row>
    <row r="688" spans="33:33" x14ac:dyDescent="0.25">
      <c r="AG688">
        <v>686</v>
      </c>
    </row>
    <row r="689" spans="33:33" x14ac:dyDescent="0.25">
      <c r="AG689">
        <v>687</v>
      </c>
    </row>
    <row r="690" spans="33:33" x14ac:dyDescent="0.25">
      <c r="AG690">
        <v>688</v>
      </c>
    </row>
    <row r="691" spans="33:33" x14ac:dyDescent="0.25">
      <c r="AG691">
        <v>689</v>
      </c>
    </row>
    <row r="692" spans="33:33" x14ac:dyDescent="0.25">
      <c r="AG692">
        <v>690</v>
      </c>
    </row>
    <row r="693" spans="33:33" x14ac:dyDescent="0.25">
      <c r="AG693">
        <v>691</v>
      </c>
    </row>
    <row r="694" spans="33:33" x14ac:dyDescent="0.25">
      <c r="AG694">
        <v>692</v>
      </c>
    </row>
    <row r="695" spans="33:33" x14ac:dyDescent="0.25">
      <c r="AG695">
        <v>693</v>
      </c>
    </row>
    <row r="696" spans="33:33" x14ac:dyDescent="0.25">
      <c r="AG696">
        <v>694</v>
      </c>
    </row>
    <row r="697" spans="33:33" x14ac:dyDescent="0.25">
      <c r="AG697">
        <v>695</v>
      </c>
    </row>
    <row r="698" spans="33:33" x14ac:dyDescent="0.25">
      <c r="AG698">
        <v>696</v>
      </c>
    </row>
    <row r="699" spans="33:33" x14ac:dyDescent="0.25">
      <c r="AG699">
        <v>697</v>
      </c>
    </row>
    <row r="700" spans="33:33" x14ac:dyDescent="0.25">
      <c r="AG700">
        <v>698</v>
      </c>
    </row>
    <row r="701" spans="33:33" x14ac:dyDescent="0.25">
      <c r="AG701">
        <v>699</v>
      </c>
    </row>
    <row r="702" spans="33:33" x14ac:dyDescent="0.25">
      <c r="AG702">
        <v>700</v>
      </c>
    </row>
    <row r="703" spans="33:33" x14ac:dyDescent="0.25">
      <c r="AG703">
        <v>701</v>
      </c>
    </row>
    <row r="704" spans="33:33" x14ac:dyDescent="0.25">
      <c r="AG704">
        <v>702</v>
      </c>
    </row>
    <row r="705" spans="33:33" x14ac:dyDescent="0.25">
      <c r="AG705">
        <v>703</v>
      </c>
    </row>
    <row r="706" spans="33:33" x14ac:dyDescent="0.25">
      <c r="AG706">
        <v>704</v>
      </c>
    </row>
    <row r="707" spans="33:33" x14ac:dyDescent="0.25">
      <c r="AG707">
        <v>705</v>
      </c>
    </row>
    <row r="708" spans="33:33" x14ac:dyDescent="0.25">
      <c r="AG708">
        <v>706</v>
      </c>
    </row>
    <row r="709" spans="33:33" x14ac:dyDescent="0.25">
      <c r="AG709">
        <v>707</v>
      </c>
    </row>
    <row r="710" spans="33:33" x14ac:dyDescent="0.25">
      <c r="AG710">
        <v>708</v>
      </c>
    </row>
    <row r="711" spans="33:33" x14ac:dyDescent="0.25">
      <c r="AG711">
        <v>709</v>
      </c>
    </row>
    <row r="712" spans="33:33" x14ac:dyDescent="0.25">
      <c r="AG712">
        <v>710</v>
      </c>
    </row>
    <row r="713" spans="33:33" x14ac:dyDescent="0.25">
      <c r="AG713">
        <v>711</v>
      </c>
    </row>
    <row r="714" spans="33:33" x14ac:dyDescent="0.25">
      <c r="AG714">
        <v>712</v>
      </c>
    </row>
    <row r="715" spans="33:33" x14ac:dyDescent="0.25">
      <c r="AG715">
        <v>713</v>
      </c>
    </row>
    <row r="716" spans="33:33" x14ac:dyDescent="0.25">
      <c r="AG716">
        <v>714</v>
      </c>
    </row>
    <row r="717" spans="33:33" x14ac:dyDescent="0.25">
      <c r="AG717">
        <v>715</v>
      </c>
    </row>
    <row r="718" spans="33:33" x14ac:dyDescent="0.25">
      <c r="AG718">
        <v>716</v>
      </c>
    </row>
    <row r="719" spans="33:33" x14ac:dyDescent="0.25">
      <c r="AG719">
        <v>717</v>
      </c>
    </row>
    <row r="720" spans="33:33" x14ac:dyDescent="0.25">
      <c r="AG720">
        <v>718</v>
      </c>
    </row>
    <row r="721" spans="33:33" x14ac:dyDescent="0.25">
      <c r="AG721">
        <v>719</v>
      </c>
    </row>
    <row r="722" spans="33:33" x14ac:dyDescent="0.25">
      <c r="AG722">
        <v>720</v>
      </c>
    </row>
    <row r="723" spans="33:33" x14ac:dyDescent="0.25">
      <c r="AG723">
        <v>721</v>
      </c>
    </row>
    <row r="724" spans="33:33" x14ac:dyDescent="0.25">
      <c r="AG724">
        <v>722</v>
      </c>
    </row>
    <row r="725" spans="33:33" x14ac:dyDescent="0.25">
      <c r="AG725">
        <v>723</v>
      </c>
    </row>
    <row r="726" spans="33:33" x14ac:dyDescent="0.25">
      <c r="AG726">
        <v>724</v>
      </c>
    </row>
    <row r="727" spans="33:33" x14ac:dyDescent="0.25">
      <c r="AG727">
        <v>725</v>
      </c>
    </row>
    <row r="728" spans="33:33" x14ac:dyDescent="0.25">
      <c r="AG728">
        <v>726</v>
      </c>
    </row>
    <row r="729" spans="33:33" x14ac:dyDescent="0.25">
      <c r="AG729">
        <v>727</v>
      </c>
    </row>
    <row r="730" spans="33:33" x14ac:dyDescent="0.25">
      <c r="AG730">
        <v>728</v>
      </c>
    </row>
    <row r="731" spans="33:33" x14ac:dyDescent="0.25">
      <c r="AG731">
        <v>729</v>
      </c>
    </row>
    <row r="732" spans="33:33" x14ac:dyDescent="0.25">
      <c r="AG732">
        <v>730</v>
      </c>
    </row>
    <row r="733" spans="33:33" x14ac:dyDescent="0.25">
      <c r="AG733">
        <v>731</v>
      </c>
    </row>
    <row r="734" spans="33:33" x14ac:dyDescent="0.25">
      <c r="AG734">
        <v>732</v>
      </c>
    </row>
    <row r="735" spans="33:33" x14ac:dyDescent="0.25">
      <c r="AG735">
        <v>733</v>
      </c>
    </row>
    <row r="736" spans="33:33" x14ac:dyDescent="0.25">
      <c r="AG736">
        <v>734</v>
      </c>
    </row>
    <row r="737" spans="33:33" x14ac:dyDescent="0.25">
      <c r="AG737">
        <v>735</v>
      </c>
    </row>
    <row r="738" spans="33:33" x14ac:dyDescent="0.25">
      <c r="AG738">
        <v>736</v>
      </c>
    </row>
    <row r="739" spans="33:33" x14ac:dyDescent="0.25">
      <c r="AG739">
        <v>737</v>
      </c>
    </row>
    <row r="740" spans="33:33" x14ac:dyDescent="0.25">
      <c r="AG740">
        <v>738</v>
      </c>
    </row>
    <row r="741" spans="33:33" x14ac:dyDescent="0.25">
      <c r="AG741">
        <v>739</v>
      </c>
    </row>
    <row r="742" spans="33:33" x14ac:dyDescent="0.25">
      <c r="AG742">
        <v>740</v>
      </c>
    </row>
    <row r="743" spans="33:33" x14ac:dyDescent="0.25">
      <c r="AG743">
        <v>741</v>
      </c>
    </row>
    <row r="744" spans="33:33" x14ac:dyDescent="0.25">
      <c r="AG744">
        <v>742</v>
      </c>
    </row>
    <row r="745" spans="33:33" x14ac:dyDescent="0.25">
      <c r="AG745">
        <v>743</v>
      </c>
    </row>
    <row r="746" spans="33:33" x14ac:dyDescent="0.25">
      <c r="AG746">
        <v>744</v>
      </c>
    </row>
    <row r="747" spans="33:33" x14ac:dyDescent="0.25">
      <c r="AG747">
        <v>745</v>
      </c>
    </row>
    <row r="748" spans="33:33" x14ac:dyDescent="0.25">
      <c r="AG748">
        <v>746</v>
      </c>
    </row>
    <row r="749" spans="33:33" x14ac:dyDescent="0.25">
      <c r="AG749">
        <v>747</v>
      </c>
    </row>
    <row r="750" spans="33:33" x14ac:dyDescent="0.25">
      <c r="AG750">
        <v>748</v>
      </c>
    </row>
    <row r="751" spans="33:33" x14ac:dyDescent="0.25">
      <c r="AG751">
        <v>749</v>
      </c>
    </row>
    <row r="752" spans="33:33" x14ac:dyDescent="0.25">
      <c r="AG752">
        <v>750</v>
      </c>
    </row>
    <row r="753" spans="33:33" x14ac:dyDescent="0.25">
      <c r="AG753">
        <v>751</v>
      </c>
    </row>
    <row r="754" spans="33:33" x14ac:dyDescent="0.25">
      <c r="AG754">
        <v>752</v>
      </c>
    </row>
    <row r="755" spans="33:33" x14ac:dyDescent="0.25">
      <c r="AG755">
        <v>753</v>
      </c>
    </row>
    <row r="756" spans="33:33" x14ac:dyDescent="0.25">
      <c r="AG756">
        <v>754</v>
      </c>
    </row>
    <row r="757" spans="33:33" x14ac:dyDescent="0.25">
      <c r="AG757">
        <v>755</v>
      </c>
    </row>
    <row r="758" spans="33:33" x14ac:dyDescent="0.25">
      <c r="AG758">
        <v>756</v>
      </c>
    </row>
    <row r="759" spans="33:33" x14ac:dyDescent="0.25">
      <c r="AG759">
        <v>757</v>
      </c>
    </row>
    <row r="760" spans="33:33" x14ac:dyDescent="0.25">
      <c r="AG760">
        <v>758</v>
      </c>
    </row>
    <row r="761" spans="33:33" x14ac:dyDescent="0.25">
      <c r="AG761">
        <v>759</v>
      </c>
    </row>
    <row r="762" spans="33:33" x14ac:dyDescent="0.25">
      <c r="AG762">
        <v>760</v>
      </c>
    </row>
    <row r="763" spans="33:33" x14ac:dyDescent="0.25">
      <c r="AG763">
        <v>761</v>
      </c>
    </row>
    <row r="764" spans="33:33" x14ac:dyDescent="0.25">
      <c r="AG764">
        <v>762</v>
      </c>
    </row>
    <row r="765" spans="33:33" x14ac:dyDescent="0.25">
      <c r="AG765">
        <v>763</v>
      </c>
    </row>
    <row r="766" spans="33:33" x14ac:dyDescent="0.25">
      <c r="AG766">
        <v>764</v>
      </c>
    </row>
    <row r="767" spans="33:33" x14ac:dyDescent="0.25">
      <c r="AG767">
        <v>765</v>
      </c>
    </row>
    <row r="768" spans="33:33" x14ac:dyDescent="0.25">
      <c r="AG768">
        <v>766</v>
      </c>
    </row>
    <row r="769" spans="33:33" x14ac:dyDescent="0.25">
      <c r="AG769">
        <v>767</v>
      </c>
    </row>
    <row r="770" spans="33:33" x14ac:dyDescent="0.25">
      <c r="AG770">
        <v>768</v>
      </c>
    </row>
    <row r="771" spans="33:33" x14ac:dyDescent="0.25">
      <c r="AG771">
        <v>769</v>
      </c>
    </row>
    <row r="772" spans="33:33" x14ac:dyDescent="0.25">
      <c r="AG772">
        <v>770</v>
      </c>
    </row>
    <row r="773" spans="33:33" x14ac:dyDescent="0.25">
      <c r="AG773">
        <v>771</v>
      </c>
    </row>
    <row r="774" spans="33:33" x14ac:dyDescent="0.25">
      <c r="AG774">
        <v>772</v>
      </c>
    </row>
    <row r="775" spans="33:33" x14ac:dyDescent="0.25">
      <c r="AG775">
        <v>773</v>
      </c>
    </row>
    <row r="776" spans="33:33" x14ac:dyDescent="0.25">
      <c r="AG776">
        <v>774</v>
      </c>
    </row>
    <row r="777" spans="33:33" x14ac:dyDescent="0.25">
      <c r="AG777">
        <v>775</v>
      </c>
    </row>
    <row r="778" spans="33:33" x14ac:dyDescent="0.25">
      <c r="AG778">
        <v>776</v>
      </c>
    </row>
    <row r="779" spans="33:33" x14ac:dyDescent="0.25">
      <c r="AG779">
        <v>777</v>
      </c>
    </row>
    <row r="780" spans="33:33" x14ac:dyDescent="0.25">
      <c r="AG780">
        <v>778</v>
      </c>
    </row>
    <row r="781" spans="33:33" x14ac:dyDescent="0.25">
      <c r="AG781">
        <v>779</v>
      </c>
    </row>
    <row r="782" spans="33:33" x14ac:dyDescent="0.25">
      <c r="AG782">
        <v>780</v>
      </c>
    </row>
    <row r="783" spans="33:33" x14ac:dyDescent="0.25">
      <c r="AG783">
        <v>781</v>
      </c>
    </row>
    <row r="784" spans="33:33" x14ac:dyDescent="0.25">
      <c r="AG784">
        <v>782</v>
      </c>
    </row>
    <row r="785" spans="33:33" x14ac:dyDescent="0.25">
      <c r="AG785">
        <v>783</v>
      </c>
    </row>
    <row r="786" spans="33:33" x14ac:dyDescent="0.25">
      <c r="AG786">
        <v>784</v>
      </c>
    </row>
    <row r="787" spans="33:33" x14ac:dyDescent="0.25">
      <c r="AG787">
        <v>785</v>
      </c>
    </row>
    <row r="788" spans="33:33" x14ac:dyDescent="0.25">
      <c r="AG788">
        <v>786</v>
      </c>
    </row>
    <row r="789" spans="33:33" x14ac:dyDescent="0.25">
      <c r="AG789">
        <v>787</v>
      </c>
    </row>
    <row r="790" spans="33:33" x14ac:dyDescent="0.25">
      <c r="AG790">
        <v>788</v>
      </c>
    </row>
    <row r="791" spans="33:33" x14ac:dyDescent="0.25">
      <c r="AG791">
        <v>789</v>
      </c>
    </row>
    <row r="792" spans="33:33" x14ac:dyDescent="0.25">
      <c r="AG792">
        <v>790</v>
      </c>
    </row>
    <row r="793" spans="33:33" x14ac:dyDescent="0.25">
      <c r="AG793">
        <v>791</v>
      </c>
    </row>
    <row r="794" spans="33:33" x14ac:dyDescent="0.25">
      <c r="AG794">
        <v>792</v>
      </c>
    </row>
    <row r="795" spans="33:33" x14ac:dyDescent="0.25">
      <c r="AG795">
        <v>793</v>
      </c>
    </row>
    <row r="796" spans="33:33" x14ac:dyDescent="0.25">
      <c r="AG796">
        <v>794</v>
      </c>
    </row>
    <row r="797" spans="33:33" x14ac:dyDescent="0.25">
      <c r="AG797">
        <v>795</v>
      </c>
    </row>
    <row r="798" spans="33:33" x14ac:dyDescent="0.25">
      <c r="AG798">
        <v>796</v>
      </c>
    </row>
    <row r="799" spans="33:33" x14ac:dyDescent="0.25">
      <c r="AG799">
        <v>797</v>
      </c>
    </row>
    <row r="800" spans="33:33" x14ac:dyDescent="0.25">
      <c r="AG800">
        <v>798</v>
      </c>
    </row>
    <row r="801" spans="33:33" x14ac:dyDescent="0.25">
      <c r="AG801">
        <v>799</v>
      </c>
    </row>
    <row r="802" spans="33:33" x14ac:dyDescent="0.25">
      <c r="AG802">
        <v>800</v>
      </c>
    </row>
    <row r="803" spans="33:33" x14ac:dyDescent="0.25">
      <c r="AG803">
        <v>801</v>
      </c>
    </row>
    <row r="804" spans="33:33" x14ac:dyDescent="0.25">
      <c r="AG804">
        <v>802</v>
      </c>
    </row>
    <row r="805" spans="33:33" x14ac:dyDescent="0.25">
      <c r="AG805">
        <v>803</v>
      </c>
    </row>
    <row r="806" spans="33:33" x14ac:dyDescent="0.25">
      <c r="AG806">
        <v>804</v>
      </c>
    </row>
    <row r="807" spans="33:33" x14ac:dyDescent="0.25">
      <c r="AG807">
        <v>805</v>
      </c>
    </row>
    <row r="808" spans="33:33" x14ac:dyDescent="0.25">
      <c r="AG808">
        <v>806</v>
      </c>
    </row>
    <row r="809" spans="33:33" x14ac:dyDescent="0.25">
      <c r="AG809">
        <v>807</v>
      </c>
    </row>
    <row r="810" spans="33:33" x14ac:dyDescent="0.25">
      <c r="AG810">
        <v>808</v>
      </c>
    </row>
    <row r="811" spans="33:33" x14ac:dyDescent="0.25">
      <c r="AG811">
        <v>809</v>
      </c>
    </row>
    <row r="812" spans="33:33" x14ac:dyDescent="0.25">
      <c r="AG812">
        <v>810</v>
      </c>
    </row>
    <row r="813" spans="33:33" x14ac:dyDescent="0.25">
      <c r="AG813">
        <v>811</v>
      </c>
    </row>
    <row r="814" spans="33:33" x14ac:dyDescent="0.25">
      <c r="AG814">
        <v>812</v>
      </c>
    </row>
    <row r="815" spans="33:33" x14ac:dyDescent="0.25">
      <c r="AG815">
        <v>813</v>
      </c>
    </row>
    <row r="816" spans="33:33" x14ac:dyDescent="0.25">
      <c r="AG816">
        <v>814</v>
      </c>
    </row>
    <row r="817" spans="33:33" x14ac:dyDescent="0.25">
      <c r="AG817">
        <v>815</v>
      </c>
    </row>
    <row r="818" spans="33:33" x14ac:dyDescent="0.25">
      <c r="AG818">
        <v>816</v>
      </c>
    </row>
    <row r="819" spans="33:33" x14ac:dyDescent="0.25">
      <c r="AG819">
        <v>817</v>
      </c>
    </row>
    <row r="820" spans="33:33" x14ac:dyDescent="0.25">
      <c r="AG820">
        <v>818</v>
      </c>
    </row>
    <row r="821" spans="33:33" x14ac:dyDescent="0.25">
      <c r="AG821">
        <v>819</v>
      </c>
    </row>
    <row r="822" spans="33:33" x14ac:dyDescent="0.25">
      <c r="AG822">
        <v>820</v>
      </c>
    </row>
    <row r="823" spans="33:33" x14ac:dyDescent="0.25">
      <c r="AG823">
        <v>821</v>
      </c>
    </row>
    <row r="824" spans="33:33" x14ac:dyDescent="0.25">
      <c r="AG824">
        <v>822</v>
      </c>
    </row>
    <row r="825" spans="33:33" x14ac:dyDescent="0.25">
      <c r="AG825">
        <v>823</v>
      </c>
    </row>
    <row r="826" spans="33:33" x14ac:dyDescent="0.25">
      <c r="AG826">
        <v>824</v>
      </c>
    </row>
    <row r="827" spans="33:33" x14ac:dyDescent="0.25">
      <c r="AG827">
        <v>825</v>
      </c>
    </row>
    <row r="828" spans="33:33" x14ac:dyDescent="0.25">
      <c r="AG828">
        <v>826</v>
      </c>
    </row>
    <row r="829" spans="33:33" x14ac:dyDescent="0.25">
      <c r="AG829">
        <v>827</v>
      </c>
    </row>
    <row r="830" spans="33:33" x14ac:dyDescent="0.25">
      <c r="AG830">
        <v>828</v>
      </c>
    </row>
    <row r="831" spans="33:33" x14ac:dyDescent="0.25">
      <c r="AG831">
        <v>829</v>
      </c>
    </row>
    <row r="832" spans="33:33" x14ac:dyDescent="0.25">
      <c r="AG832">
        <v>830</v>
      </c>
    </row>
    <row r="833" spans="33:33" x14ac:dyDescent="0.25">
      <c r="AG833">
        <v>831</v>
      </c>
    </row>
    <row r="834" spans="33:33" x14ac:dyDescent="0.25">
      <c r="AG834">
        <v>832</v>
      </c>
    </row>
    <row r="835" spans="33:33" x14ac:dyDescent="0.25">
      <c r="AG835">
        <v>833</v>
      </c>
    </row>
    <row r="836" spans="33:33" x14ac:dyDescent="0.25">
      <c r="AG836">
        <v>834</v>
      </c>
    </row>
    <row r="837" spans="33:33" x14ac:dyDescent="0.25">
      <c r="AG837">
        <v>835</v>
      </c>
    </row>
    <row r="838" spans="33:33" x14ac:dyDescent="0.25">
      <c r="AG838">
        <v>836</v>
      </c>
    </row>
    <row r="839" spans="33:33" x14ac:dyDescent="0.25">
      <c r="AG839">
        <v>837</v>
      </c>
    </row>
    <row r="840" spans="33:33" x14ac:dyDescent="0.25">
      <c r="AG840">
        <v>838</v>
      </c>
    </row>
    <row r="841" spans="33:33" x14ac:dyDescent="0.25">
      <c r="AG841">
        <v>839</v>
      </c>
    </row>
    <row r="842" spans="33:33" x14ac:dyDescent="0.25">
      <c r="AG842">
        <v>840</v>
      </c>
    </row>
    <row r="843" spans="33:33" x14ac:dyDescent="0.25">
      <c r="AG843">
        <v>841</v>
      </c>
    </row>
    <row r="844" spans="33:33" x14ac:dyDescent="0.25">
      <c r="AG844">
        <v>842</v>
      </c>
    </row>
    <row r="845" spans="33:33" x14ac:dyDescent="0.25">
      <c r="AG845">
        <v>843</v>
      </c>
    </row>
    <row r="846" spans="33:33" x14ac:dyDescent="0.25">
      <c r="AG846">
        <v>844</v>
      </c>
    </row>
    <row r="847" spans="33:33" x14ac:dyDescent="0.25">
      <c r="AG847">
        <v>845</v>
      </c>
    </row>
    <row r="848" spans="33:33" x14ac:dyDescent="0.25">
      <c r="AG848">
        <v>846</v>
      </c>
    </row>
    <row r="849" spans="33:33" x14ac:dyDescent="0.25">
      <c r="AG849">
        <v>847</v>
      </c>
    </row>
    <row r="850" spans="33:33" x14ac:dyDescent="0.25">
      <c r="AG850">
        <v>848</v>
      </c>
    </row>
    <row r="851" spans="33:33" x14ac:dyDescent="0.25">
      <c r="AG851">
        <v>849</v>
      </c>
    </row>
    <row r="852" spans="33:33" x14ac:dyDescent="0.25">
      <c r="AG852">
        <v>850</v>
      </c>
    </row>
    <row r="853" spans="33:33" x14ac:dyDescent="0.25">
      <c r="AG853">
        <v>851</v>
      </c>
    </row>
    <row r="854" spans="33:33" x14ac:dyDescent="0.25">
      <c r="AG854">
        <v>852</v>
      </c>
    </row>
    <row r="855" spans="33:33" x14ac:dyDescent="0.25">
      <c r="AG855">
        <v>853</v>
      </c>
    </row>
    <row r="856" spans="33:33" x14ac:dyDescent="0.25">
      <c r="AG856">
        <v>854</v>
      </c>
    </row>
    <row r="857" spans="33:33" x14ac:dyDescent="0.25">
      <c r="AG857">
        <v>855</v>
      </c>
    </row>
    <row r="858" spans="33:33" x14ac:dyDescent="0.25">
      <c r="AG858">
        <v>856</v>
      </c>
    </row>
    <row r="859" spans="33:33" x14ac:dyDescent="0.25">
      <c r="AG859">
        <v>857</v>
      </c>
    </row>
    <row r="860" spans="33:33" x14ac:dyDescent="0.25">
      <c r="AG860">
        <v>858</v>
      </c>
    </row>
    <row r="861" spans="33:33" x14ac:dyDescent="0.25">
      <c r="AG861">
        <v>859</v>
      </c>
    </row>
    <row r="862" spans="33:33" x14ac:dyDescent="0.25">
      <c r="AG862">
        <v>860</v>
      </c>
    </row>
    <row r="863" spans="33:33" x14ac:dyDescent="0.25">
      <c r="AG863">
        <v>861</v>
      </c>
    </row>
    <row r="864" spans="33:33" x14ac:dyDescent="0.25">
      <c r="AG864">
        <v>862</v>
      </c>
    </row>
    <row r="865" spans="33:33" x14ac:dyDescent="0.25">
      <c r="AG865">
        <v>863</v>
      </c>
    </row>
    <row r="866" spans="33:33" x14ac:dyDescent="0.25">
      <c r="AG866">
        <v>864</v>
      </c>
    </row>
    <row r="867" spans="33:33" x14ac:dyDescent="0.25">
      <c r="AG867">
        <v>865</v>
      </c>
    </row>
    <row r="868" spans="33:33" x14ac:dyDescent="0.25">
      <c r="AG868">
        <v>866</v>
      </c>
    </row>
    <row r="869" spans="33:33" x14ac:dyDescent="0.25">
      <c r="AG869">
        <v>867</v>
      </c>
    </row>
    <row r="870" spans="33:33" x14ac:dyDescent="0.25">
      <c r="AG870">
        <v>868</v>
      </c>
    </row>
    <row r="871" spans="33:33" x14ac:dyDescent="0.25">
      <c r="AG871">
        <v>869</v>
      </c>
    </row>
    <row r="872" spans="33:33" x14ac:dyDescent="0.25">
      <c r="AG872">
        <v>870</v>
      </c>
    </row>
    <row r="873" spans="33:33" x14ac:dyDescent="0.25">
      <c r="AG873">
        <v>871</v>
      </c>
    </row>
    <row r="874" spans="33:33" x14ac:dyDescent="0.25">
      <c r="AG874">
        <v>872</v>
      </c>
    </row>
    <row r="875" spans="33:33" x14ac:dyDescent="0.25">
      <c r="AG875">
        <v>873</v>
      </c>
    </row>
    <row r="876" spans="33:33" x14ac:dyDescent="0.25">
      <c r="AG876">
        <v>874</v>
      </c>
    </row>
    <row r="877" spans="33:33" x14ac:dyDescent="0.25">
      <c r="AG877">
        <v>875</v>
      </c>
    </row>
    <row r="878" spans="33:33" x14ac:dyDescent="0.25">
      <c r="AG878">
        <v>876</v>
      </c>
    </row>
    <row r="879" spans="33:33" x14ac:dyDescent="0.25">
      <c r="AG879">
        <v>877</v>
      </c>
    </row>
    <row r="880" spans="33:33" x14ac:dyDescent="0.25">
      <c r="AG880">
        <v>878</v>
      </c>
    </row>
    <row r="881" spans="33:33" x14ac:dyDescent="0.25">
      <c r="AG881">
        <v>879</v>
      </c>
    </row>
    <row r="882" spans="33:33" x14ac:dyDescent="0.25">
      <c r="AG882">
        <v>880</v>
      </c>
    </row>
    <row r="883" spans="33:33" x14ac:dyDescent="0.25">
      <c r="AG883">
        <v>881</v>
      </c>
    </row>
    <row r="884" spans="33:33" x14ac:dyDescent="0.25">
      <c r="AG884">
        <v>882</v>
      </c>
    </row>
    <row r="885" spans="33:33" x14ac:dyDescent="0.25">
      <c r="AG885">
        <v>883</v>
      </c>
    </row>
    <row r="886" spans="33:33" x14ac:dyDescent="0.25">
      <c r="AG886">
        <v>884</v>
      </c>
    </row>
    <row r="887" spans="33:33" x14ac:dyDescent="0.25">
      <c r="AG887">
        <v>885</v>
      </c>
    </row>
    <row r="888" spans="33:33" x14ac:dyDescent="0.25">
      <c r="AG888">
        <v>886</v>
      </c>
    </row>
    <row r="889" spans="33:33" x14ac:dyDescent="0.25">
      <c r="AG889">
        <v>887</v>
      </c>
    </row>
    <row r="890" spans="33:33" x14ac:dyDescent="0.25">
      <c r="AG890">
        <v>888</v>
      </c>
    </row>
    <row r="891" spans="33:33" x14ac:dyDescent="0.25">
      <c r="AG891">
        <v>889</v>
      </c>
    </row>
    <row r="892" spans="33:33" x14ac:dyDescent="0.25">
      <c r="AG892">
        <v>890</v>
      </c>
    </row>
    <row r="893" spans="33:33" x14ac:dyDescent="0.25">
      <c r="AG893">
        <v>891</v>
      </c>
    </row>
    <row r="894" spans="33:33" x14ac:dyDescent="0.25">
      <c r="AG894">
        <v>892</v>
      </c>
    </row>
    <row r="895" spans="33:33" x14ac:dyDescent="0.25">
      <c r="AG895">
        <v>893</v>
      </c>
    </row>
    <row r="896" spans="33:33" x14ac:dyDescent="0.25">
      <c r="AG896">
        <v>894</v>
      </c>
    </row>
    <row r="897" spans="33:33" x14ac:dyDescent="0.25">
      <c r="AG897">
        <v>895</v>
      </c>
    </row>
    <row r="898" spans="33:33" x14ac:dyDescent="0.25">
      <c r="AG898">
        <v>896</v>
      </c>
    </row>
    <row r="899" spans="33:33" x14ac:dyDescent="0.25">
      <c r="AG899">
        <v>897</v>
      </c>
    </row>
    <row r="900" spans="33:33" x14ac:dyDescent="0.25">
      <c r="AG900">
        <v>898</v>
      </c>
    </row>
    <row r="901" spans="33:33" x14ac:dyDescent="0.25">
      <c r="AG901">
        <v>899</v>
      </c>
    </row>
    <row r="902" spans="33:33" x14ac:dyDescent="0.25">
      <c r="AG902">
        <v>900</v>
      </c>
    </row>
    <row r="903" spans="33:33" x14ac:dyDescent="0.25">
      <c r="AG903">
        <v>901</v>
      </c>
    </row>
    <row r="904" spans="33:33" x14ac:dyDescent="0.25">
      <c r="AG904">
        <v>902</v>
      </c>
    </row>
    <row r="905" spans="33:33" x14ac:dyDescent="0.25">
      <c r="AG905">
        <v>903</v>
      </c>
    </row>
    <row r="906" spans="33:33" x14ac:dyDescent="0.25">
      <c r="AG906">
        <v>904</v>
      </c>
    </row>
    <row r="907" spans="33:33" x14ac:dyDescent="0.25">
      <c r="AG907">
        <v>905</v>
      </c>
    </row>
    <row r="908" spans="33:33" x14ac:dyDescent="0.25">
      <c r="AG908">
        <v>906</v>
      </c>
    </row>
    <row r="909" spans="33:33" x14ac:dyDescent="0.25">
      <c r="AG909">
        <v>907</v>
      </c>
    </row>
    <row r="910" spans="33:33" x14ac:dyDescent="0.25">
      <c r="AG910">
        <v>908</v>
      </c>
    </row>
    <row r="911" spans="33:33" x14ac:dyDescent="0.25">
      <c r="AG911">
        <v>909</v>
      </c>
    </row>
    <row r="912" spans="33:33" x14ac:dyDescent="0.25">
      <c r="AG912">
        <v>910</v>
      </c>
    </row>
    <row r="913" spans="33:33" x14ac:dyDescent="0.25">
      <c r="AG913">
        <v>911</v>
      </c>
    </row>
    <row r="914" spans="33:33" x14ac:dyDescent="0.25">
      <c r="AG914">
        <v>912</v>
      </c>
    </row>
    <row r="915" spans="33:33" x14ac:dyDescent="0.25">
      <c r="AG915">
        <v>913</v>
      </c>
    </row>
    <row r="916" spans="33:33" x14ac:dyDescent="0.25">
      <c r="AG916">
        <v>914</v>
      </c>
    </row>
    <row r="917" spans="33:33" x14ac:dyDescent="0.25">
      <c r="AG917">
        <v>915</v>
      </c>
    </row>
    <row r="918" spans="33:33" x14ac:dyDescent="0.25">
      <c r="AG918">
        <v>916</v>
      </c>
    </row>
    <row r="919" spans="33:33" x14ac:dyDescent="0.25">
      <c r="AG919">
        <v>917</v>
      </c>
    </row>
    <row r="920" spans="33:33" x14ac:dyDescent="0.25">
      <c r="AG920">
        <v>918</v>
      </c>
    </row>
    <row r="921" spans="33:33" x14ac:dyDescent="0.25">
      <c r="AG921">
        <v>919</v>
      </c>
    </row>
    <row r="922" spans="33:33" x14ac:dyDescent="0.25">
      <c r="AG922">
        <v>920</v>
      </c>
    </row>
    <row r="923" spans="33:33" x14ac:dyDescent="0.25">
      <c r="AG923">
        <v>921</v>
      </c>
    </row>
    <row r="924" spans="33:33" x14ac:dyDescent="0.25">
      <c r="AG924">
        <v>922</v>
      </c>
    </row>
    <row r="925" spans="33:33" x14ac:dyDescent="0.25">
      <c r="AG925">
        <v>923</v>
      </c>
    </row>
    <row r="926" spans="33:33" x14ac:dyDescent="0.25">
      <c r="AG926">
        <v>924</v>
      </c>
    </row>
    <row r="927" spans="33:33" x14ac:dyDescent="0.25">
      <c r="AG927">
        <v>925</v>
      </c>
    </row>
    <row r="928" spans="33:33" x14ac:dyDescent="0.25">
      <c r="AG928">
        <v>926</v>
      </c>
    </row>
    <row r="929" spans="33:33" x14ac:dyDescent="0.25">
      <c r="AG929">
        <v>927</v>
      </c>
    </row>
    <row r="930" spans="33:33" x14ac:dyDescent="0.25">
      <c r="AG930">
        <v>928</v>
      </c>
    </row>
    <row r="931" spans="33:33" x14ac:dyDescent="0.25">
      <c r="AG931">
        <v>929</v>
      </c>
    </row>
    <row r="932" spans="33:33" x14ac:dyDescent="0.25">
      <c r="AG932">
        <v>930</v>
      </c>
    </row>
    <row r="933" spans="33:33" x14ac:dyDescent="0.25">
      <c r="AG933">
        <v>931</v>
      </c>
    </row>
    <row r="934" spans="33:33" x14ac:dyDescent="0.25">
      <c r="AG934">
        <v>932</v>
      </c>
    </row>
    <row r="935" spans="33:33" x14ac:dyDescent="0.25">
      <c r="AG935">
        <v>933</v>
      </c>
    </row>
    <row r="936" spans="33:33" x14ac:dyDescent="0.25">
      <c r="AG936">
        <v>934</v>
      </c>
    </row>
    <row r="937" spans="33:33" x14ac:dyDescent="0.25">
      <c r="AG937">
        <v>935</v>
      </c>
    </row>
    <row r="938" spans="33:33" x14ac:dyDescent="0.25">
      <c r="AG938">
        <v>936</v>
      </c>
    </row>
    <row r="939" spans="33:33" x14ac:dyDescent="0.25">
      <c r="AG939">
        <v>937</v>
      </c>
    </row>
    <row r="940" spans="33:33" x14ac:dyDescent="0.25">
      <c r="AG940">
        <v>938</v>
      </c>
    </row>
    <row r="941" spans="33:33" x14ac:dyDescent="0.25">
      <c r="AG941">
        <v>939</v>
      </c>
    </row>
    <row r="942" spans="33:33" x14ac:dyDescent="0.25">
      <c r="AG942">
        <v>940</v>
      </c>
    </row>
    <row r="943" spans="33:33" x14ac:dyDescent="0.25">
      <c r="AG943">
        <v>941</v>
      </c>
    </row>
    <row r="944" spans="33:33" x14ac:dyDescent="0.25">
      <c r="AG944">
        <v>942</v>
      </c>
    </row>
    <row r="945" spans="33:33" x14ac:dyDescent="0.25">
      <c r="AG945">
        <v>943</v>
      </c>
    </row>
    <row r="946" spans="33:33" x14ac:dyDescent="0.25">
      <c r="AG946">
        <v>944</v>
      </c>
    </row>
    <row r="947" spans="33:33" x14ac:dyDescent="0.25">
      <c r="AG947">
        <v>945</v>
      </c>
    </row>
    <row r="948" spans="33:33" x14ac:dyDescent="0.25">
      <c r="AG948">
        <v>946</v>
      </c>
    </row>
    <row r="949" spans="33:33" x14ac:dyDescent="0.25">
      <c r="AG949">
        <v>947</v>
      </c>
    </row>
    <row r="950" spans="33:33" x14ac:dyDescent="0.25">
      <c r="AG950">
        <v>948</v>
      </c>
    </row>
    <row r="951" spans="33:33" x14ac:dyDescent="0.25">
      <c r="AG951">
        <v>949</v>
      </c>
    </row>
    <row r="952" spans="33:33" x14ac:dyDescent="0.25">
      <c r="AG952">
        <v>950</v>
      </c>
    </row>
    <row r="953" spans="33:33" x14ac:dyDescent="0.25">
      <c r="AG953">
        <v>951</v>
      </c>
    </row>
    <row r="954" spans="33:33" x14ac:dyDescent="0.25">
      <c r="AG954">
        <v>952</v>
      </c>
    </row>
    <row r="955" spans="33:33" x14ac:dyDescent="0.25">
      <c r="AG955">
        <v>953</v>
      </c>
    </row>
    <row r="956" spans="33:33" x14ac:dyDescent="0.25">
      <c r="AG956">
        <v>954</v>
      </c>
    </row>
    <row r="957" spans="33:33" x14ac:dyDescent="0.25">
      <c r="AG957">
        <v>955</v>
      </c>
    </row>
    <row r="958" spans="33:33" x14ac:dyDescent="0.25">
      <c r="AG958">
        <v>956</v>
      </c>
    </row>
    <row r="959" spans="33:33" x14ac:dyDescent="0.25">
      <c r="AG959">
        <v>957</v>
      </c>
    </row>
    <row r="960" spans="33:33" x14ac:dyDescent="0.25">
      <c r="AG960">
        <v>958</v>
      </c>
    </row>
    <row r="961" spans="33:33" x14ac:dyDescent="0.25">
      <c r="AG961">
        <v>959</v>
      </c>
    </row>
    <row r="962" spans="33:33" x14ac:dyDescent="0.25">
      <c r="AG962">
        <v>960</v>
      </c>
    </row>
    <row r="963" spans="33:33" x14ac:dyDescent="0.25">
      <c r="AG963">
        <v>961</v>
      </c>
    </row>
    <row r="964" spans="33:33" x14ac:dyDescent="0.25">
      <c r="AG964">
        <v>962</v>
      </c>
    </row>
    <row r="965" spans="33:33" x14ac:dyDescent="0.25">
      <c r="AG965">
        <v>963</v>
      </c>
    </row>
    <row r="966" spans="33:33" x14ac:dyDescent="0.25">
      <c r="AG966">
        <v>964</v>
      </c>
    </row>
    <row r="967" spans="33:33" x14ac:dyDescent="0.25">
      <c r="AG967">
        <v>965</v>
      </c>
    </row>
    <row r="968" spans="33:33" x14ac:dyDescent="0.25">
      <c r="AG968">
        <v>966</v>
      </c>
    </row>
    <row r="969" spans="33:33" x14ac:dyDescent="0.25">
      <c r="AG969">
        <v>967</v>
      </c>
    </row>
    <row r="970" spans="33:33" x14ac:dyDescent="0.25">
      <c r="AG970">
        <v>968</v>
      </c>
    </row>
    <row r="971" spans="33:33" x14ac:dyDescent="0.25">
      <c r="AG971">
        <v>969</v>
      </c>
    </row>
    <row r="972" spans="33:33" x14ac:dyDescent="0.25">
      <c r="AG972">
        <v>970</v>
      </c>
    </row>
    <row r="973" spans="33:33" x14ac:dyDescent="0.25">
      <c r="AG973">
        <v>971</v>
      </c>
    </row>
    <row r="974" spans="33:33" x14ac:dyDescent="0.25">
      <c r="AG974">
        <v>972</v>
      </c>
    </row>
    <row r="975" spans="33:33" x14ac:dyDescent="0.25">
      <c r="AG975">
        <v>973</v>
      </c>
    </row>
    <row r="976" spans="33:33" x14ac:dyDescent="0.25">
      <c r="AG976">
        <v>974</v>
      </c>
    </row>
    <row r="977" spans="33:33" x14ac:dyDescent="0.25">
      <c r="AG977">
        <v>975</v>
      </c>
    </row>
    <row r="978" spans="33:33" x14ac:dyDescent="0.25">
      <c r="AG978">
        <v>976</v>
      </c>
    </row>
    <row r="979" spans="33:33" x14ac:dyDescent="0.25">
      <c r="AG979">
        <v>977</v>
      </c>
    </row>
    <row r="980" spans="33:33" x14ac:dyDescent="0.25">
      <c r="AG980">
        <v>978</v>
      </c>
    </row>
    <row r="981" spans="33:33" x14ac:dyDescent="0.25">
      <c r="AG981">
        <v>979</v>
      </c>
    </row>
    <row r="982" spans="33:33" x14ac:dyDescent="0.25">
      <c r="AG982">
        <v>980</v>
      </c>
    </row>
    <row r="983" spans="33:33" x14ac:dyDescent="0.25">
      <c r="AG983">
        <v>981</v>
      </c>
    </row>
    <row r="984" spans="33:33" x14ac:dyDescent="0.25">
      <c r="AG984">
        <v>982</v>
      </c>
    </row>
    <row r="985" spans="33:33" x14ac:dyDescent="0.25">
      <c r="AG985">
        <v>983</v>
      </c>
    </row>
    <row r="986" spans="33:33" x14ac:dyDescent="0.25">
      <c r="AG986">
        <v>984</v>
      </c>
    </row>
    <row r="987" spans="33:33" x14ac:dyDescent="0.25">
      <c r="AG987">
        <v>985</v>
      </c>
    </row>
    <row r="988" spans="33:33" x14ac:dyDescent="0.25">
      <c r="AG988">
        <v>986</v>
      </c>
    </row>
    <row r="989" spans="33:33" x14ac:dyDescent="0.25">
      <c r="AG989">
        <v>987</v>
      </c>
    </row>
    <row r="990" spans="33:33" x14ac:dyDescent="0.25">
      <c r="AG990">
        <v>988</v>
      </c>
    </row>
    <row r="991" spans="33:33" x14ac:dyDescent="0.25">
      <c r="AG991">
        <v>989</v>
      </c>
    </row>
    <row r="992" spans="33:33" x14ac:dyDescent="0.25">
      <c r="AG992">
        <v>990</v>
      </c>
    </row>
    <row r="993" spans="33:33" x14ac:dyDescent="0.25">
      <c r="AG993">
        <v>991</v>
      </c>
    </row>
    <row r="994" spans="33:33" x14ac:dyDescent="0.25">
      <c r="AG994">
        <v>992</v>
      </c>
    </row>
    <row r="995" spans="33:33" x14ac:dyDescent="0.25">
      <c r="AG995">
        <v>993</v>
      </c>
    </row>
    <row r="996" spans="33:33" x14ac:dyDescent="0.25">
      <c r="AG996">
        <v>994</v>
      </c>
    </row>
    <row r="997" spans="33:33" x14ac:dyDescent="0.25">
      <c r="AG997">
        <v>995</v>
      </c>
    </row>
    <row r="998" spans="33:33" x14ac:dyDescent="0.25">
      <c r="AG998">
        <v>996</v>
      </c>
    </row>
    <row r="999" spans="33:33" x14ac:dyDescent="0.25">
      <c r="AG999">
        <v>997</v>
      </c>
    </row>
    <row r="1000" spans="33:33" x14ac:dyDescent="0.25">
      <c r="AG1000">
        <v>998</v>
      </c>
    </row>
    <row r="1001" spans="33:33" x14ac:dyDescent="0.25">
      <c r="AG1001">
        <v>999</v>
      </c>
    </row>
    <row r="1002" spans="33:33" x14ac:dyDescent="0.25">
      <c r="AG1002">
        <v>1000</v>
      </c>
    </row>
    <row r="1003" spans="33:33" x14ac:dyDescent="0.25">
      <c r="AG1003">
        <v>1001</v>
      </c>
    </row>
    <row r="1004" spans="33:33" x14ac:dyDescent="0.25">
      <c r="AG1004">
        <v>1002</v>
      </c>
    </row>
    <row r="1005" spans="33:33" x14ac:dyDescent="0.25">
      <c r="AG1005">
        <v>1003</v>
      </c>
    </row>
    <row r="1006" spans="33:33" x14ac:dyDescent="0.25">
      <c r="AG1006">
        <v>1004</v>
      </c>
    </row>
    <row r="1007" spans="33:33" x14ac:dyDescent="0.25">
      <c r="AG1007">
        <v>1005</v>
      </c>
    </row>
    <row r="1008" spans="33:33" x14ac:dyDescent="0.25">
      <c r="AG1008">
        <v>1006</v>
      </c>
    </row>
    <row r="1009" spans="33:33" x14ac:dyDescent="0.25">
      <c r="AG1009">
        <v>1007</v>
      </c>
    </row>
    <row r="1010" spans="33:33" x14ac:dyDescent="0.25">
      <c r="AG1010">
        <v>1008</v>
      </c>
    </row>
    <row r="1011" spans="33:33" x14ac:dyDescent="0.25">
      <c r="AG1011">
        <v>1009</v>
      </c>
    </row>
    <row r="1012" spans="33:33" x14ac:dyDescent="0.25">
      <c r="AG1012">
        <v>1010</v>
      </c>
    </row>
    <row r="1013" spans="33:33" x14ac:dyDescent="0.25">
      <c r="AG1013">
        <v>1011</v>
      </c>
    </row>
    <row r="1014" spans="33:33" x14ac:dyDescent="0.25">
      <c r="AG1014">
        <v>1012</v>
      </c>
    </row>
    <row r="1015" spans="33:33" x14ac:dyDescent="0.25">
      <c r="AG1015">
        <v>1013</v>
      </c>
    </row>
    <row r="1016" spans="33:33" x14ac:dyDescent="0.25">
      <c r="AG1016">
        <v>1014</v>
      </c>
    </row>
    <row r="1017" spans="33:33" x14ac:dyDescent="0.25">
      <c r="AG1017">
        <v>1015</v>
      </c>
    </row>
    <row r="1018" spans="33:33" x14ac:dyDescent="0.25">
      <c r="AG1018">
        <v>1016</v>
      </c>
    </row>
    <row r="1019" spans="33:33" x14ac:dyDescent="0.25">
      <c r="AG1019">
        <v>1017</v>
      </c>
    </row>
    <row r="1020" spans="33:33" x14ac:dyDescent="0.25">
      <c r="AG1020">
        <v>1018</v>
      </c>
    </row>
    <row r="1021" spans="33:33" x14ac:dyDescent="0.25">
      <c r="AG1021">
        <v>1019</v>
      </c>
    </row>
    <row r="1022" spans="33:33" x14ac:dyDescent="0.25">
      <c r="AG1022">
        <v>1020</v>
      </c>
    </row>
    <row r="1023" spans="33:33" x14ac:dyDescent="0.25">
      <c r="AG1023">
        <v>1021</v>
      </c>
    </row>
    <row r="1024" spans="33:33" x14ac:dyDescent="0.25">
      <c r="AG1024">
        <v>1022</v>
      </c>
    </row>
    <row r="1025" spans="33:33" x14ac:dyDescent="0.25">
      <c r="AG1025">
        <v>1023</v>
      </c>
    </row>
    <row r="1026" spans="33:33" x14ac:dyDescent="0.25">
      <c r="AG1026">
        <v>1024</v>
      </c>
    </row>
    <row r="1027" spans="33:33" x14ac:dyDescent="0.25">
      <c r="AG1027">
        <v>1025</v>
      </c>
    </row>
    <row r="1028" spans="33:33" x14ac:dyDescent="0.25">
      <c r="AG1028">
        <v>1026</v>
      </c>
    </row>
    <row r="1029" spans="33:33" x14ac:dyDescent="0.25">
      <c r="AG1029">
        <v>1027</v>
      </c>
    </row>
    <row r="1030" spans="33:33" x14ac:dyDescent="0.25">
      <c r="AG1030">
        <v>1028</v>
      </c>
    </row>
    <row r="1031" spans="33:33" x14ac:dyDescent="0.25">
      <c r="AG1031">
        <v>1029</v>
      </c>
    </row>
    <row r="1032" spans="33:33" x14ac:dyDescent="0.25">
      <c r="AG1032">
        <v>1030</v>
      </c>
    </row>
    <row r="1033" spans="33:33" x14ac:dyDescent="0.25">
      <c r="AG1033">
        <v>1031</v>
      </c>
    </row>
    <row r="1034" spans="33:33" x14ac:dyDescent="0.25">
      <c r="AG1034">
        <v>1032</v>
      </c>
    </row>
    <row r="1035" spans="33:33" x14ac:dyDescent="0.25">
      <c r="AG1035">
        <v>1033</v>
      </c>
    </row>
    <row r="1036" spans="33:33" x14ac:dyDescent="0.25">
      <c r="AG1036">
        <v>1034</v>
      </c>
    </row>
    <row r="1037" spans="33:33" x14ac:dyDescent="0.25">
      <c r="AG1037">
        <v>1035</v>
      </c>
    </row>
    <row r="1038" spans="33:33" x14ac:dyDescent="0.25">
      <c r="AG1038">
        <v>1036</v>
      </c>
    </row>
    <row r="1039" spans="33:33" x14ac:dyDescent="0.25">
      <c r="AG1039">
        <v>1037</v>
      </c>
    </row>
    <row r="1040" spans="33:33" x14ac:dyDescent="0.25">
      <c r="AG1040">
        <v>1038</v>
      </c>
    </row>
    <row r="1041" spans="33:33" x14ac:dyDescent="0.25">
      <c r="AG1041">
        <v>1039</v>
      </c>
    </row>
    <row r="1042" spans="33:33" x14ac:dyDescent="0.25">
      <c r="AG1042">
        <v>1040</v>
      </c>
    </row>
    <row r="1043" spans="33:33" x14ac:dyDescent="0.25">
      <c r="AG1043">
        <v>1041</v>
      </c>
    </row>
    <row r="1044" spans="33:33" x14ac:dyDescent="0.25">
      <c r="AG1044">
        <v>1042</v>
      </c>
    </row>
    <row r="1045" spans="33:33" x14ac:dyDescent="0.25">
      <c r="AG1045">
        <v>1043</v>
      </c>
    </row>
    <row r="1046" spans="33:33" x14ac:dyDescent="0.25">
      <c r="AG1046">
        <v>1044</v>
      </c>
    </row>
    <row r="1047" spans="33:33" x14ac:dyDescent="0.25">
      <c r="AG1047">
        <v>1045</v>
      </c>
    </row>
    <row r="1048" spans="33:33" x14ac:dyDescent="0.25">
      <c r="AG1048">
        <v>1046</v>
      </c>
    </row>
    <row r="1049" spans="33:33" x14ac:dyDescent="0.25">
      <c r="AG1049">
        <v>1047</v>
      </c>
    </row>
    <row r="1050" spans="33:33" x14ac:dyDescent="0.25">
      <c r="AG1050">
        <v>1048</v>
      </c>
    </row>
    <row r="1051" spans="33:33" x14ac:dyDescent="0.25">
      <c r="AG1051">
        <v>1049</v>
      </c>
    </row>
    <row r="1052" spans="33:33" x14ac:dyDescent="0.25">
      <c r="AG1052">
        <v>1050</v>
      </c>
    </row>
    <row r="1053" spans="33:33" x14ac:dyDescent="0.25">
      <c r="AG1053">
        <v>1051</v>
      </c>
    </row>
    <row r="1054" spans="33:33" x14ac:dyDescent="0.25">
      <c r="AG1054">
        <v>1052</v>
      </c>
    </row>
    <row r="1055" spans="33:33" x14ac:dyDescent="0.25">
      <c r="AG1055">
        <v>1053</v>
      </c>
    </row>
    <row r="1056" spans="33:33" x14ac:dyDescent="0.25">
      <c r="AG1056">
        <v>1054</v>
      </c>
    </row>
    <row r="1057" spans="33:33" x14ac:dyDescent="0.25">
      <c r="AG1057">
        <v>1055</v>
      </c>
    </row>
    <row r="1058" spans="33:33" x14ac:dyDescent="0.25">
      <c r="AG1058">
        <v>1056</v>
      </c>
    </row>
    <row r="1059" spans="33:33" x14ac:dyDescent="0.25">
      <c r="AG1059">
        <v>1057</v>
      </c>
    </row>
    <row r="1060" spans="33:33" x14ac:dyDescent="0.25">
      <c r="AG1060">
        <v>1058</v>
      </c>
    </row>
    <row r="1061" spans="33:33" x14ac:dyDescent="0.25">
      <c r="AG1061">
        <v>1059</v>
      </c>
    </row>
    <row r="1062" spans="33:33" x14ac:dyDescent="0.25">
      <c r="AG1062">
        <v>1060</v>
      </c>
    </row>
    <row r="1063" spans="33:33" x14ac:dyDescent="0.25">
      <c r="AG1063">
        <v>1061</v>
      </c>
    </row>
    <row r="1064" spans="33:33" x14ac:dyDescent="0.25">
      <c r="AG1064">
        <v>1062</v>
      </c>
    </row>
    <row r="1065" spans="33:33" x14ac:dyDescent="0.25">
      <c r="AG1065">
        <v>1063</v>
      </c>
    </row>
    <row r="1066" spans="33:33" x14ac:dyDescent="0.25">
      <c r="AG1066">
        <v>1064</v>
      </c>
    </row>
    <row r="1067" spans="33:33" x14ac:dyDescent="0.25">
      <c r="AG1067">
        <v>1065</v>
      </c>
    </row>
    <row r="1068" spans="33:33" x14ac:dyDescent="0.25">
      <c r="AG1068">
        <v>1066</v>
      </c>
    </row>
    <row r="1069" spans="33:33" x14ac:dyDescent="0.25">
      <c r="AG1069">
        <v>1067</v>
      </c>
    </row>
    <row r="1070" spans="33:33" x14ac:dyDescent="0.25">
      <c r="AG1070">
        <v>1068</v>
      </c>
    </row>
    <row r="1071" spans="33:33" x14ac:dyDescent="0.25">
      <c r="AG1071">
        <v>1069</v>
      </c>
    </row>
    <row r="1072" spans="33:33" x14ac:dyDescent="0.25">
      <c r="AG1072">
        <v>1070</v>
      </c>
    </row>
    <row r="1073" spans="33:33" x14ac:dyDescent="0.25">
      <c r="AG1073">
        <v>1071</v>
      </c>
    </row>
    <row r="1074" spans="33:33" x14ac:dyDescent="0.25">
      <c r="AG1074">
        <v>1072</v>
      </c>
    </row>
    <row r="1075" spans="33:33" x14ac:dyDescent="0.25">
      <c r="AG1075">
        <v>1073</v>
      </c>
    </row>
    <row r="1076" spans="33:33" x14ac:dyDescent="0.25">
      <c r="AG1076">
        <v>1074</v>
      </c>
    </row>
    <row r="1077" spans="33:33" x14ac:dyDescent="0.25">
      <c r="AG1077">
        <v>1075</v>
      </c>
    </row>
    <row r="1078" spans="33:33" x14ac:dyDescent="0.25">
      <c r="AG1078">
        <v>1076</v>
      </c>
    </row>
    <row r="1079" spans="33:33" x14ac:dyDescent="0.25">
      <c r="AG1079">
        <v>1077</v>
      </c>
    </row>
    <row r="1080" spans="33:33" x14ac:dyDescent="0.25">
      <c r="AG1080">
        <v>1078</v>
      </c>
    </row>
    <row r="1081" spans="33:33" x14ac:dyDescent="0.25">
      <c r="AG1081">
        <v>1079</v>
      </c>
    </row>
    <row r="1082" spans="33:33" x14ac:dyDescent="0.25">
      <c r="AG1082">
        <v>1080</v>
      </c>
    </row>
    <row r="1083" spans="33:33" x14ac:dyDescent="0.25">
      <c r="AG1083">
        <v>1081</v>
      </c>
    </row>
    <row r="1084" spans="33:33" x14ac:dyDescent="0.25">
      <c r="AG1084">
        <v>1082</v>
      </c>
    </row>
    <row r="1085" spans="33:33" x14ac:dyDescent="0.25">
      <c r="AG1085">
        <v>1083</v>
      </c>
    </row>
    <row r="1086" spans="33:33" x14ac:dyDescent="0.25">
      <c r="AG1086">
        <v>1084</v>
      </c>
    </row>
    <row r="1087" spans="33:33" x14ac:dyDescent="0.25">
      <c r="AG1087">
        <v>1085</v>
      </c>
    </row>
    <row r="1088" spans="33:33" x14ac:dyDescent="0.25">
      <c r="AG1088">
        <v>1086</v>
      </c>
    </row>
    <row r="1089" spans="33:33" x14ac:dyDescent="0.25">
      <c r="AG1089">
        <v>1087</v>
      </c>
    </row>
    <row r="1090" spans="33:33" x14ac:dyDescent="0.25">
      <c r="AG1090">
        <v>1088</v>
      </c>
    </row>
    <row r="1091" spans="33:33" x14ac:dyDescent="0.25">
      <c r="AG1091">
        <v>1089</v>
      </c>
    </row>
    <row r="1092" spans="33:33" x14ac:dyDescent="0.25">
      <c r="AG1092">
        <v>1090</v>
      </c>
    </row>
    <row r="1093" spans="33:33" x14ac:dyDescent="0.25">
      <c r="AG1093">
        <v>1091</v>
      </c>
    </row>
    <row r="1094" spans="33:33" x14ac:dyDescent="0.25">
      <c r="AG1094">
        <v>1092</v>
      </c>
    </row>
    <row r="1095" spans="33:33" x14ac:dyDescent="0.25">
      <c r="AG1095">
        <v>1093</v>
      </c>
    </row>
    <row r="1096" spans="33:33" x14ac:dyDescent="0.25">
      <c r="AG1096">
        <v>1094</v>
      </c>
    </row>
    <row r="1097" spans="33:33" x14ac:dyDescent="0.25">
      <c r="AG1097">
        <v>1095</v>
      </c>
    </row>
    <row r="1098" spans="33:33" x14ac:dyDescent="0.25">
      <c r="AG1098">
        <v>1096</v>
      </c>
    </row>
    <row r="1099" spans="33:33" x14ac:dyDescent="0.25">
      <c r="AG1099">
        <v>1097</v>
      </c>
    </row>
    <row r="1100" spans="33:33" x14ac:dyDescent="0.25">
      <c r="AG1100">
        <v>1098</v>
      </c>
    </row>
    <row r="1101" spans="33:33" x14ac:dyDescent="0.25">
      <c r="AG1101">
        <v>1099</v>
      </c>
    </row>
    <row r="1102" spans="33:33" x14ac:dyDescent="0.25">
      <c r="AG1102">
        <v>1100</v>
      </c>
    </row>
    <row r="1103" spans="33:33" x14ac:dyDescent="0.25">
      <c r="AG1103">
        <v>1101</v>
      </c>
    </row>
    <row r="1104" spans="33:33" x14ac:dyDescent="0.25">
      <c r="AG1104">
        <v>1102</v>
      </c>
    </row>
    <row r="1105" spans="33:33" x14ac:dyDescent="0.25">
      <c r="AG1105">
        <v>1103</v>
      </c>
    </row>
    <row r="1106" spans="33:33" x14ac:dyDescent="0.25">
      <c r="AG1106">
        <v>1104</v>
      </c>
    </row>
    <row r="1107" spans="33:33" x14ac:dyDescent="0.25">
      <c r="AG1107">
        <v>1105</v>
      </c>
    </row>
    <row r="1108" spans="33:33" x14ac:dyDescent="0.25">
      <c r="AG1108">
        <v>1106</v>
      </c>
    </row>
    <row r="1109" spans="33:33" x14ac:dyDescent="0.25">
      <c r="AG1109">
        <v>1107</v>
      </c>
    </row>
    <row r="1110" spans="33:33" x14ac:dyDescent="0.25">
      <c r="AG1110">
        <v>1108</v>
      </c>
    </row>
    <row r="1111" spans="33:33" x14ac:dyDescent="0.25">
      <c r="AG1111">
        <v>1109</v>
      </c>
    </row>
    <row r="1112" spans="33:33" x14ac:dyDescent="0.25">
      <c r="AG1112">
        <v>1110</v>
      </c>
    </row>
    <row r="1113" spans="33:33" x14ac:dyDescent="0.25">
      <c r="AG1113">
        <v>1111</v>
      </c>
    </row>
    <row r="1114" spans="33:33" x14ac:dyDescent="0.25">
      <c r="AG1114">
        <v>1112</v>
      </c>
    </row>
    <row r="1115" spans="33:33" x14ac:dyDescent="0.25">
      <c r="AG1115">
        <v>1113</v>
      </c>
    </row>
    <row r="1116" spans="33:33" x14ac:dyDescent="0.25">
      <c r="AG1116">
        <v>1114</v>
      </c>
    </row>
    <row r="1117" spans="33:33" x14ac:dyDescent="0.25">
      <c r="AG1117">
        <v>1115</v>
      </c>
    </row>
    <row r="1118" spans="33:33" x14ac:dyDescent="0.25">
      <c r="AG1118">
        <v>1116</v>
      </c>
    </row>
    <row r="1119" spans="33:33" x14ac:dyDescent="0.25">
      <c r="AG1119">
        <v>1117</v>
      </c>
    </row>
    <row r="1120" spans="33:33" x14ac:dyDescent="0.25">
      <c r="AG1120">
        <v>1118</v>
      </c>
    </row>
    <row r="1121" spans="33:33" x14ac:dyDescent="0.25">
      <c r="AG1121">
        <v>1119</v>
      </c>
    </row>
    <row r="1122" spans="33:33" x14ac:dyDescent="0.25">
      <c r="AG1122">
        <v>1120</v>
      </c>
    </row>
    <row r="1123" spans="33:33" x14ac:dyDescent="0.25">
      <c r="AG1123">
        <v>1121</v>
      </c>
    </row>
    <row r="1124" spans="33:33" x14ac:dyDescent="0.25">
      <c r="AG1124">
        <v>1122</v>
      </c>
    </row>
    <row r="1125" spans="33:33" x14ac:dyDescent="0.25">
      <c r="AG1125">
        <v>1123</v>
      </c>
    </row>
    <row r="1126" spans="33:33" x14ac:dyDescent="0.25">
      <c r="AG1126">
        <v>1124</v>
      </c>
    </row>
    <row r="1127" spans="33:33" x14ac:dyDescent="0.25">
      <c r="AG1127">
        <v>1125</v>
      </c>
    </row>
    <row r="1128" spans="33:33" x14ac:dyDescent="0.25">
      <c r="AG1128">
        <v>1126</v>
      </c>
    </row>
    <row r="1129" spans="33:33" x14ac:dyDescent="0.25">
      <c r="AG1129">
        <v>1127</v>
      </c>
    </row>
    <row r="1130" spans="33:33" x14ac:dyDescent="0.25">
      <c r="AG1130">
        <v>1128</v>
      </c>
    </row>
    <row r="1131" spans="33:33" x14ac:dyDescent="0.25">
      <c r="AG1131">
        <v>1129</v>
      </c>
    </row>
    <row r="1132" spans="33:33" x14ac:dyDescent="0.25">
      <c r="AG1132">
        <v>1130</v>
      </c>
    </row>
    <row r="1133" spans="33:33" x14ac:dyDescent="0.25">
      <c r="AG1133">
        <v>1131</v>
      </c>
    </row>
    <row r="1134" spans="33:33" x14ac:dyDescent="0.25">
      <c r="AG1134">
        <v>1132</v>
      </c>
    </row>
    <row r="1135" spans="33:33" x14ac:dyDescent="0.25">
      <c r="AG1135">
        <v>1133</v>
      </c>
    </row>
    <row r="1136" spans="33:33" x14ac:dyDescent="0.25">
      <c r="AG1136">
        <v>1134</v>
      </c>
    </row>
    <row r="1137" spans="33:33" x14ac:dyDescent="0.25">
      <c r="AG1137">
        <v>1135</v>
      </c>
    </row>
    <row r="1138" spans="33:33" x14ac:dyDescent="0.25">
      <c r="AG1138">
        <v>1136</v>
      </c>
    </row>
    <row r="1139" spans="33:33" x14ac:dyDescent="0.25">
      <c r="AG1139">
        <v>1137</v>
      </c>
    </row>
    <row r="1140" spans="33:33" x14ac:dyDescent="0.25">
      <c r="AG1140">
        <v>1138</v>
      </c>
    </row>
    <row r="1141" spans="33:33" x14ac:dyDescent="0.25">
      <c r="AG1141">
        <v>1139</v>
      </c>
    </row>
    <row r="1142" spans="33:33" x14ac:dyDescent="0.25">
      <c r="AG1142">
        <v>1140</v>
      </c>
    </row>
    <row r="1143" spans="33:33" x14ac:dyDescent="0.25">
      <c r="AG1143">
        <v>1141</v>
      </c>
    </row>
    <row r="1144" spans="33:33" x14ac:dyDescent="0.25">
      <c r="AG1144">
        <v>1142</v>
      </c>
    </row>
    <row r="1145" spans="33:33" x14ac:dyDescent="0.25">
      <c r="AG1145">
        <v>1143</v>
      </c>
    </row>
    <row r="1146" spans="33:33" x14ac:dyDescent="0.25">
      <c r="AG1146">
        <v>1144</v>
      </c>
    </row>
    <row r="1147" spans="33:33" x14ac:dyDescent="0.25">
      <c r="AG1147">
        <v>1145</v>
      </c>
    </row>
    <row r="1148" spans="33:33" x14ac:dyDescent="0.25">
      <c r="AG1148">
        <v>1146</v>
      </c>
    </row>
    <row r="1149" spans="33:33" x14ac:dyDescent="0.25">
      <c r="AG1149">
        <v>1147</v>
      </c>
    </row>
    <row r="1150" spans="33:33" x14ac:dyDescent="0.25">
      <c r="AG1150">
        <v>1148</v>
      </c>
    </row>
    <row r="1151" spans="33:33" x14ac:dyDescent="0.25">
      <c r="AG1151">
        <v>1149</v>
      </c>
    </row>
    <row r="1152" spans="33:33" x14ac:dyDescent="0.25">
      <c r="AG1152">
        <v>1150</v>
      </c>
    </row>
    <row r="1153" spans="33:33" x14ac:dyDescent="0.25">
      <c r="AG1153">
        <v>1151</v>
      </c>
    </row>
    <row r="1154" spans="33:33" x14ac:dyDescent="0.25">
      <c r="AG1154">
        <v>1152</v>
      </c>
    </row>
    <row r="1155" spans="33:33" x14ac:dyDescent="0.25">
      <c r="AG1155">
        <v>1153</v>
      </c>
    </row>
    <row r="1156" spans="33:33" x14ac:dyDescent="0.25">
      <c r="AG1156">
        <v>1154</v>
      </c>
    </row>
    <row r="1157" spans="33:33" x14ac:dyDescent="0.25">
      <c r="AG1157">
        <v>1155</v>
      </c>
    </row>
    <row r="1158" spans="33:33" x14ac:dyDescent="0.25">
      <c r="AG1158">
        <v>1156</v>
      </c>
    </row>
    <row r="1159" spans="33:33" x14ac:dyDescent="0.25">
      <c r="AG1159">
        <v>1157</v>
      </c>
    </row>
    <row r="1160" spans="33:33" x14ac:dyDescent="0.25">
      <c r="AG1160">
        <v>1158</v>
      </c>
    </row>
    <row r="1161" spans="33:33" x14ac:dyDescent="0.25">
      <c r="AG1161">
        <v>1159</v>
      </c>
    </row>
    <row r="1162" spans="33:33" x14ac:dyDescent="0.25">
      <c r="AG1162">
        <v>1160</v>
      </c>
    </row>
    <row r="1163" spans="33:33" x14ac:dyDescent="0.25">
      <c r="AG1163">
        <v>1161</v>
      </c>
    </row>
    <row r="1164" spans="33:33" x14ac:dyDescent="0.25">
      <c r="AG1164">
        <v>1162</v>
      </c>
    </row>
    <row r="1165" spans="33:33" x14ac:dyDescent="0.25">
      <c r="AG1165">
        <v>1163</v>
      </c>
    </row>
    <row r="1166" spans="33:33" x14ac:dyDescent="0.25">
      <c r="AG1166">
        <v>1164</v>
      </c>
    </row>
    <row r="1167" spans="33:33" x14ac:dyDescent="0.25">
      <c r="AG1167">
        <v>1165</v>
      </c>
    </row>
    <row r="1168" spans="33:33" x14ac:dyDescent="0.25">
      <c r="AG1168">
        <v>1166</v>
      </c>
    </row>
    <row r="1169" spans="33:33" x14ac:dyDescent="0.25">
      <c r="AG1169">
        <v>1167</v>
      </c>
    </row>
    <row r="1170" spans="33:33" x14ac:dyDescent="0.25">
      <c r="AG1170">
        <v>1168</v>
      </c>
    </row>
    <row r="1171" spans="33:33" x14ac:dyDescent="0.25">
      <c r="AG1171">
        <v>1169</v>
      </c>
    </row>
    <row r="1172" spans="33:33" x14ac:dyDescent="0.25">
      <c r="AG1172">
        <v>1170</v>
      </c>
    </row>
    <row r="1173" spans="33:33" x14ac:dyDescent="0.25">
      <c r="AG1173">
        <v>1171</v>
      </c>
    </row>
    <row r="1174" spans="33:33" x14ac:dyDescent="0.25">
      <c r="AG1174">
        <v>1172</v>
      </c>
    </row>
    <row r="1175" spans="33:33" x14ac:dyDescent="0.25">
      <c r="AG1175">
        <v>1173</v>
      </c>
    </row>
    <row r="1176" spans="33:33" x14ac:dyDescent="0.25">
      <c r="AG1176">
        <v>1174</v>
      </c>
    </row>
    <row r="1177" spans="33:33" x14ac:dyDescent="0.25">
      <c r="AG1177">
        <v>1175</v>
      </c>
    </row>
    <row r="1178" spans="33:33" x14ac:dyDescent="0.25">
      <c r="AG1178">
        <v>1176</v>
      </c>
    </row>
    <row r="1179" spans="33:33" x14ac:dyDescent="0.25">
      <c r="AG1179">
        <v>1177</v>
      </c>
    </row>
    <row r="1180" spans="33:33" x14ac:dyDescent="0.25">
      <c r="AG1180">
        <v>1178</v>
      </c>
    </row>
    <row r="1181" spans="33:33" x14ac:dyDescent="0.25">
      <c r="AG1181">
        <v>1179</v>
      </c>
    </row>
    <row r="1182" spans="33:33" x14ac:dyDescent="0.25">
      <c r="AG1182">
        <v>1180</v>
      </c>
    </row>
    <row r="1183" spans="33:33" x14ac:dyDescent="0.25">
      <c r="AG1183">
        <v>1181</v>
      </c>
    </row>
    <row r="1184" spans="33:33" x14ac:dyDescent="0.25">
      <c r="AG1184">
        <v>1182</v>
      </c>
    </row>
    <row r="1185" spans="33:33" x14ac:dyDescent="0.25">
      <c r="AG1185">
        <v>1183</v>
      </c>
    </row>
    <row r="1186" spans="33:33" x14ac:dyDescent="0.25">
      <c r="AG1186">
        <v>1184</v>
      </c>
    </row>
    <row r="1187" spans="33:33" x14ac:dyDescent="0.25">
      <c r="AG1187">
        <v>1185</v>
      </c>
    </row>
    <row r="1188" spans="33:33" x14ac:dyDescent="0.25">
      <c r="AG1188">
        <v>1186</v>
      </c>
    </row>
    <row r="1189" spans="33:33" x14ac:dyDescent="0.25">
      <c r="AG1189">
        <v>1187</v>
      </c>
    </row>
    <row r="1190" spans="33:33" x14ac:dyDescent="0.25">
      <c r="AG1190">
        <v>1188</v>
      </c>
    </row>
    <row r="1191" spans="33:33" x14ac:dyDescent="0.25">
      <c r="AG1191">
        <v>1189</v>
      </c>
    </row>
    <row r="1192" spans="33:33" x14ac:dyDescent="0.25">
      <c r="AG1192">
        <v>1190</v>
      </c>
    </row>
    <row r="1193" spans="33:33" x14ac:dyDescent="0.25">
      <c r="AG1193">
        <v>1191</v>
      </c>
    </row>
    <row r="1194" spans="33:33" x14ac:dyDescent="0.25">
      <c r="AG1194">
        <v>1192</v>
      </c>
    </row>
    <row r="1195" spans="33:33" x14ac:dyDescent="0.25">
      <c r="AG1195">
        <v>1193</v>
      </c>
    </row>
    <row r="1196" spans="33:33" x14ac:dyDescent="0.25">
      <c r="AG1196">
        <v>1194</v>
      </c>
    </row>
    <row r="1197" spans="33:33" x14ac:dyDescent="0.25">
      <c r="AG1197">
        <v>1195</v>
      </c>
    </row>
    <row r="1198" spans="33:33" x14ac:dyDescent="0.25">
      <c r="AG1198">
        <v>1196</v>
      </c>
    </row>
    <row r="1199" spans="33:33" x14ac:dyDescent="0.25">
      <c r="AG1199">
        <v>1197</v>
      </c>
    </row>
    <row r="1200" spans="33:33" x14ac:dyDescent="0.25">
      <c r="AG1200">
        <v>1198</v>
      </c>
    </row>
    <row r="1201" spans="33:33" x14ac:dyDescent="0.25">
      <c r="AG1201">
        <v>1199</v>
      </c>
    </row>
    <row r="1202" spans="33:33" x14ac:dyDescent="0.25">
      <c r="AG1202">
        <v>1200</v>
      </c>
    </row>
    <row r="1203" spans="33:33" x14ac:dyDescent="0.25">
      <c r="AG1203">
        <v>1201</v>
      </c>
    </row>
    <row r="1204" spans="33:33" x14ac:dyDescent="0.25">
      <c r="AG1204">
        <v>1202</v>
      </c>
    </row>
    <row r="1205" spans="33:33" x14ac:dyDescent="0.25">
      <c r="AG1205">
        <v>1203</v>
      </c>
    </row>
    <row r="1206" spans="33:33" x14ac:dyDescent="0.25">
      <c r="AG1206">
        <v>1204</v>
      </c>
    </row>
    <row r="1207" spans="33:33" x14ac:dyDescent="0.25">
      <c r="AG1207">
        <v>1205</v>
      </c>
    </row>
    <row r="1208" spans="33:33" x14ac:dyDescent="0.25">
      <c r="AG1208">
        <v>1206</v>
      </c>
    </row>
    <row r="1209" spans="33:33" x14ac:dyDescent="0.25">
      <c r="AG1209">
        <v>1207</v>
      </c>
    </row>
    <row r="1210" spans="33:33" x14ac:dyDescent="0.25">
      <c r="AG1210">
        <v>1208</v>
      </c>
    </row>
    <row r="1211" spans="33:33" x14ac:dyDescent="0.25">
      <c r="AG1211">
        <v>1209</v>
      </c>
    </row>
    <row r="1212" spans="33:33" x14ac:dyDescent="0.25">
      <c r="AG1212">
        <v>1210</v>
      </c>
    </row>
    <row r="1213" spans="33:33" x14ac:dyDescent="0.25">
      <c r="AG1213">
        <v>1211</v>
      </c>
    </row>
    <row r="1214" spans="33:33" x14ac:dyDescent="0.25">
      <c r="AG1214">
        <v>1212</v>
      </c>
    </row>
    <row r="1215" spans="33:33" x14ac:dyDescent="0.25">
      <c r="AG1215">
        <v>1213</v>
      </c>
    </row>
    <row r="1216" spans="33:33" x14ac:dyDescent="0.25">
      <c r="AG1216">
        <v>1214</v>
      </c>
    </row>
    <row r="1217" spans="33:33" x14ac:dyDescent="0.25">
      <c r="AG1217">
        <v>1215</v>
      </c>
    </row>
    <row r="1218" spans="33:33" x14ac:dyDescent="0.25">
      <c r="AG1218">
        <v>1216</v>
      </c>
    </row>
    <row r="1219" spans="33:33" x14ac:dyDescent="0.25">
      <c r="AG1219">
        <v>1217</v>
      </c>
    </row>
    <row r="1220" spans="33:33" x14ac:dyDescent="0.25">
      <c r="AG1220">
        <v>1218</v>
      </c>
    </row>
    <row r="1221" spans="33:33" x14ac:dyDescent="0.25">
      <c r="AG1221">
        <v>1219</v>
      </c>
    </row>
    <row r="1222" spans="33:33" x14ac:dyDescent="0.25">
      <c r="AG1222">
        <v>1220</v>
      </c>
    </row>
    <row r="1223" spans="33:33" x14ac:dyDescent="0.25">
      <c r="AG1223">
        <v>1221</v>
      </c>
    </row>
    <row r="1224" spans="33:33" x14ac:dyDescent="0.25">
      <c r="AG1224">
        <v>1222</v>
      </c>
    </row>
    <row r="1225" spans="33:33" x14ac:dyDescent="0.25">
      <c r="AG1225">
        <v>1223</v>
      </c>
    </row>
    <row r="1226" spans="33:33" x14ac:dyDescent="0.25">
      <c r="AG1226">
        <v>1224</v>
      </c>
    </row>
    <row r="1227" spans="33:33" x14ac:dyDescent="0.25">
      <c r="AG1227">
        <v>1225</v>
      </c>
    </row>
    <row r="1228" spans="33:33" x14ac:dyDescent="0.25">
      <c r="AG1228">
        <v>1226</v>
      </c>
    </row>
    <row r="1229" spans="33:33" x14ac:dyDescent="0.25">
      <c r="AG1229">
        <v>1227</v>
      </c>
    </row>
    <row r="1230" spans="33:33" x14ac:dyDescent="0.25">
      <c r="AG1230">
        <v>1228</v>
      </c>
    </row>
    <row r="1231" spans="33:33" x14ac:dyDescent="0.25">
      <c r="AG1231">
        <v>1229</v>
      </c>
    </row>
    <row r="1232" spans="33:33" x14ac:dyDescent="0.25">
      <c r="AG1232">
        <v>1230</v>
      </c>
    </row>
    <row r="1233" spans="33:33" x14ac:dyDescent="0.25">
      <c r="AG1233">
        <v>1231</v>
      </c>
    </row>
    <row r="1234" spans="33:33" x14ac:dyDescent="0.25">
      <c r="AG1234">
        <v>1232</v>
      </c>
    </row>
    <row r="1235" spans="33:33" x14ac:dyDescent="0.25">
      <c r="AG1235">
        <v>1233</v>
      </c>
    </row>
    <row r="1236" spans="33:33" x14ac:dyDescent="0.25">
      <c r="AG1236">
        <v>1234</v>
      </c>
    </row>
    <row r="1237" spans="33:33" x14ac:dyDescent="0.25">
      <c r="AG1237">
        <v>1235</v>
      </c>
    </row>
    <row r="1238" spans="33:33" x14ac:dyDescent="0.25">
      <c r="AG1238">
        <v>1236</v>
      </c>
    </row>
    <row r="1239" spans="33:33" x14ac:dyDescent="0.25">
      <c r="AG1239">
        <v>1237</v>
      </c>
    </row>
    <row r="1240" spans="33:33" x14ac:dyDescent="0.25">
      <c r="AG1240">
        <v>1238</v>
      </c>
    </row>
    <row r="1241" spans="33:33" x14ac:dyDescent="0.25">
      <c r="AG1241">
        <v>1239</v>
      </c>
    </row>
    <row r="1242" spans="33:33" x14ac:dyDescent="0.25">
      <c r="AG1242">
        <v>1240</v>
      </c>
    </row>
    <row r="1243" spans="33:33" x14ac:dyDescent="0.25">
      <c r="AG1243">
        <v>1241</v>
      </c>
    </row>
    <row r="1244" spans="33:33" x14ac:dyDescent="0.25">
      <c r="AG1244">
        <v>1242</v>
      </c>
    </row>
    <row r="1245" spans="33:33" x14ac:dyDescent="0.25">
      <c r="AG1245">
        <v>1243</v>
      </c>
    </row>
    <row r="1246" spans="33:33" x14ac:dyDescent="0.25">
      <c r="AG1246">
        <v>1244</v>
      </c>
    </row>
    <row r="1247" spans="33:33" x14ac:dyDescent="0.25">
      <c r="AG1247">
        <v>1245</v>
      </c>
    </row>
    <row r="1248" spans="33:33" x14ac:dyDescent="0.25">
      <c r="AG1248">
        <v>1246</v>
      </c>
    </row>
    <row r="1249" spans="33:33" x14ac:dyDescent="0.25">
      <c r="AG1249">
        <v>1247</v>
      </c>
    </row>
    <row r="1250" spans="33:33" x14ac:dyDescent="0.25">
      <c r="AG1250">
        <v>1248</v>
      </c>
    </row>
    <row r="1251" spans="33:33" x14ac:dyDescent="0.25">
      <c r="AG1251">
        <v>1249</v>
      </c>
    </row>
    <row r="1252" spans="33:33" x14ac:dyDescent="0.25">
      <c r="AG1252">
        <v>1250</v>
      </c>
    </row>
    <row r="1253" spans="33:33" x14ac:dyDescent="0.25">
      <c r="AG1253">
        <v>1251</v>
      </c>
    </row>
    <row r="1254" spans="33:33" x14ac:dyDescent="0.25">
      <c r="AG1254">
        <v>1252</v>
      </c>
    </row>
    <row r="1255" spans="33:33" x14ac:dyDescent="0.25">
      <c r="AG1255">
        <v>1253</v>
      </c>
    </row>
    <row r="1256" spans="33:33" x14ac:dyDescent="0.25">
      <c r="AG1256">
        <v>1254</v>
      </c>
    </row>
    <row r="1257" spans="33:33" x14ac:dyDescent="0.25">
      <c r="AG1257">
        <v>1255</v>
      </c>
    </row>
    <row r="1258" spans="33:33" x14ac:dyDescent="0.25">
      <c r="AG1258">
        <v>1256</v>
      </c>
    </row>
    <row r="1259" spans="33:33" x14ac:dyDescent="0.25">
      <c r="AG1259">
        <v>1257</v>
      </c>
    </row>
    <row r="1260" spans="33:33" x14ac:dyDescent="0.25">
      <c r="AG1260">
        <v>1258</v>
      </c>
    </row>
    <row r="1261" spans="33:33" x14ac:dyDescent="0.25">
      <c r="AG1261">
        <v>1259</v>
      </c>
    </row>
    <row r="1262" spans="33:33" x14ac:dyDescent="0.25">
      <c r="AG1262">
        <v>1260</v>
      </c>
    </row>
    <row r="1263" spans="33:33" x14ac:dyDescent="0.25">
      <c r="AG1263">
        <v>1261</v>
      </c>
    </row>
    <row r="1264" spans="33:33" x14ac:dyDescent="0.25">
      <c r="AG1264">
        <v>1262</v>
      </c>
    </row>
    <row r="1265" spans="33:33" x14ac:dyDescent="0.25">
      <c r="AG1265">
        <v>1263</v>
      </c>
    </row>
    <row r="1266" spans="33:33" x14ac:dyDescent="0.25">
      <c r="AG1266">
        <v>1264</v>
      </c>
    </row>
    <row r="1267" spans="33:33" x14ac:dyDescent="0.25">
      <c r="AG1267">
        <v>1265</v>
      </c>
    </row>
    <row r="1268" spans="33:33" x14ac:dyDescent="0.25">
      <c r="AG1268">
        <v>1266</v>
      </c>
    </row>
    <row r="1269" spans="33:33" x14ac:dyDescent="0.25">
      <c r="AG1269">
        <v>1267</v>
      </c>
    </row>
    <row r="1270" spans="33:33" x14ac:dyDescent="0.25">
      <c r="AG1270">
        <v>1268</v>
      </c>
    </row>
    <row r="1271" spans="33:33" x14ac:dyDescent="0.25">
      <c r="AG1271">
        <v>1269</v>
      </c>
    </row>
    <row r="1272" spans="33:33" x14ac:dyDescent="0.25">
      <c r="AG1272">
        <v>1270</v>
      </c>
    </row>
    <row r="1273" spans="33:33" x14ac:dyDescent="0.25">
      <c r="AG1273">
        <v>1271</v>
      </c>
    </row>
    <row r="1274" spans="33:33" x14ac:dyDescent="0.25">
      <c r="AG1274">
        <v>1272</v>
      </c>
    </row>
    <row r="1275" spans="33:33" x14ac:dyDescent="0.25">
      <c r="AG1275">
        <v>1273</v>
      </c>
    </row>
    <row r="1276" spans="33:33" x14ac:dyDescent="0.25">
      <c r="AG1276">
        <v>1274</v>
      </c>
    </row>
    <row r="1277" spans="33:33" x14ac:dyDescent="0.25">
      <c r="AG1277">
        <v>1275</v>
      </c>
    </row>
    <row r="1278" spans="33:33" x14ac:dyDescent="0.25">
      <c r="AG1278">
        <v>1276</v>
      </c>
    </row>
    <row r="1279" spans="33:33" x14ac:dyDescent="0.25">
      <c r="AG1279">
        <v>1277</v>
      </c>
    </row>
    <row r="1280" spans="33:33" x14ac:dyDescent="0.25">
      <c r="AG1280">
        <v>1278</v>
      </c>
    </row>
    <row r="1281" spans="33:33" x14ac:dyDescent="0.25">
      <c r="AG1281">
        <v>1279</v>
      </c>
    </row>
    <row r="1282" spans="33:33" x14ac:dyDescent="0.25">
      <c r="AG1282">
        <v>1280</v>
      </c>
    </row>
    <row r="1283" spans="33:33" x14ac:dyDescent="0.25">
      <c r="AG1283">
        <v>1281</v>
      </c>
    </row>
    <row r="1284" spans="33:33" x14ac:dyDescent="0.25">
      <c r="AG1284">
        <v>1282</v>
      </c>
    </row>
    <row r="1285" spans="33:33" x14ac:dyDescent="0.25">
      <c r="AG1285">
        <v>1283</v>
      </c>
    </row>
    <row r="1286" spans="33:33" x14ac:dyDescent="0.25">
      <c r="AG1286">
        <v>1284</v>
      </c>
    </row>
    <row r="1287" spans="33:33" x14ac:dyDescent="0.25">
      <c r="AG1287">
        <v>1285</v>
      </c>
    </row>
    <row r="1288" spans="33:33" x14ac:dyDescent="0.25">
      <c r="AG1288">
        <v>1286</v>
      </c>
    </row>
    <row r="1289" spans="33:33" x14ac:dyDescent="0.25">
      <c r="AG1289">
        <v>1287</v>
      </c>
    </row>
    <row r="1290" spans="33:33" x14ac:dyDescent="0.25">
      <c r="AG1290">
        <v>1288</v>
      </c>
    </row>
    <row r="1291" spans="33:33" x14ac:dyDescent="0.25">
      <c r="AG1291">
        <v>1289</v>
      </c>
    </row>
    <row r="1292" spans="33:33" x14ac:dyDescent="0.25">
      <c r="AG1292">
        <v>1290</v>
      </c>
    </row>
    <row r="1293" spans="33:33" x14ac:dyDescent="0.25">
      <c r="AG1293">
        <v>1291</v>
      </c>
    </row>
    <row r="1294" spans="33:33" x14ac:dyDescent="0.25">
      <c r="AG1294">
        <v>1292</v>
      </c>
    </row>
    <row r="1295" spans="33:33" x14ac:dyDescent="0.25">
      <c r="AG1295">
        <v>1293</v>
      </c>
    </row>
    <row r="1296" spans="33:33" x14ac:dyDescent="0.25">
      <c r="AG1296">
        <v>1294</v>
      </c>
    </row>
    <row r="1297" spans="33:33" x14ac:dyDescent="0.25">
      <c r="AG1297">
        <v>1295</v>
      </c>
    </row>
    <row r="1298" spans="33:33" x14ac:dyDescent="0.25">
      <c r="AG1298">
        <v>1296</v>
      </c>
    </row>
    <row r="1299" spans="33:33" x14ac:dyDescent="0.25">
      <c r="AG1299">
        <v>1297</v>
      </c>
    </row>
    <row r="1300" spans="33:33" x14ac:dyDescent="0.25">
      <c r="AG1300">
        <v>1298</v>
      </c>
    </row>
    <row r="1301" spans="33:33" x14ac:dyDescent="0.25">
      <c r="AG1301">
        <v>1299</v>
      </c>
    </row>
    <row r="1302" spans="33:33" x14ac:dyDescent="0.25">
      <c r="AG1302">
        <v>1300</v>
      </c>
    </row>
    <row r="1303" spans="33:33" x14ac:dyDescent="0.25">
      <c r="AG1303">
        <v>1301</v>
      </c>
    </row>
    <row r="1304" spans="33:33" x14ac:dyDescent="0.25">
      <c r="AG1304">
        <v>1302</v>
      </c>
    </row>
    <row r="1305" spans="33:33" x14ac:dyDescent="0.25">
      <c r="AG1305">
        <v>1303</v>
      </c>
    </row>
    <row r="1306" spans="33:33" x14ac:dyDescent="0.25">
      <c r="AG1306">
        <v>1304</v>
      </c>
    </row>
    <row r="1307" spans="33:33" x14ac:dyDescent="0.25">
      <c r="AG1307">
        <v>1305</v>
      </c>
    </row>
    <row r="1308" spans="33:33" x14ac:dyDescent="0.25">
      <c r="AG1308">
        <v>1306</v>
      </c>
    </row>
    <row r="1309" spans="33:33" x14ac:dyDescent="0.25">
      <c r="AG1309">
        <v>1307</v>
      </c>
    </row>
    <row r="1310" spans="33:33" x14ac:dyDescent="0.25">
      <c r="AG1310">
        <v>1308</v>
      </c>
    </row>
    <row r="1311" spans="33:33" x14ac:dyDescent="0.25">
      <c r="AG1311">
        <v>1309</v>
      </c>
    </row>
    <row r="1312" spans="33:33" x14ac:dyDescent="0.25">
      <c r="AG1312">
        <v>1310</v>
      </c>
    </row>
    <row r="1313" spans="33:33" x14ac:dyDescent="0.25">
      <c r="AG1313">
        <v>1311</v>
      </c>
    </row>
    <row r="1314" spans="33:33" x14ac:dyDescent="0.25">
      <c r="AG1314">
        <v>1312</v>
      </c>
    </row>
    <row r="1315" spans="33:33" x14ac:dyDescent="0.25">
      <c r="AG1315">
        <v>1313</v>
      </c>
    </row>
    <row r="1316" spans="33:33" x14ac:dyDescent="0.25">
      <c r="AG1316">
        <v>1314</v>
      </c>
    </row>
    <row r="1317" spans="33:33" x14ac:dyDescent="0.25">
      <c r="AG1317">
        <v>1315</v>
      </c>
    </row>
    <row r="1318" spans="33:33" x14ac:dyDescent="0.25">
      <c r="AG1318">
        <v>1316</v>
      </c>
    </row>
    <row r="1319" spans="33:33" x14ac:dyDescent="0.25">
      <c r="AG1319">
        <v>1317</v>
      </c>
    </row>
    <row r="1320" spans="33:33" x14ac:dyDescent="0.25">
      <c r="AG1320">
        <v>1318</v>
      </c>
    </row>
    <row r="1321" spans="33:33" x14ac:dyDescent="0.25">
      <c r="AG1321">
        <v>1319</v>
      </c>
    </row>
    <row r="1322" spans="33:33" x14ac:dyDescent="0.25">
      <c r="AG1322">
        <v>1320</v>
      </c>
    </row>
    <row r="1323" spans="33:33" x14ac:dyDescent="0.25">
      <c r="AG1323">
        <v>1321</v>
      </c>
    </row>
    <row r="1324" spans="33:33" x14ac:dyDescent="0.25">
      <c r="AG1324">
        <v>1322</v>
      </c>
    </row>
    <row r="1325" spans="33:33" x14ac:dyDescent="0.25">
      <c r="AG1325">
        <v>1323</v>
      </c>
    </row>
    <row r="1326" spans="33:33" x14ac:dyDescent="0.25">
      <c r="AG1326">
        <v>1324</v>
      </c>
    </row>
    <row r="1327" spans="33:33" x14ac:dyDescent="0.25">
      <c r="AG1327">
        <v>1325</v>
      </c>
    </row>
    <row r="1328" spans="33:33" x14ac:dyDescent="0.25">
      <c r="AG1328">
        <v>1326</v>
      </c>
    </row>
    <row r="1329" spans="33:33" x14ac:dyDescent="0.25">
      <c r="AG1329">
        <v>1327</v>
      </c>
    </row>
    <row r="1330" spans="33:33" x14ac:dyDescent="0.25">
      <c r="AG1330">
        <v>1328</v>
      </c>
    </row>
    <row r="1331" spans="33:33" x14ac:dyDescent="0.25">
      <c r="AG1331">
        <v>1329</v>
      </c>
    </row>
    <row r="1332" spans="33:33" x14ac:dyDescent="0.25">
      <c r="AG1332">
        <v>1330</v>
      </c>
    </row>
    <row r="1333" spans="33:33" x14ac:dyDescent="0.25">
      <c r="AG1333">
        <v>1331</v>
      </c>
    </row>
    <row r="1334" spans="33:33" x14ac:dyDescent="0.25">
      <c r="AG1334">
        <v>1332</v>
      </c>
    </row>
    <row r="1335" spans="33:33" x14ac:dyDescent="0.25">
      <c r="AG1335">
        <v>1333</v>
      </c>
    </row>
    <row r="1336" spans="33:33" x14ac:dyDescent="0.25">
      <c r="AG1336">
        <v>1334</v>
      </c>
    </row>
    <row r="1337" spans="33:33" x14ac:dyDescent="0.25">
      <c r="AG1337">
        <v>1335</v>
      </c>
    </row>
    <row r="1338" spans="33:33" x14ac:dyDescent="0.25">
      <c r="AG1338">
        <v>1336</v>
      </c>
    </row>
    <row r="1339" spans="33:33" x14ac:dyDescent="0.25">
      <c r="AG1339">
        <v>1337</v>
      </c>
    </row>
    <row r="1340" spans="33:33" x14ac:dyDescent="0.25">
      <c r="AG1340">
        <v>1338</v>
      </c>
    </row>
    <row r="1341" spans="33:33" x14ac:dyDescent="0.25">
      <c r="AG1341">
        <v>1339</v>
      </c>
    </row>
    <row r="1342" spans="33:33" x14ac:dyDescent="0.25">
      <c r="AG1342">
        <v>1340</v>
      </c>
    </row>
    <row r="1343" spans="33:33" x14ac:dyDescent="0.25">
      <c r="AG1343">
        <v>1341</v>
      </c>
    </row>
    <row r="1344" spans="33:33" x14ac:dyDescent="0.25">
      <c r="AG1344">
        <v>1342</v>
      </c>
    </row>
    <row r="1345" spans="33:33" x14ac:dyDescent="0.25">
      <c r="AG1345">
        <v>1343</v>
      </c>
    </row>
    <row r="1346" spans="33:33" x14ac:dyDescent="0.25">
      <c r="AG1346">
        <v>1344</v>
      </c>
    </row>
    <row r="1347" spans="33:33" x14ac:dyDescent="0.25">
      <c r="AG1347">
        <v>1345</v>
      </c>
    </row>
    <row r="1348" spans="33:33" x14ac:dyDescent="0.25">
      <c r="AG1348">
        <v>1346</v>
      </c>
    </row>
    <row r="1349" spans="33:33" x14ac:dyDescent="0.25">
      <c r="AG1349">
        <v>1347</v>
      </c>
    </row>
    <row r="1350" spans="33:33" x14ac:dyDescent="0.25">
      <c r="AG1350">
        <v>1348</v>
      </c>
    </row>
    <row r="1351" spans="33:33" x14ac:dyDescent="0.25">
      <c r="AG1351">
        <v>1349</v>
      </c>
    </row>
    <row r="1352" spans="33:33" x14ac:dyDescent="0.25">
      <c r="AG1352">
        <v>1350</v>
      </c>
    </row>
    <row r="1353" spans="33:33" x14ac:dyDescent="0.25">
      <c r="AG1353">
        <v>1351</v>
      </c>
    </row>
    <row r="1354" spans="33:33" x14ac:dyDescent="0.25">
      <c r="AG1354">
        <v>1352</v>
      </c>
    </row>
    <row r="1355" spans="33:33" x14ac:dyDescent="0.25">
      <c r="AG1355">
        <v>1353</v>
      </c>
    </row>
    <row r="1356" spans="33:33" x14ac:dyDescent="0.25">
      <c r="AG1356">
        <v>1354</v>
      </c>
    </row>
    <row r="1357" spans="33:33" x14ac:dyDescent="0.25">
      <c r="AG1357">
        <v>1355</v>
      </c>
    </row>
    <row r="1358" spans="33:33" x14ac:dyDescent="0.25">
      <c r="AG1358">
        <v>1356</v>
      </c>
    </row>
    <row r="1359" spans="33:33" x14ac:dyDescent="0.25">
      <c r="AG1359">
        <v>1357</v>
      </c>
    </row>
    <row r="1360" spans="33:33" x14ac:dyDescent="0.25">
      <c r="AG1360">
        <v>1358</v>
      </c>
    </row>
    <row r="1361" spans="33:33" x14ac:dyDescent="0.25">
      <c r="AG1361">
        <v>1359</v>
      </c>
    </row>
    <row r="1362" spans="33:33" x14ac:dyDescent="0.25">
      <c r="AG1362">
        <v>1360</v>
      </c>
    </row>
    <row r="1363" spans="33:33" x14ac:dyDescent="0.25">
      <c r="AG1363">
        <v>1361</v>
      </c>
    </row>
    <row r="1364" spans="33:33" x14ac:dyDescent="0.25">
      <c r="AG1364">
        <v>1362</v>
      </c>
    </row>
    <row r="1365" spans="33:33" x14ac:dyDescent="0.25">
      <c r="AG1365">
        <v>1363</v>
      </c>
    </row>
    <row r="1366" spans="33:33" x14ac:dyDescent="0.25">
      <c r="AG1366">
        <v>1364</v>
      </c>
    </row>
    <row r="1367" spans="33:33" x14ac:dyDescent="0.25">
      <c r="AG1367">
        <v>1365</v>
      </c>
    </row>
    <row r="1368" spans="33:33" x14ac:dyDescent="0.25">
      <c r="AG1368">
        <v>1366</v>
      </c>
    </row>
    <row r="1369" spans="33:33" x14ac:dyDescent="0.25">
      <c r="AG1369">
        <v>1367</v>
      </c>
    </row>
    <row r="1370" spans="33:33" x14ac:dyDescent="0.25">
      <c r="AG1370">
        <v>1368</v>
      </c>
    </row>
    <row r="1371" spans="33:33" x14ac:dyDescent="0.25">
      <c r="AG1371">
        <v>1369</v>
      </c>
    </row>
    <row r="1372" spans="33:33" x14ac:dyDescent="0.25">
      <c r="AG1372">
        <v>1370</v>
      </c>
    </row>
    <row r="1373" spans="33:33" x14ac:dyDescent="0.25">
      <c r="AG1373">
        <v>1371</v>
      </c>
    </row>
    <row r="1374" spans="33:33" x14ac:dyDescent="0.25">
      <c r="AG1374">
        <v>1372</v>
      </c>
    </row>
    <row r="1375" spans="33:33" x14ac:dyDescent="0.25">
      <c r="AG1375">
        <v>1373</v>
      </c>
    </row>
    <row r="1376" spans="33:33" x14ac:dyDescent="0.25">
      <c r="AG1376">
        <v>1374</v>
      </c>
    </row>
    <row r="1377" spans="33:33" x14ac:dyDescent="0.25">
      <c r="AG1377">
        <v>1375</v>
      </c>
    </row>
    <row r="1378" spans="33:33" x14ac:dyDescent="0.25">
      <c r="AG1378">
        <v>1376</v>
      </c>
    </row>
    <row r="1379" spans="33:33" x14ac:dyDescent="0.25">
      <c r="AG1379">
        <v>1377</v>
      </c>
    </row>
    <row r="1380" spans="33:33" x14ac:dyDescent="0.25">
      <c r="AG1380">
        <v>1378</v>
      </c>
    </row>
    <row r="1381" spans="33:33" x14ac:dyDescent="0.25">
      <c r="AG1381">
        <v>1379</v>
      </c>
    </row>
    <row r="1382" spans="33:33" x14ac:dyDescent="0.25">
      <c r="AG1382">
        <v>1380</v>
      </c>
    </row>
    <row r="1383" spans="33:33" x14ac:dyDescent="0.25">
      <c r="AG1383">
        <v>1381</v>
      </c>
    </row>
    <row r="1384" spans="33:33" x14ac:dyDescent="0.25">
      <c r="AG1384">
        <v>1382</v>
      </c>
    </row>
    <row r="1385" spans="33:33" x14ac:dyDescent="0.25">
      <c r="AG1385">
        <v>1383</v>
      </c>
    </row>
    <row r="1386" spans="33:33" x14ac:dyDescent="0.25">
      <c r="AG1386">
        <v>1384</v>
      </c>
    </row>
    <row r="1387" spans="33:33" x14ac:dyDescent="0.25">
      <c r="AG1387">
        <v>1385</v>
      </c>
    </row>
    <row r="1388" spans="33:33" x14ac:dyDescent="0.25">
      <c r="AG1388">
        <v>1386</v>
      </c>
    </row>
    <row r="1389" spans="33:33" x14ac:dyDescent="0.25">
      <c r="AG1389">
        <v>1387</v>
      </c>
    </row>
    <row r="1390" spans="33:33" x14ac:dyDescent="0.25">
      <c r="AG1390">
        <v>1388</v>
      </c>
    </row>
    <row r="1391" spans="33:33" x14ac:dyDescent="0.25">
      <c r="AG1391">
        <v>1389</v>
      </c>
    </row>
    <row r="1392" spans="33:33" x14ac:dyDescent="0.25">
      <c r="AG1392">
        <v>1390</v>
      </c>
    </row>
    <row r="1393" spans="33:33" x14ac:dyDescent="0.25">
      <c r="AG1393">
        <v>1391</v>
      </c>
    </row>
    <row r="1394" spans="33:33" x14ac:dyDescent="0.25">
      <c r="AG1394">
        <v>1392</v>
      </c>
    </row>
    <row r="1395" spans="33:33" x14ac:dyDescent="0.25">
      <c r="AG1395">
        <v>1393</v>
      </c>
    </row>
    <row r="1396" spans="33:33" x14ac:dyDescent="0.25">
      <c r="AG1396">
        <v>1394</v>
      </c>
    </row>
    <row r="1397" spans="33:33" x14ac:dyDescent="0.25">
      <c r="AG1397">
        <v>1395</v>
      </c>
    </row>
    <row r="1398" spans="33:33" x14ac:dyDescent="0.25">
      <c r="AG1398">
        <v>1396</v>
      </c>
    </row>
    <row r="1399" spans="33:33" x14ac:dyDescent="0.25">
      <c r="AG1399">
        <v>1397</v>
      </c>
    </row>
    <row r="1400" spans="33:33" x14ac:dyDescent="0.25">
      <c r="AG1400">
        <v>1398</v>
      </c>
    </row>
    <row r="1401" spans="33:33" x14ac:dyDescent="0.25">
      <c r="AG1401">
        <v>1399</v>
      </c>
    </row>
    <row r="1402" spans="33:33" x14ac:dyDescent="0.25">
      <c r="AG1402">
        <v>1400</v>
      </c>
    </row>
    <row r="1403" spans="33:33" x14ac:dyDescent="0.25">
      <c r="AG1403">
        <v>1401</v>
      </c>
    </row>
    <row r="1404" spans="33:33" x14ac:dyDescent="0.25">
      <c r="AG1404">
        <v>1402</v>
      </c>
    </row>
    <row r="1405" spans="33:33" x14ac:dyDescent="0.25">
      <c r="AG1405">
        <v>1403</v>
      </c>
    </row>
    <row r="1406" spans="33:33" x14ac:dyDescent="0.25">
      <c r="AG1406">
        <v>1404</v>
      </c>
    </row>
    <row r="1407" spans="33:33" x14ac:dyDescent="0.25">
      <c r="AG1407">
        <v>1405</v>
      </c>
    </row>
    <row r="1408" spans="33:33" x14ac:dyDescent="0.25">
      <c r="AG1408">
        <v>1406</v>
      </c>
    </row>
    <row r="1409" spans="33:33" x14ac:dyDescent="0.25">
      <c r="AG1409">
        <v>1407</v>
      </c>
    </row>
    <row r="1410" spans="33:33" x14ac:dyDescent="0.25">
      <c r="AG1410">
        <v>1408</v>
      </c>
    </row>
    <row r="1411" spans="33:33" x14ac:dyDescent="0.25">
      <c r="AG1411">
        <v>1409</v>
      </c>
    </row>
    <row r="1412" spans="33:33" x14ac:dyDescent="0.25">
      <c r="AG1412">
        <v>1410</v>
      </c>
    </row>
    <row r="1413" spans="33:33" x14ac:dyDescent="0.25">
      <c r="AG1413">
        <v>1411</v>
      </c>
    </row>
    <row r="1414" spans="33:33" x14ac:dyDescent="0.25">
      <c r="AG1414">
        <v>1412</v>
      </c>
    </row>
    <row r="1415" spans="33:33" x14ac:dyDescent="0.25">
      <c r="AG1415">
        <v>1413</v>
      </c>
    </row>
    <row r="1416" spans="33:33" x14ac:dyDescent="0.25">
      <c r="AG1416">
        <v>1414</v>
      </c>
    </row>
    <row r="1417" spans="33:33" x14ac:dyDescent="0.25">
      <c r="AG1417">
        <v>1415</v>
      </c>
    </row>
    <row r="1418" spans="33:33" x14ac:dyDescent="0.25">
      <c r="AG1418">
        <v>1416</v>
      </c>
    </row>
    <row r="1419" spans="33:33" x14ac:dyDescent="0.25">
      <c r="AG1419">
        <v>1417</v>
      </c>
    </row>
    <row r="1420" spans="33:33" x14ac:dyDescent="0.25">
      <c r="AG1420">
        <v>1418</v>
      </c>
    </row>
    <row r="1421" spans="33:33" x14ac:dyDescent="0.25">
      <c r="AG1421">
        <v>1419</v>
      </c>
    </row>
    <row r="1422" spans="33:33" x14ac:dyDescent="0.25">
      <c r="AG1422">
        <v>1420</v>
      </c>
    </row>
    <row r="1423" spans="33:33" x14ac:dyDescent="0.25">
      <c r="AG1423">
        <v>1421</v>
      </c>
    </row>
    <row r="1424" spans="33:33" x14ac:dyDescent="0.25">
      <c r="AG1424">
        <v>1422</v>
      </c>
    </row>
    <row r="1425" spans="33:33" x14ac:dyDescent="0.25">
      <c r="AG1425">
        <v>1423</v>
      </c>
    </row>
    <row r="1426" spans="33:33" x14ac:dyDescent="0.25">
      <c r="AG1426">
        <v>1424</v>
      </c>
    </row>
    <row r="1427" spans="33:33" x14ac:dyDescent="0.25">
      <c r="AG1427">
        <v>1425</v>
      </c>
    </row>
    <row r="1428" spans="33:33" x14ac:dyDescent="0.25">
      <c r="AG1428">
        <v>1426</v>
      </c>
    </row>
    <row r="1429" spans="33:33" x14ac:dyDescent="0.25">
      <c r="AG1429">
        <v>1427</v>
      </c>
    </row>
    <row r="1430" spans="33:33" x14ac:dyDescent="0.25">
      <c r="AG1430">
        <v>1428</v>
      </c>
    </row>
    <row r="1431" spans="33:33" x14ac:dyDescent="0.25">
      <c r="AG1431">
        <v>1429</v>
      </c>
    </row>
    <row r="1432" spans="33:33" x14ac:dyDescent="0.25">
      <c r="AG1432">
        <v>1430</v>
      </c>
    </row>
    <row r="1433" spans="33:33" x14ac:dyDescent="0.25">
      <c r="AG1433">
        <v>1431</v>
      </c>
    </row>
    <row r="1434" spans="33:33" x14ac:dyDescent="0.25">
      <c r="AG1434">
        <v>1432</v>
      </c>
    </row>
    <row r="1435" spans="33:33" x14ac:dyDescent="0.25">
      <c r="AG1435">
        <v>1433</v>
      </c>
    </row>
    <row r="1436" spans="33:33" x14ac:dyDescent="0.25">
      <c r="AG1436">
        <v>1434</v>
      </c>
    </row>
    <row r="1437" spans="33:33" x14ac:dyDescent="0.25">
      <c r="AG1437">
        <v>1435</v>
      </c>
    </row>
    <row r="1438" spans="33:33" x14ac:dyDescent="0.25">
      <c r="AG1438">
        <v>1436</v>
      </c>
    </row>
    <row r="1439" spans="33:33" x14ac:dyDescent="0.25">
      <c r="AG1439">
        <v>1437</v>
      </c>
    </row>
    <row r="1440" spans="33:33" x14ac:dyDescent="0.25">
      <c r="AG1440">
        <v>1438</v>
      </c>
    </row>
    <row r="1441" spans="33:33" x14ac:dyDescent="0.25">
      <c r="AG1441">
        <v>1439</v>
      </c>
    </row>
    <row r="1442" spans="33:33" x14ac:dyDescent="0.25">
      <c r="AG1442">
        <v>1440</v>
      </c>
    </row>
    <row r="1443" spans="33:33" x14ac:dyDescent="0.25">
      <c r="AG1443">
        <v>1441</v>
      </c>
    </row>
    <row r="1444" spans="33:33" x14ac:dyDescent="0.25">
      <c r="AG1444">
        <v>1442</v>
      </c>
    </row>
    <row r="1445" spans="33:33" x14ac:dyDescent="0.25">
      <c r="AG1445">
        <v>1443</v>
      </c>
    </row>
    <row r="1446" spans="33:33" x14ac:dyDescent="0.25">
      <c r="AG1446">
        <v>1444</v>
      </c>
    </row>
    <row r="1447" spans="33:33" x14ac:dyDescent="0.25">
      <c r="AG1447">
        <v>1445</v>
      </c>
    </row>
    <row r="1448" spans="33:33" x14ac:dyDescent="0.25">
      <c r="AG1448">
        <v>1446</v>
      </c>
    </row>
    <row r="1449" spans="33:33" x14ac:dyDescent="0.25">
      <c r="AG1449">
        <v>1447</v>
      </c>
    </row>
    <row r="1450" spans="33:33" x14ac:dyDescent="0.25">
      <c r="AG1450">
        <v>1448</v>
      </c>
    </row>
    <row r="1451" spans="33:33" x14ac:dyDescent="0.25">
      <c r="AG1451">
        <v>1449</v>
      </c>
    </row>
    <row r="1452" spans="33:33" x14ac:dyDescent="0.25">
      <c r="AG1452">
        <v>1450</v>
      </c>
    </row>
    <row r="1453" spans="33:33" x14ac:dyDescent="0.25">
      <c r="AG1453">
        <v>1451</v>
      </c>
    </row>
    <row r="1454" spans="33:33" x14ac:dyDescent="0.25">
      <c r="AG1454">
        <v>1452</v>
      </c>
    </row>
    <row r="1455" spans="33:33" x14ac:dyDescent="0.25">
      <c r="AG1455">
        <v>1453</v>
      </c>
    </row>
    <row r="1456" spans="33:33" x14ac:dyDescent="0.25">
      <c r="AG1456">
        <v>1454</v>
      </c>
    </row>
    <row r="1457" spans="33:33" x14ac:dyDescent="0.25">
      <c r="AG1457">
        <v>1455</v>
      </c>
    </row>
    <row r="1458" spans="33:33" x14ac:dyDescent="0.25">
      <c r="AG1458">
        <v>1456</v>
      </c>
    </row>
    <row r="1459" spans="33:33" x14ac:dyDescent="0.25">
      <c r="AG1459">
        <v>1457</v>
      </c>
    </row>
    <row r="1460" spans="33:33" x14ac:dyDescent="0.25">
      <c r="AG1460">
        <v>1458</v>
      </c>
    </row>
    <row r="1461" spans="33:33" x14ac:dyDescent="0.25">
      <c r="AG1461">
        <v>1459</v>
      </c>
    </row>
    <row r="1462" spans="33:33" x14ac:dyDescent="0.25">
      <c r="AG1462">
        <v>1460</v>
      </c>
    </row>
    <row r="1463" spans="33:33" x14ac:dyDescent="0.25">
      <c r="AG1463">
        <v>1461</v>
      </c>
    </row>
    <row r="1464" spans="33:33" x14ac:dyDescent="0.25">
      <c r="AG1464">
        <v>1462</v>
      </c>
    </row>
    <row r="1465" spans="33:33" x14ac:dyDescent="0.25">
      <c r="AG1465">
        <v>1463</v>
      </c>
    </row>
    <row r="1466" spans="33:33" x14ac:dyDescent="0.25">
      <c r="AG1466">
        <v>1464</v>
      </c>
    </row>
    <row r="1467" spans="33:33" x14ac:dyDescent="0.25">
      <c r="AG1467">
        <v>1465</v>
      </c>
    </row>
    <row r="1468" spans="33:33" x14ac:dyDescent="0.25">
      <c r="AG1468">
        <v>1466</v>
      </c>
    </row>
    <row r="1469" spans="33:33" x14ac:dyDescent="0.25">
      <c r="AG1469">
        <v>1467</v>
      </c>
    </row>
    <row r="1470" spans="33:33" x14ac:dyDescent="0.25">
      <c r="AG1470">
        <v>1468</v>
      </c>
    </row>
    <row r="1471" spans="33:33" x14ac:dyDescent="0.25">
      <c r="AG1471">
        <v>1469</v>
      </c>
    </row>
    <row r="1472" spans="33:33" x14ac:dyDescent="0.25">
      <c r="AG1472">
        <v>1470</v>
      </c>
    </row>
    <row r="1473" spans="33:33" x14ac:dyDescent="0.25">
      <c r="AG1473">
        <v>1471</v>
      </c>
    </row>
    <row r="1474" spans="33:33" x14ac:dyDescent="0.25">
      <c r="AG1474">
        <v>1472</v>
      </c>
    </row>
    <row r="1475" spans="33:33" x14ac:dyDescent="0.25">
      <c r="AG1475">
        <v>1473</v>
      </c>
    </row>
    <row r="1476" spans="33:33" x14ac:dyDescent="0.25">
      <c r="AG1476">
        <v>1474</v>
      </c>
    </row>
    <row r="1477" spans="33:33" x14ac:dyDescent="0.25">
      <c r="AG1477">
        <v>1475</v>
      </c>
    </row>
    <row r="1478" spans="33:33" x14ac:dyDescent="0.25">
      <c r="AG1478">
        <v>1476</v>
      </c>
    </row>
    <row r="1479" spans="33:33" x14ac:dyDescent="0.25">
      <c r="AG1479">
        <v>1477</v>
      </c>
    </row>
    <row r="1480" spans="33:33" x14ac:dyDescent="0.25">
      <c r="AG1480">
        <v>1478</v>
      </c>
    </row>
    <row r="1481" spans="33:33" x14ac:dyDescent="0.25">
      <c r="AG1481">
        <v>1479</v>
      </c>
    </row>
    <row r="1482" spans="33:33" x14ac:dyDescent="0.25">
      <c r="AG1482">
        <v>1480</v>
      </c>
    </row>
    <row r="1483" spans="33:33" x14ac:dyDescent="0.25">
      <c r="AG1483">
        <v>1481</v>
      </c>
    </row>
    <row r="1484" spans="33:33" x14ac:dyDescent="0.25">
      <c r="AG1484">
        <v>1482</v>
      </c>
    </row>
    <row r="1485" spans="33:33" x14ac:dyDescent="0.25">
      <c r="AG1485">
        <v>1483</v>
      </c>
    </row>
    <row r="1486" spans="33:33" x14ac:dyDescent="0.25">
      <c r="AG1486">
        <v>1484</v>
      </c>
    </row>
    <row r="1487" spans="33:33" x14ac:dyDescent="0.25">
      <c r="AG1487">
        <v>1485</v>
      </c>
    </row>
    <row r="1488" spans="33:33" x14ac:dyDescent="0.25">
      <c r="AG1488">
        <v>1486</v>
      </c>
    </row>
    <row r="1489" spans="33:33" x14ac:dyDescent="0.25">
      <c r="AG1489">
        <v>1487</v>
      </c>
    </row>
    <row r="1490" spans="33:33" x14ac:dyDescent="0.25">
      <c r="AG1490">
        <v>1488</v>
      </c>
    </row>
    <row r="1491" spans="33:33" x14ac:dyDescent="0.25">
      <c r="AG1491">
        <v>1489</v>
      </c>
    </row>
    <row r="1492" spans="33:33" x14ac:dyDescent="0.25">
      <c r="AG1492">
        <v>1490</v>
      </c>
    </row>
    <row r="1493" spans="33:33" x14ac:dyDescent="0.25">
      <c r="AG1493">
        <v>1491</v>
      </c>
    </row>
    <row r="1494" spans="33:33" x14ac:dyDescent="0.25">
      <c r="AG1494">
        <v>1492</v>
      </c>
    </row>
    <row r="1495" spans="33:33" x14ac:dyDescent="0.25">
      <c r="AG1495">
        <v>1493</v>
      </c>
    </row>
    <row r="1496" spans="33:33" x14ac:dyDescent="0.25">
      <c r="AG1496">
        <v>1494</v>
      </c>
    </row>
    <row r="1497" spans="33:33" x14ac:dyDescent="0.25">
      <c r="AG1497">
        <v>1495</v>
      </c>
    </row>
    <row r="1498" spans="33:33" x14ac:dyDescent="0.25">
      <c r="AG1498">
        <v>1496</v>
      </c>
    </row>
    <row r="1499" spans="33:33" x14ac:dyDescent="0.25">
      <c r="AG1499">
        <v>1497</v>
      </c>
    </row>
    <row r="1500" spans="33:33" x14ac:dyDescent="0.25">
      <c r="AG1500">
        <v>1498</v>
      </c>
    </row>
    <row r="1501" spans="33:33" x14ac:dyDescent="0.25">
      <c r="AG1501">
        <v>1499</v>
      </c>
    </row>
    <row r="1502" spans="33:33" x14ac:dyDescent="0.25">
      <c r="AG1502">
        <v>1500</v>
      </c>
    </row>
    <row r="1503" spans="33:33" x14ac:dyDescent="0.25">
      <c r="AG1503">
        <v>1501</v>
      </c>
    </row>
    <row r="1504" spans="33:33" x14ac:dyDescent="0.25">
      <c r="AG1504">
        <v>1502</v>
      </c>
    </row>
    <row r="1505" spans="33:33" x14ac:dyDescent="0.25">
      <c r="AG1505">
        <v>1503</v>
      </c>
    </row>
    <row r="1506" spans="33:33" x14ac:dyDescent="0.25">
      <c r="AG1506">
        <v>1504</v>
      </c>
    </row>
    <row r="1507" spans="33:33" x14ac:dyDescent="0.25">
      <c r="AG1507">
        <v>1505</v>
      </c>
    </row>
    <row r="1508" spans="33:33" x14ac:dyDescent="0.25">
      <c r="AG1508">
        <v>1506</v>
      </c>
    </row>
    <row r="1509" spans="33:33" x14ac:dyDescent="0.25">
      <c r="AG1509">
        <v>1507</v>
      </c>
    </row>
    <row r="1510" spans="33:33" x14ac:dyDescent="0.25">
      <c r="AG1510">
        <v>1508</v>
      </c>
    </row>
    <row r="1511" spans="33:33" x14ac:dyDescent="0.25">
      <c r="AG1511">
        <v>1509</v>
      </c>
    </row>
    <row r="1512" spans="33:33" x14ac:dyDescent="0.25">
      <c r="AG1512">
        <v>1510</v>
      </c>
    </row>
    <row r="1513" spans="33:33" x14ac:dyDescent="0.25">
      <c r="AG1513">
        <v>1511</v>
      </c>
    </row>
    <row r="1514" spans="33:33" x14ac:dyDescent="0.25">
      <c r="AG1514">
        <v>1512</v>
      </c>
    </row>
    <row r="1515" spans="33:33" x14ac:dyDescent="0.25">
      <c r="AG1515">
        <v>1513</v>
      </c>
    </row>
    <row r="1516" spans="33:33" x14ac:dyDescent="0.25">
      <c r="AG1516">
        <v>1514</v>
      </c>
    </row>
    <row r="1517" spans="33:33" x14ac:dyDescent="0.25">
      <c r="AG1517">
        <v>1515</v>
      </c>
    </row>
    <row r="1518" spans="33:33" x14ac:dyDescent="0.25">
      <c r="AG1518">
        <v>1516</v>
      </c>
    </row>
    <row r="1519" spans="33:33" x14ac:dyDescent="0.25">
      <c r="AG1519">
        <v>1517</v>
      </c>
    </row>
    <row r="1520" spans="33:33" x14ac:dyDescent="0.25">
      <c r="AG1520">
        <v>1518</v>
      </c>
    </row>
    <row r="1521" spans="33:33" x14ac:dyDescent="0.25">
      <c r="AG1521">
        <v>1519</v>
      </c>
    </row>
    <row r="1522" spans="33:33" x14ac:dyDescent="0.25">
      <c r="AG1522">
        <v>1520</v>
      </c>
    </row>
    <row r="1523" spans="33:33" x14ac:dyDescent="0.25">
      <c r="AG1523">
        <v>1521</v>
      </c>
    </row>
    <row r="1524" spans="33:33" x14ac:dyDescent="0.25">
      <c r="AG1524">
        <v>1522</v>
      </c>
    </row>
    <row r="1525" spans="33:33" x14ac:dyDescent="0.25">
      <c r="AG1525">
        <v>1523</v>
      </c>
    </row>
    <row r="1526" spans="33:33" x14ac:dyDescent="0.25">
      <c r="AG1526">
        <v>1524</v>
      </c>
    </row>
    <row r="1527" spans="33:33" x14ac:dyDescent="0.25">
      <c r="AG1527">
        <v>1525</v>
      </c>
    </row>
    <row r="1528" spans="33:33" x14ac:dyDescent="0.25">
      <c r="AG1528">
        <v>1526</v>
      </c>
    </row>
    <row r="1529" spans="33:33" x14ac:dyDescent="0.25">
      <c r="AG1529">
        <v>1527</v>
      </c>
    </row>
    <row r="1530" spans="33:33" x14ac:dyDescent="0.25">
      <c r="AG1530">
        <v>1528</v>
      </c>
    </row>
    <row r="1531" spans="33:33" x14ac:dyDescent="0.25">
      <c r="AG1531">
        <v>1529</v>
      </c>
    </row>
    <row r="1532" spans="33:33" x14ac:dyDescent="0.25">
      <c r="AG1532">
        <v>1530</v>
      </c>
    </row>
    <row r="1533" spans="33:33" x14ac:dyDescent="0.25">
      <c r="AG1533">
        <v>1531</v>
      </c>
    </row>
    <row r="1534" spans="33:33" x14ac:dyDescent="0.25">
      <c r="AG1534">
        <v>1532</v>
      </c>
    </row>
    <row r="1535" spans="33:33" x14ac:dyDescent="0.25">
      <c r="AG1535">
        <v>1533</v>
      </c>
    </row>
    <row r="1536" spans="33:33" x14ac:dyDescent="0.25">
      <c r="AG1536">
        <v>1534</v>
      </c>
    </row>
    <row r="1537" spans="33:33" x14ac:dyDescent="0.25">
      <c r="AG1537">
        <v>1535</v>
      </c>
    </row>
    <row r="1538" spans="33:33" x14ac:dyDescent="0.25">
      <c r="AG1538">
        <v>1536</v>
      </c>
    </row>
    <row r="1539" spans="33:33" x14ac:dyDescent="0.25">
      <c r="AG1539">
        <v>1537</v>
      </c>
    </row>
    <row r="1540" spans="33:33" x14ac:dyDescent="0.25">
      <c r="AG1540">
        <v>1538</v>
      </c>
    </row>
    <row r="1541" spans="33:33" x14ac:dyDescent="0.25">
      <c r="AG1541">
        <v>1539</v>
      </c>
    </row>
    <row r="1542" spans="33:33" x14ac:dyDescent="0.25">
      <c r="AG1542">
        <v>1540</v>
      </c>
    </row>
    <row r="1543" spans="33:33" x14ac:dyDescent="0.25">
      <c r="AG1543">
        <v>1541</v>
      </c>
    </row>
    <row r="1544" spans="33:33" x14ac:dyDescent="0.25">
      <c r="AG1544">
        <v>1542</v>
      </c>
    </row>
    <row r="1545" spans="33:33" x14ac:dyDescent="0.25">
      <c r="AG1545">
        <v>1543</v>
      </c>
    </row>
    <row r="1546" spans="33:33" x14ac:dyDescent="0.25">
      <c r="AG1546">
        <v>1544</v>
      </c>
    </row>
    <row r="1547" spans="33:33" x14ac:dyDescent="0.25">
      <c r="AG1547">
        <v>1545</v>
      </c>
    </row>
    <row r="1548" spans="33:33" x14ac:dyDescent="0.25">
      <c r="AG1548">
        <v>1546</v>
      </c>
    </row>
    <row r="1549" spans="33:33" x14ac:dyDescent="0.25">
      <c r="AG1549">
        <v>1547</v>
      </c>
    </row>
    <row r="1550" spans="33:33" x14ac:dyDescent="0.25">
      <c r="AG1550">
        <v>1548</v>
      </c>
    </row>
    <row r="1551" spans="33:33" x14ac:dyDescent="0.25">
      <c r="AG1551">
        <v>1549</v>
      </c>
    </row>
    <row r="1552" spans="33:33" x14ac:dyDescent="0.25">
      <c r="AG1552">
        <v>1550</v>
      </c>
    </row>
    <row r="1553" spans="33:33" x14ac:dyDescent="0.25">
      <c r="AG1553">
        <v>1551</v>
      </c>
    </row>
    <row r="1554" spans="33:33" x14ac:dyDescent="0.25">
      <c r="AG1554">
        <v>1552</v>
      </c>
    </row>
    <row r="1555" spans="33:33" x14ac:dyDescent="0.25">
      <c r="AG1555">
        <v>1553</v>
      </c>
    </row>
    <row r="1556" spans="33:33" x14ac:dyDescent="0.25">
      <c r="AG1556">
        <v>1554</v>
      </c>
    </row>
    <row r="1557" spans="33:33" x14ac:dyDescent="0.25">
      <c r="AG1557">
        <v>1555</v>
      </c>
    </row>
    <row r="1558" spans="33:33" x14ac:dyDescent="0.25">
      <c r="AG1558">
        <v>1556</v>
      </c>
    </row>
    <row r="1559" spans="33:33" x14ac:dyDescent="0.25">
      <c r="AG1559">
        <v>1557</v>
      </c>
    </row>
    <row r="1560" spans="33:33" x14ac:dyDescent="0.25">
      <c r="AG1560">
        <v>1558</v>
      </c>
    </row>
    <row r="1561" spans="33:33" x14ac:dyDescent="0.25">
      <c r="AG1561">
        <v>1559</v>
      </c>
    </row>
    <row r="1562" spans="33:33" x14ac:dyDescent="0.25">
      <c r="AG1562">
        <v>1560</v>
      </c>
    </row>
    <row r="1563" spans="33:33" x14ac:dyDescent="0.25">
      <c r="AG1563">
        <v>1561</v>
      </c>
    </row>
    <row r="1564" spans="33:33" x14ac:dyDescent="0.25">
      <c r="AG1564">
        <v>1562</v>
      </c>
    </row>
    <row r="1565" spans="33:33" x14ac:dyDescent="0.25">
      <c r="AG1565">
        <v>1563</v>
      </c>
    </row>
    <row r="1566" spans="33:33" x14ac:dyDescent="0.25">
      <c r="AG1566">
        <v>1564</v>
      </c>
    </row>
    <row r="1567" spans="33:33" x14ac:dyDescent="0.25">
      <c r="AG1567">
        <v>1565</v>
      </c>
    </row>
    <row r="1568" spans="33:33" x14ac:dyDescent="0.25">
      <c r="AG1568">
        <v>1566</v>
      </c>
    </row>
    <row r="1569" spans="33:33" x14ac:dyDescent="0.25">
      <c r="AG1569">
        <v>1567</v>
      </c>
    </row>
    <row r="1570" spans="33:33" x14ac:dyDescent="0.25">
      <c r="AG1570">
        <v>1568</v>
      </c>
    </row>
    <row r="1571" spans="33:33" x14ac:dyDescent="0.25">
      <c r="AG1571">
        <v>1569</v>
      </c>
    </row>
    <row r="1572" spans="33:33" x14ac:dyDescent="0.25">
      <c r="AG1572">
        <v>1570</v>
      </c>
    </row>
    <row r="1573" spans="33:33" x14ac:dyDescent="0.25">
      <c r="AG1573">
        <v>1571</v>
      </c>
    </row>
    <row r="1574" spans="33:33" x14ac:dyDescent="0.25">
      <c r="AG1574">
        <v>1572</v>
      </c>
    </row>
    <row r="1575" spans="33:33" x14ac:dyDescent="0.25">
      <c r="AG1575">
        <v>1573</v>
      </c>
    </row>
    <row r="1576" spans="33:33" x14ac:dyDescent="0.25">
      <c r="AG1576">
        <v>1574</v>
      </c>
    </row>
    <row r="1577" spans="33:33" x14ac:dyDescent="0.25">
      <c r="AG1577">
        <v>1575</v>
      </c>
    </row>
    <row r="1578" spans="33:33" x14ac:dyDescent="0.25">
      <c r="AG1578">
        <v>1576</v>
      </c>
    </row>
    <row r="1579" spans="33:33" x14ac:dyDescent="0.25">
      <c r="AG1579">
        <v>1577</v>
      </c>
    </row>
    <row r="1580" spans="33:33" x14ac:dyDescent="0.25">
      <c r="AG1580">
        <v>1578</v>
      </c>
    </row>
    <row r="1581" spans="33:33" x14ac:dyDescent="0.25">
      <c r="AG1581">
        <v>1579</v>
      </c>
    </row>
    <row r="1582" spans="33:33" x14ac:dyDescent="0.25">
      <c r="AG1582">
        <v>1580</v>
      </c>
    </row>
    <row r="1583" spans="33:33" x14ac:dyDescent="0.25">
      <c r="AG1583">
        <v>1581</v>
      </c>
    </row>
    <row r="1584" spans="33:33" x14ac:dyDescent="0.25">
      <c r="AG1584">
        <v>1582</v>
      </c>
    </row>
    <row r="1585" spans="33:33" x14ac:dyDescent="0.25">
      <c r="AG1585">
        <v>1583</v>
      </c>
    </row>
    <row r="1586" spans="33:33" x14ac:dyDescent="0.25">
      <c r="AG1586">
        <v>1584</v>
      </c>
    </row>
    <row r="1587" spans="33:33" x14ac:dyDescent="0.25">
      <c r="AG1587">
        <v>1585</v>
      </c>
    </row>
    <row r="1588" spans="33:33" x14ac:dyDescent="0.25">
      <c r="AG1588">
        <v>1586</v>
      </c>
    </row>
    <row r="1589" spans="33:33" x14ac:dyDescent="0.25">
      <c r="AG1589">
        <v>1587</v>
      </c>
    </row>
    <row r="1590" spans="33:33" x14ac:dyDescent="0.25">
      <c r="AG1590">
        <v>1588</v>
      </c>
    </row>
    <row r="1591" spans="33:33" x14ac:dyDescent="0.25">
      <c r="AG1591">
        <v>1589</v>
      </c>
    </row>
    <row r="1592" spans="33:33" x14ac:dyDescent="0.25">
      <c r="AG1592">
        <v>1590</v>
      </c>
    </row>
    <row r="1593" spans="33:33" x14ac:dyDescent="0.25">
      <c r="AG1593">
        <v>1591</v>
      </c>
    </row>
    <row r="1594" spans="33:33" x14ac:dyDescent="0.25">
      <c r="AG1594">
        <v>1592</v>
      </c>
    </row>
    <row r="1595" spans="33:33" x14ac:dyDescent="0.25">
      <c r="AG1595">
        <v>1593</v>
      </c>
    </row>
    <row r="1596" spans="33:33" x14ac:dyDescent="0.25">
      <c r="AG1596">
        <v>1594</v>
      </c>
    </row>
    <row r="1597" spans="33:33" x14ac:dyDescent="0.25">
      <c r="AG1597">
        <v>1595</v>
      </c>
    </row>
    <row r="1598" spans="33:33" x14ac:dyDescent="0.25">
      <c r="AG1598">
        <v>1596</v>
      </c>
    </row>
    <row r="1599" spans="33:33" x14ac:dyDescent="0.25">
      <c r="AG1599">
        <v>1597</v>
      </c>
    </row>
    <row r="1600" spans="33:33" x14ac:dyDescent="0.25">
      <c r="AG1600">
        <v>1598</v>
      </c>
    </row>
    <row r="1601" spans="33:33" x14ac:dyDescent="0.25">
      <c r="AG1601">
        <v>1599</v>
      </c>
    </row>
    <row r="1602" spans="33:33" x14ac:dyDescent="0.25">
      <c r="AG1602">
        <v>1600</v>
      </c>
    </row>
    <row r="1603" spans="33:33" x14ac:dyDescent="0.25">
      <c r="AG1603">
        <v>1601</v>
      </c>
    </row>
    <row r="1604" spans="33:33" x14ac:dyDescent="0.25">
      <c r="AG1604">
        <v>1602</v>
      </c>
    </row>
    <row r="1605" spans="33:33" x14ac:dyDescent="0.25">
      <c r="AG1605">
        <v>1603</v>
      </c>
    </row>
    <row r="1606" spans="33:33" x14ac:dyDescent="0.25">
      <c r="AG1606">
        <v>1604</v>
      </c>
    </row>
    <row r="1607" spans="33:33" x14ac:dyDescent="0.25">
      <c r="AG1607">
        <v>1605</v>
      </c>
    </row>
    <row r="1608" spans="33:33" x14ac:dyDescent="0.25">
      <c r="AG1608">
        <v>1606</v>
      </c>
    </row>
    <row r="1609" spans="33:33" x14ac:dyDescent="0.25">
      <c r="AG1609">
        <v>1607</v>
      </c>
    </row>
    <row r="1610" spans="33:33" x14ac:dyDescent="0.25">
      <c r="AG1610">
        <v>1608</v>
      </c>
    </row>
    <row r="1611" spans="33:33" x14ac:dyDescent="0.25">
      <c r="AG1611">
        <v>1609</v>
      </c>
    </row>
    <row r="1612" spans="33:33" x14ac:dyDescent="0.25">
      <c r="AG1612">
        <v>1610</v>
      </c>
    </row>
    <row r="1613" spans="33:33" x14ac:dyDescent="0.25">
      <c r="AG1613">
        <v>1611</v>
      </c>
    </row>
    <row r="1614" spans="33:33" x14ac:dyDescent="0.25">
      <c r="AG1614">
        <v>1612</v>
      </c>
    </row>
    <row r="1615" spans="33:33" x14ac:dyDescent="0.25">
      <c r="AG1615">
        <v>1613</v>
      </c>
    </row>
    <row r="1616" spans="33:33" x14ac:dyDescent="0.25">
      <c r="AG1616">
        <v>1614</v>
      </c>
    </row>
    <row r="1617" spans="33:33" x14ac:dyDescent="0.25">
      <c r="AG1617">
        <v>1615</v>
      </c>
    </row>
    <row r="1618" spans="33:33" x14ac:dyDescent="0.25">
      <c r="AG1618">
        <v>1616</v>
      </c>
    </row>
    <row r="1619" spans="33:33" x14ac:dyDescent="0.25">
      <c r="AG1619">
        <v>1617</v>
      </c>
    </row>
    <row r="1620" spans="33:33" x14ac:dyDescent="0.25">
      <c r="AG1620">
        <v>1618</v>
      </c>
    </row>
    <row r="1621" spans="33:33" x14ac:dyDescent="0.25">
      <c r="AG1621">
        <v>1619</v>
      </c>
    </row>
    <row r="1622" spans="33:33" x14ac:dyDescent="0.25">
      <c r="AG1622">
        <v>1620</v>
      </c>
    </row>
    <row r="1623" spans="33:33" x14ac:dyDescent="0.25">
      <c r="AG1623">
        <v>1621</v>
      </c>
    </row>
    <row r="1624" spans="33:33" x14ac:dyDescent="0.25">
      <c r="AG1624">
        <v>1622</v>
      </c>
    </row>
    <row r="1625" spans="33:33" x14ac:dyDescent="0.25">
      <c r="AG1625">
        <v>1623</v>
      </c>
    </row>
    <row r="1626" spans="33:33" x14ac:dyDescent="0.25">
      <c r="AG1626">
        <v>1624</v>
      </c>
    </row>
    <row r="1627" spans="33:33" x14ac:dyDescent="0.25">
      <c r="AG1627">
        <v>1625</v>
      </c>
    </row>
    <row r="1628" spans="33:33" x14ac:dyDescent="0.25">
      <c r="AG1628">
        <v>1626</v>
      </c>
    </row>
    <row r="1629" spans="33:33" x14ac:dyDescent="0.25">
      <c r="AG1629">
        <v>1627</v>
      </c>
    </row>
    <row r="1630" spans="33:33" x14ac:dyDescent="0.25">
      <c r="AG1630">
        <v>1628</v>
      </c>
    </row>
    <row r="1631" spans="33:33" x14ac:dyDescent="0.25">
      <c r="AG1631">
        <v>1629</v>
      </c>
    </row>
    <row r="1632" spans="33:33" x14ac:dyDescent="0.25">
      <c r="AG1632">
        <v>1630</v>
      </c>
    </row>
    <row r="1633" spans="33:33" x14ac:dyDescent="0.25">
      <c r="AG1633">
        <v>1631</v>
      </c>
    </row>
    <row r="1634" spans="33:33" x14ac:dyDescent="0.25">
      <c r="AG1634">
        <v>1632</v>
      </c>
    </row>
    <row r="1635" spans="33:33" x14ac:dyDescent="0.25">
      <c r="AG1635">
        <v>1633</v>
      </c>
    </row>
    <row r="1636" spans="33:33" x14ac:dyDescent="0.25">
      <c r="AG1636">
        <v>1634</v>
      </c>
    </row>
    <row r="1637" spans="33:33" x14ac:dyDescent="0.25">
      <c r="AG1637">
        <v>1635</v>
      </c>
    </row>
    <row r="1638" spans="33:33" x14ac:dyDescent="0.25">
      <c r="AG1638">
        <v>1636</v>
      </c>
    </row>
    <row r="1639" spans="33:33" x14ac:dyDescent="0.25">
      <c r="AG1639">
        <v>1637</v>
      </c>
    </row>
    <row r="1640" spans="33:33" x14ac:dyDescent="0.25">
      <c r="AG1640">
        <v>1638</v>
      </c>
    </row>
    <row r="1641" spans="33:33" x14ac:dyDescent="0.25">
      <c r="AG1641">
        <v>1639</v>
      </c>
    </row>
    <row r="1642" spans="33:33" x14ac:dyDescent="0.25">
      <c r="AG1642">
        <v>1640</v>
      </c>
    </row>
    <row r="1643" spans="33:33" x14ac:dyDescent="0.25">
      <c r="AG1643">
        <v>1641</v>
      </c>
    </row>
    <row r="1644" spans="33:33" x14ac:dyDescent="0.25">
      <c r="AG1644">
        <v>1642</v>
      </c>
    </row>
    <row r="1645" spans="33:33" x14ac:dyDescent="0.25">
      <c r="AG1645">
        <v>1643</v>
      </c>
    </row>
    <row r="1646" spans="33:33" x14ac:dyDescent="0.25">
      <c r="AG1646">
        <v>1644</v>
      </c>
    </row>
    <row r="1647" spans="33:33" x14ac:dyDescent="0.25">
      <c r="AG1647">
        <v>1645</v>
      </c>
    </row>
    <row r="1648" spans="33:33" x14ac:dyDescent="0.25">
      <c r="AG1648">
        <v>1646</v>
      </c>
    </row>
    <row r="1649" spans="33:33" x14ac:dyDescent="0.25">
      <c r="AG1649">
        <v>1647</v>
      </c>
    </row>
    <row r="1650" spans="33:33" x14ac:dyDescent="0.25">
      <c r="AG1650">
        <v>1648</v>
      </c>
    </row>
    <row r="1651" spans="33:33" x14ac:dyDescent="0.25">
      <c r="AG1651">
        <v>1649</v>
      </c>
    </row>
    <row r="1652" spans="33:33" x14ac:dyDescent="0.25">
      <c r="AG1652">
        <v>1650</v>
      </c>
    </row>
    <row r="1653" spans="33:33" x14ac:dyDescent="0.25">
      <c r="AG1653">
        <v>1651</v>
      </c>
    </row>
    <row r="1654" spans="33:33" x14ac:dyDescent="0.25">
      <c r="AG1654">
        <v>1652</v>
      </c>
    </row>
    <row r="1655" spans="33:33" x14ac:dyDescent="0.25">
      <c r="AG1655">
        <v>1653</v>
      </c>
    </row>
    <row r="1656" spans="33:33" x14ac:dyDescent="0.25">
      <c r="AG1656">
        <v>1654</v>
      </c>
    </row>
    <row r="1657" spans="33:33" x14ac:dyDescent="0.25">
      <c r="AG1657">
        <v>1655</v>
      </c>
    </row>
    <row r="1658" spans="33:33" x14ac:dyDescent="0.25">
      <c r="AG1658">
        <v>1656</v>
      </c>
    </row>
    <row r="1659" spans="33:33" x14ac:dyDescent="0.25">
      <c r="AG1659">
        <v>1657</v>
      </c>
    </row>
    <row r="1660" spans="33:33" x14ac:dyDescent="0.25">
      <c r="AG1660">
        <v>1658</v>
      </c>
    </row>
    <row r="1661" spans="33:33" x14ac:dyDescent="0.25">
      <c r="AG1661">
        <v>1659</v>
      </c>
    </row>
    <row r="1662" spans="33:33" x14ac:dyDescent="0.25">
      <c r="AG1662">
        <v>1660</v>
      </c>
    </row>
    <row r="1663" spans="33:33" x14ac:dyDescent="0.25">
      <c r="AG1663">
        <v>1661</v>
      </c>
    </row>
    <row r="1664" spans="33:33" x14ac:dyDescent="0.25">
      <c r="AG1664">
        <v>1662</v>
      </c>
    </row>
    <row r="1665" spans="33:33" x14ac:dyDescent="0.25">
      <c r="AG1665">
        <v>1663</v>
      </c>
    </row>
    <row r="1666" spans="33:33" x14ac:dyDescent="0.25">
      <c r="AG1666">
        <v>1664</v>
      </c>
    </row>
    <row r="1667" spans="33:33" x14ac:dyDescent="0.25">
      <c r="AG1667">
        <v>1665</v>
      </c>
    </row>
    <row r="1668" spans="33:33" x14ac:dyDescent="0.25">
      <c r="AG1668">
        <v>1666</v>
      </c>
    </row>
    <row r="1669" spans="33:33" x14ac:dyDescent="0.25">
      <c r="AG1669">
        <v>1667</v>
      </c>
    </row>
    <row r="1670" spans="33:33" x14ac:dyDescent="0.25">
      <c r="AG1670">
        <v>1668</v>
      </c>
    </row>
    <row r="1671" spans="33:33" x14ac:dyDescent="0.25">
      <c r="AG1671">
        <v>1669</v>
      </c>
    </row>
    <row r="1672" spans="33:33" x14ac:dyDescent="0.25">
      <c r="AG1672">
        <v>1670</v>
      </c>
    </row>
    <row r="1673" spans="33:33" x14ac:dyDescent="0.25">
      <c r="AG1673">
        <v>1671</v>
      </c>
    </row>
    <row r="1674" spans="33:33" x14ac:dyDescent="0.25">
      <c r="AG1674">
        <v>1672</v>
      </c>
    </row>
    <row r="1675" spans="33:33" x14ac:dyDescent="0.25">
      <c r="AG1675">
        <v>1673</v>
      </c>
    </row>
    <row r="1676" spans="33:33" x14ac:dyDescent="0.25">
      <c r="AG1676">
        <v>1674</v>
      </c>
    </row>
    <row r="1677" spans="33:33" x14ac:dyDescent="0.25">
      <c r="AG1677">
        <v>1675</v>
      </c>
    </row>
    <row r="1678" spans="33:33" x14ac:dyDescent="0.25">
      <c r="AG1678">
        <v>1676</v>
      </c>
    </row>
    <row r="1679" spans="33:33" x14ac:dyDescent="0.25">
      <c r="AG1679">
        <v>1677</v>
      </c>
    </row>
    <row r="1680" spans="33:33" x14ac:dyDescent="0.25">
      <c r="AG1680">
        <v>1678</v>
      </c>
    </row>
    <row r="1681" spans="33:33" x14ac:dyDescent="0.25">
      <c r="AG1681">
        <v>1679</v>
      </c>
    </row>
    <row r="1682" spans="33:33" x14ac:dyDescent="0.25">
      <c r="AG1682">
        <v>1680</v>
      </c>
    </row>
    <row r="1683" spans="33:33" x14ac:dyDescent="0.25">
      <c r="AG1683">
        <v>1681</v>
      </c>
    </row>
    <row r="1684" spans="33:33" x14ac:dyDescent="0.25">
      <c r="AG1684">
        <v>1682</v>
      </c>
    </row>
    <row r="1685" spans="33:33" x14ac:dyDescent="0.25">
      <c r="AG1685">
        <v>1683</v>
      </c>
    </row>
    <row r="1686" spans="33:33" x14ac:dyDescent="0.25">
      <c r="AG1686">
        <v>1684</v>
      </c>
    </row>
    <row r="1687" spans="33:33" x14ac:dyDescent="0.25">
      <c r="AG1687">
        <v>1685</v>
      </c>
    </row>
    <row r="1688" spans="33:33" x14ac:dyDescent="0.25">
      <c r="AG1688">
        <v>1686</v>
      </c>
    </row>
    <row r="1689" spans="33:33" x14ac:dyDescent="0.25">
      <c r="AG1689">
        <v>1687</v>
      </c>
    </row>
    <row r="1690" spans="33:33" x14ac:dyDescent="0.25">
      <c r="AG1690">
        <v>1688</v>
      </c>
    </row>
    <row r="1691" spans="33:33" x14ac:dyDescent="0.25">
      <c r="AG1691">
        <v>1689</v>
      </c>
    </row>
    <row r="1692" spans="33:33" x14ac:dyDescent="0.25">
      <c r="AG1692">
        <v>1690</v>
      </c>
    </row>
    <row r="1693" spans="33:33" x14ac:dyDescent="0.25">
      <c r="AG1693">
        <v>1691</v>
      </c>
    </row>
    <row r="1694" spans="33:33" x14ac:dyDescent="0.25">
      <c r="AG1694">
        <v>1692</v>
      </c>
    </row>
    <row r="1695" spans="33:33" x14ac:dyDescent="0.25">
      <c r="AG1695">
        <v>1693</v>
      </c>
    </row>
    <row r="1696" spans="33:33" x14ac:dyDescent="0.25">
      <c r="AG1696">
        <v>1694</v>
      </c>
    </row>
    <row r="1697" spans="33:33" x14ac:dyDescent="0.25">
      <c r="AG1697">
        <v>1695</v>
      </c>
    </row>
    <row r="1698" spans="33:33" x14ac:dyDescent="0.25">
      <c r="AG1698">
        <v>1696</v>
      </c>
    </row>
    <row r="1699" spans="33:33" x14ac:dyDescent="0.25">
      <c r="AG1699">
        <v>1697</v>
      </c>
    </row>
    <row r="1700" spans="33:33" x14ac:dyDescent="0.25">
      <c r="AG1700">
        <v>1698</v>
      </c>
    </row>
    <row r="1701" spans="33:33" x14ac:dyDescent="0.25">
      <c r="AG1701">
        <v>1699</v>
      </c>
    </row>
    <row r="1702" spans="33:33" x14ac:dyDescent="0.25">
      <c r="AG1702">
        <v>1700</v>
      </c>
    </row>
    <row r="1703" spans="33:33" x14ac:dyDescent="0.25">
      <c r="AG1703">
        <v>1701</v>
      </c>
    </row>
    <row r="1704" spans="33:33" x14ac:dyDescent="0.25">
      <c r="AG1704">
        <v>1702</v>
      </c>
    </row>
    <row r="1705" spans="33:33" x14ac:dyDescent="0.25">
      <c r="AG1705">
        <v>1703</v>
      </c>
    </row>
    <row r="1706" spans="33:33" x14ac:dyDescent="0.25">
      <c r="AG1706">
        <v>1704</v>
      </c>
    </row>
    <row r="1707" spans="33:33" x14ac:dyDescent="0.25">
      <c r="AG1707">
        <v>1705</v>
      </c>
    </row>
    <row r="1708" spans="33:33" x14ac:dyDescent="0.25">
      <c r="AG1708">
        <v>1706</v>
      </c>
    </row>
    <row r="1709" spans="33:33" x14ac:dyDescent="0.25">
      <c r="AG1709">
        <v>1707</v>
      </c>
    </row>
    <row r="1710" spans="33:33" x14ac:dyDescent="0.25">
      <c r="AG1710">
        <v>1708</v>
      </c>
    </row>
    <row r="1711" spans="33:33" x14ac:dyDescent="0.25">
      <c r="AG1711">
        <v>1709</v>
      </c>
    </row>
    <row r="1712" spans="33:33" x14ac:dyDescent="0.25">
      <c r="AG1712">
        <v>1710</v>
      </c>
    </row>
    <row r="1713" spans="33:33" x14ac:dyDescent="0.25">
      <c r="AG1713">
        <v>1711</v>
      </c>
    </row>
    <row r="1714" spans="33:33" x14ac:dyDescent="0.25">
      <c r="AG1714">
        <v>1712</v>
      </c>
    </row>
    <row r="1715" spans="33:33" x14ac:dyDescent="0.25">
      <c r="AG1715">
        <v>1713</v>
      </c>
    </row>
    <row r="1716" spans="33:33" x14ac:dyDescent="0.25">
      <c r="AG1716">
        <v>1714</v>
      </c>
    </row>
    <row r="1717" spans="33:33" x14ac:dyDescent="0.25">
      <c r="AG1717">
        <v>1715</v>
      </c>
    </row>
    <row r="1718" spans="33:33" x14ac:dyDescent="0.25">
      <c r="AG1718">
        <v>1716</v>
      </c>
    </row>
    <row r="1719" spans="33:33" x14ac:dyDescent="0.25">
      <c r="AG1719">
        <v>1717</v>
      </c>
    </row>
    <row r="1720" spans="33:33" x14ac:dyDescent="0.25">
      <c r="AG1720">
        <v>1718</v>
      </c>
    </row>
    <row r="1721" spans="33:33" x14ac:dyDescent="0.25">
      <c r="AG1721">
        <v>1719</v>
      </c>
    </row>
    <row r="1722" spans="33:33" x14ac:dyDescent="0.25">
      <c r="AG1722">
        <v>1720</v>
      </c>
    </row>
    <row r="1723" spans="33:33" x14ac:dyDescent="0.25">
      <c r="AG1723">
        <v>1721</v>
      </c>
    </row>
    <row r="1724" spans="33:33" x14ac:dyDescent="0.25">
      <c r="AG1724">
        <v>1722</v>
      </c>
    </row>
    <row r="1725" spans="33:33" x14ac:dyDescent="0.25">
      <c r="AG1725">
        <v>1723</v>
      </c>
    </row>
    <row r="1726" spans="33:33" x14ac:dyDescent="0.25">
      <c r="AG1726">
        <v>1724</v>
      </c>
    </row>
    <row r="1727" spans="33:33" x14ac:dyDescent="0.25">
      <c r="AG1727">
        <v>1725</v>
      </c>
    </row>
    <row r="1728" spans="33:33" x14ac:dyDescent="0.25">
      <c r="AG1728">
        <v>1726</v>
      </c>
    </row>
    <row r="1729" spans="33:33" x14ac:dyDescent="0.25">
      <c r="AG1729">
        <v>1727</v>
      </c>
    </row>
    <row r="1730" spans="33:33" x14ac:dyDescent="0.25">
      <c r="AG1730">
        <v>1728</v>
      </c>
    </row>
    <row r="1731" spans="33:33" x14ac:dyDescent="0.25">
      <c r="AG1731">
        <v>1729</v>
      </c>
    </row>
    <row r="1732" spans="33:33" x14ac:dyDescent="0.25">
      <c r="AG1732">
        <v>1730</v>
      </c>
    </row>
    <row r="1733" spans="33:33" x14ac:dyDescent="0.25">
      <c r="AG1733">
        <v>1731</v>
      </c>
    </row>
    <row r="1734" spans="33:33" x14ac:dyDescent="0.25">
      <c r="AG1734">
        <v>1732</v>
      </c>
    </row>
    <row r="1735" spans="33:33" x14ac:dyDescent="0.25">
      <c r="AG1735">
        <v>1733</v>
      </c>
    </row>
    <row r="1736" spans="33:33" x14ac:dyDescent="0.25">
      <c r="AG1736">
        <v>1734</v>
      </c>
    </row>
    <row r="1737" spans="33:33" x14ac:dyDescent="0.25">
      <c r="AG1737">
        <v>1735</v>
      </c>
    </row>
    <row r="1738" spans="33:33" x14ac:dyDescent="0.25">
      <c r="AG1738">
        <v>1736</v>
      </c>
    </row>
    <row r="1739" spans="33:33" x14ac:dyDescent="0.25">
      <c r="AG1739">
        <v>1737</v>
      </c>
    </row>
    <row r="1740" spans="33:33" x14ac:dyDescent="0.25">
      <c r="AG1740">
        <v>1738</v>
      </c>
    </row>
    <row r="1741" spans="33:33" x14ac:dyDescent="0.25">
      <c r="AG1741">
        <v>1739</v>
      </c>
    </row>
    <row r="1742" spans="33:33" x14ac:dyDescent="0.25">
      <c r="AG1742">
        <v>1740</v>
      </c>
    </row>
    <row r="1743" spans="33:33" x14ac:dyDescent="0.25">
      <c r="AG1743">
        <v>1741</v>
      </c>
    </row>
    <row r="1744" spans="33:33" x14ac:dyDescent="0.25">
      <c r="AG1744">
        <v>1742</v>
      </c>
    </row>
    <row r="1745" spans="33:33" x14ac:dyDescent="0.25">
      <c r="AG1745">
        <v>1743</v>
      </c>
    </row>
    <row r="1746" spans="33:33" x14ac:dyDescent="0.25">
      <c r="AG1746">
        <v>1744</v>
      </c>
    </row>
    <row r="1747" spans="33:33" x14ac:dyDescent="0.25">
      <c r="AG1747">
        <v>1745</v>
      </c>
    </row>
    <row r="1748" spans="33:33" x14ac:dyDescent="0.25">
      <c r="AG1748">
        <v>1746</v>
      </c>
    </row>
    <row r="1749" spans="33:33" x14ac:dyDescent="0.25">
      <c r="AG1749">
        <v>1747</v>
      </c>
    </row>
    <row r="1750" spans="33:33" x14ac:dyDescent="0.25">
      <c r="AG1750">
        <v>1748</v>
      </c>
    </row>
    <row r="1751" spans="33:33" x14ac:dyDescent="0.25">
      <c r="AG1751">
        <v>1749</v>
      </c>
    </row>
    <row r="1752" spans="33:33" x14ac:dyDescent="0.25">
      <c r="AG1752">
        <v>1750</v>
      </c>
    </row>
    <row r="1753" spans="33:33" x14ac:dyDescent="0.25">
      <c r="AG1753">
        <v>1751</v>
      </c>
    </row>
    <row r="1754" spans="33:33" x14ac:dyDescent="0.25">
      <c r="AG1754">
        <v>1752</v>
      </c>
    </row>
    <row r="1755" spans="33:33" x14ac:dyDescent="0.25">
      <c r="AG1755">
        <v>1753</v>
      </c>
    </row>
    <row r="1756" spans="33:33" x14ac:dyDescent="0.25">
      <c r="AG1756">
        <v>1754</v>
      </c>
    </row>
    <row r="1757" spans="33:33" x14ac:dyDescent="0.25">
      <c r="AG1757">
        <v>1755</v>
      </c>
    </row>
    <row r="1758" spans="33:33" x14ac:dyDescent="0.25">
      <c r="AG1758">
        <v>1756</v>
      </c>
    </row>
    <row r="1759" spans="33:33" x14ac:dyDescent="0.25">
      <c r="AG1759">
        <v>1757</v>
      </c>
    </row>
    <row r="1760" spans="33:33" x14ac:dyDescent="0.25">
      <c r="AG1760">
        <v>1758</v>
      </c>
    </row>
    <row r="1761" spans="33:33" x14ac:dyDescent="0.25">
      <c r="AG1761">
        <v>1759</v>
      </c>
    </row>
    <row r="1762" spans="33:33" x14ac:dyDescent="0.25">
      <c r="AG1762">
        <v>1760</v>
      </c>
    </row>
    <row r="1763" spans="33:33" x14ac:dyDescent="0.25">
      <c r="AG1763">
        <v>1761</v>
      </c>
    </row>
    <row r="1764" spans="33:33" x14ac:dyDescent="0.25">
      <c r="AG1764">
        <v>1762</v>
      </c>
    </row>
    <row r="1765" spans="33:33" x14ac:dyDescent="0.25">
      <c r="AG1765">
        <v>1763</v>
      </c>
    </row>
    <row r="1766" spans="33:33" x14ac:dyDescent="0.25">
      <c r="AG1766">
        <v>1764</v>
      </c>
    </row>
    <row r="1767" spans="33:33" x14ac:dyDescent="0.25">
      <c r="AG1767">
        <v>1765</v>
      </c>
    </row>
    <row r="1768" spans="33:33" x14ac:dyDescent="0.25">
      <c r="AG1768">
        <v>1766</v>
      </c>
    </row>
    <row r="1769" spans="33:33" x14ac:dyDescent="0.25">
      <c r="AG1769">
        <v>1767</v>
      </c>
    </row>
    <row r="1770" spans="33:33" x14ac:dyDescent="0.25">
      <c r="AG1770">
        <v>1768</v>
      </c>
    </row>
    <row r="1771" spans="33:33" x14ac:dyDescent="0.25">
      <c r="AG1771">
        <v>1769</v>
      </c>
    </row>
    <row r="1772" spans="33:33" x14ac:dyDescent="0.25">
      <c r="AG1772">
        <v>1770</v>
      </c>
    </row>
    <row r="1773" spans="33:33" x14ac:dyDescent="0.25">
      <c r="AG1773">
        <v>1771</v>
      </c>
    </row>
    <row r="1774" spans="33:33" x14ac:dyDescent="0.25">
      <c r="AG1774">
        <v>1772</v>
      </c>
    </row>
    <row r="1775" spans="33:33" x14ac:dyDescent="0.25">
      <c r="AG1775">
        <v>1773</v>
      </c>
    </row>
    <row r="1776" spans="33:33" x14ac:dyDescent="0.25">
      <c r="AG1776">
        <v>1774</v>
      </c>
    </row>
    <row r="1777" spans="33:33" x14ac:dyDescent="0.25">
      <c r="AG1777">
        <v>1775</v>
      </c>
    </row>
    <row r="1778" spans="33:33" x14ac:dyDescent="0.25">
      <c r="AG1778">
        <v>1776</v>
      </c>
    </row>
    <row r="1779" spans="33:33" x14ac:dyDescent="0.25">
      <c r="AG1779">
        <v>1777</v>
      </c>
    </row>
    <row r="1780" spans="33:33" x14ac:dyDescent="0.25">
      <c r="AG1780">
        <v>1778</v>
      </c>
    </row>
    <row r="1781" spans="33:33" x14ac:dyDescent="0.25">
      <c r="AG1781">
        <v>1779</v>
      </c>
    </row>
    <row r="1782" spans="33:33" x14ac:dyDescent="0.25">
      <c r="AG1782">
        <v>1780</v>
      </c>
    </row>
    <row r="1783" spans="33:33" x14ac:dyDescent="0.25">
      <c r="AG1783">
        <v>1781</v>
      </c>
    </row>
    <row r="1784" spans="33:33" x14ac:dyDescent="0.25">
      <c r="AG1784">
        <v>1782</v>
      </c>
    </row>
    <row r="1785" spans="33:33" x14ac:dyDescent="0.25">
      <c r="AG1785">
        <v>1783</v>
      </c>
    </row>
    <row r="1786" spans="33:33" x14ac:dyDescent="0.25">
      <c r="AG1786">
        <v>1784</v>
      </c>
    </row>
    <row r="1787" spans="33:33" x14ac:dyDescent="0.25">
      <c r="AG1787">
        <v>1785</v>
      </c>
    </row>
    <row r="1788" spans="33:33" x14ac:dyDescent="0.25">
      <c r="AG1788">
        <v>1786</v>
      </c>
    </row>
    <row r="1789" spans="33:33" x14ac:dyDescent="0.25">
      <c r="AG1789">
        <v>1787</v>
      </c>
    </row>
    <row r="1790" spans="33:33" x14ac:dyDescent="0.25">
      <c r="AG1790">
        <v>1788</v>
      </c>
    </row>
    <row r="1791" spans="33:33" x14ac:dyDescent="0.25">
      <c r="AG1791">
        <v>1789</v>
      </c>
    </row>
    <row r="1792" spans="33:33" x14ac:dyDescent="0.25">
      <c r="AG1792">
        <v>1790</v>
      </c>
    </row>
    <row r="1793" spans="33:33" x14ac:dyDescent="0.25">
      <c r="AG1793">
        <v>1791</v>
      </c>
    </row>
    <row r="1794" spans="33:33" x14ac:dyDescent="0.25">
      <c r="AG1794">
        <v>1792</v>
      </c>
    </row>
    <row r="1795" spans="33:33" x14ac:dyDescent="0.25">
      <c r="AG1795">
        <v>1793</v>
      </c>
    </row>
    <row r="1796" spans="33:33" x14ac:dyDescent="0.25">
      <c r="AG1796">
        <v>1794</v>
      </c>
    </row>
    <row r="1797" spans="33:33" x14ac:dyDescent="0.25">
      <c r="AG1797">
        <v>1795</v>
      </c>
    </row>
    <row r="1798" spans="33:33" x14ac:dyDescent="0.25">
      <c r="AG1798">
        <v>1796</v>
      </c>
    </row>
    <row r="1799" spans="33:33" x14ac:dyDescent="0.25">
      <c r="AG1799">
        <v>1797</v>
      </c>
    </row>
    <row r="1800" spans="33:33" x14ac:dyDescent="0.25">
      <c r="AG1800">
        <v>1798</v>
      </c>
    </row>
    <row r="1801" spans="33:33" x14ac:dyDescent="0.25">
      <c r="AG1801">
        <v>1799</v>
      </c>
    </row>
    <row r="1802" spans="33:33" x14ac:dyDescent="0.25">
      <c r="AG1802">
        <v>1800</v>
      </c>
    </row>
    <row r="1803" spans="33:33" x14ac:dyDescent="0.25">
      <c r="AG1803">
        <v>1801</v>
      </c>
    </row>
    <row r="1804" spans="33:33" x14ac:dyDescent="0.25">
      <c r="AG1804">
        <v>1802</v>
      </c>
    </row>
    <row r="1805" spans="33:33" x14ac:dyDescent="0.25">
      <c r="AG1805">
        <v>1803</v>
      </c>
    </row>
    <row r="1806" spans="33:33" x14ac:dyDescent="0.25">
      <c r="AG1806">
        <v>1804</v>
      </c>
    </row>
    <row r="1807" spans="33:33" x14ac:dyDescent="0.25">
      <c r="AG1807">
        <v>1805</v>
      </c>
    </row>
    <row r="1808" spans="33:33" x14ac:dyDescent="0.25">
      <c r="AG1808">
        <v>1806</v>
      </c>
    </row>
    <row r="1809" spans="33:33" x14ac:dyDescent="0.25">
      <c r="AG1809">
        <v>1807</v>
      </c>
    </row>
    <row r="1810" spans="33:33" x14ac:dyDescent="0.25">
      <c r="AG1810">
        <v>1808</v>
      </c>
    </row>
    <row r="1811" spans="33:33" x14ac:dyDescent="0.25">
      <c r="AG1811">
        <v>1809</v>
      </c>
    </row>
    <row r="1812" spans="33:33" x14ac:dyDescent="0.25">
      <c r="AG1812">
        <v>1810</v>
      </c>
    </row>
    <row r="1813" spans="33:33" x14ac:dyDescent="0.25">
      <c r="AG1813">
        <v>1811</v>
      </c>
    </row>
    <row r="1814" spans="33:33" x14ac:dyDescent="0.25">
      <c r="AG1814">
        <v>1812</v>
      </c>
    </row>
    <row r="1815" spans="33:33" x14ac:dyDescent="0.25">
      <c r="AG1815">
        <v>1813</v>
      </c>
    </row>
    <row r="1816" spans="33:33" x14ac:dyDescent="0.25">
      <c r="AG1816">
        <v>1814</v>
      </c>
    </row>
    <row r="1817" spans="33:33" x14ac:dyDescent="0.25">
      <c r="AG1817">
        <v>1815</v>
      </c>
    </row>
    <row r="1818" spans="33:33" x14ac:dyDescent="0.25">
      <c r="AG1818">
        <v>1816</v>
      </c>
    </row>
    <row r="1819" spans="33:33" x14ac:dyDescent="0.25">
      <c r="AG1819">
        <v>1817</v>
      </c>
    </row>
    <row r="1820" spans="33:33" x14ac:dyDescent="0.25">
      <c r="AG1820">
        <v>1818</v>
      </c>
    </row>
    <row r="1821" spans="33:33" x14ac:dyDescent="0.25">
      <c r="AG1821">
        <v>1819</v>
      </c>
    </row>
    <row r="1822" spans="33:33" x14ac:dyDescent="0.25">
      <c r="AG1822">
        <v>1820</v>
      </c>
    </row>
    <row r="1823" spans="33:33" x14ac:dyDescent="0.25">
      <c r="AG1823">
        <v>1821</v>
      </c>
    </row>
    <row r="1824" spans="33:33" x14ac:dyDescent="0.25">
      <c r="AG1824">
        <v>1822</v>
      </c>
    </row>
    <row r="1825" spans="33:33" x14ac:dyDescent="0.25">
      <c r="AG1825">
        <v>1823</v>
      </c>
    </row>
    <row r="1826" spans="33:33" x14ac:dyDescent="0.25">
      <c r="AG1826">
        <v>1824</v>
      </c>
    </row>
    <row r="1827" spans="33:33" x14ac:dyDescent="0.25">
      <c r="AG1827">
        <v>1825</v>
      </c>
    </row>
    <row r="1828" spans="33:33" x14ac:dyDescent="0.25">
      <c r="AG1828">
        <v>1826</v>
      </c>
    </row>
    <row r="1829" spans="33:33" x14ac:dyDescent="0.25">
      <c r="AG1829">
        <v>1827</v>
      </c>
    </row>
    <row r="1830" spans="33:33" x14ac:dyDescent="0.25">
      <c r="AG1830">
        <v>1828</v>
      </c>
    </row>
    <row r="1831" spans="33:33" x14ac:dyDescent="0.25">
      <c r="AG1831">
        <v>1829</v>
      </c>
    </row>
    <row r="1832" spans="33:33" x14ac:dyDescent="0.25">
      <c r="AG1832">
        <v>1830</v>
      </c>
    </row>
    <row r="1833" spans="33:33" x14ac:dyDescent="0.25">
      <c r="AG1833">
        <v>1831</v>
      </c>
    </row>
    <row r="1834" spans="33:33" x14ac:dyDescent="0.25">
      <c r="AG1834">
        <v>1832</v>
      </c>
    </row>
    <row r="1835" spans="33:33" x14ac:dyDescent="0.25">
      <c r="AG1835">
        <v>1833</v>
      </c>
    </row>
    <row r="1836" spans="33:33" x14ac:dyDescent="0.25">
      <c r="AG1836">
        <v>1834</v>
      </c>
    </row>
    <row r="1837" spans="33:33" x14ac:dyDescent="0.25">
      <c r="AG1837">
        <v>1835</v>
      </c>
    </row>
    <row r="1838" spans="33:33" x14ac:dyDescent="0.25">
      <c r="AG1838">
        <v>1836</v>
      </c>
    </row>
    <row r="1839" spans="33:33" x14ac:dyDescent="0.25">
      <c r="AG1839">
        <v>1837</v>
      </c>
    </row>
    <row r="1840" spans="33:33" x14ac:dyDescent="0.25">
      <c r="AG1840">
        <v>1838</v>
      </c>
    </row>
    <row r="1841" spans="33:33" x14ac:dyDescent="0.25">
      <c r="AG1841">
        <v>1839</v>
      </c>
    </row>
    <row r="1842" spans="33:33" x14ac:dyDescent="0.25">
      <c r="AG1842">
        <v>1840</v>
      </c>
    </row>
    <row r="1843" spans="33:33" x14ac:dyDescent="0.25">
      <c r="AG1843">
        <v>1841</v>
      </c>
    </row>
    <row r="1844" spans="33:33" x14ac:dyDescent="0.25">
      <c r="AG1844">
        <v>1842</v>
      </c>
    </row>
    <row r="1845" spans="33:33" x14ac:dyDescent="0.25">
      <c r="AG1845">
        <v>1843</v>
      </c>
    </row>
    <row r="1846" spans="33:33" x14ac:dyDescent="0.25">
      <c r="AG1846">
        <v>1844</v>
      </c>
    </row>
    <row r="1847" spans="33:33" x14ac:dyDescent="0.25">
      <c r="AG1847">
        <v>1845</v>
      </c>
    </row>
    <row r="1848" spans="33:33" x14ac:dyDescent="0.25">
      <c r="AG1848">
        <v>1846</v>
      </c>
    </row>
    <row r="1849" spans="33:33" x14ac:dyDescent="0.25">
      <c r="AG1849">
        <v>1847</v>
      </c>
    </row>
    <row r="1850" spans="33:33" x14ac:dyDescent="0.25">
      <c r="AG1850">
        <v>1848</v>
      </c>
    </row>
    <row r="1851" spans="33:33" x14ac:dyDescent="0.25">
      <c r="AG1851">
        <v>1849</v>
      </c>
    </row>
    <row r="1852" spans="33:33" x14ac:dyDescent="0.25">
      <c r="AG1852">
        <v>1850</v>
      </c>
    </row>
    <row r="1853" spans="33:33" x14ac:dyDescent="0.25">
      <c r="AG1853">
        <v>1851</v>
      </c>
    </row>
    <row r="1854" spans="33:33" x14ac:dyDescent="0.25">
      <c r="AG1854">
        <v>1852</v>
      </c>
    </row>
    <row r="1855" spans="33:33" x14ac:dyDescent="0.25">
      <c r="AG1855">
        <v>1853</v>
      </c>
    </row>
    <row r="1856" spans="33:33" x14ac:dyDescent="0.25">
      <c r="AG1856">
        <v>1854</v>
      </c>
    </row>
    <row r="1857" spans="33:33" x14ac:dyDescent="0.25">
      <c r="AG1857">
        <v>1855</v>
      </c>
    </row>
    <row r="1858" spans="33:33" x14ac:dyDescent="0.25">
      <c r="AG1858">
        <v>1856</v>
      </c>
    </row>
    <row r="1859" spans="33:33" x14ac:dyDescent="0.25">
      <c r="AG1859">
        <v>1857</v>
      </c>
    </row>
    <row r="1860" spans="33:33" x14ac:dyDescent="0.25">
      <c r="AG1860">
        <v>1858</v>
      </c>
    </row>
    <row r="1861" spans="33:33" x14ac:dyDescent="0.25">
      <c r="AG1861">
        <v>1859</v>
      </c>
    </row>
    <row r="1862" spans="33:33" x14ac:dyDescent="0.25">
      <c r="AG1862">
        <v>1860</v>
      </c>
    </row>
    <row r="1863" spans="33:33" x14ac:dyDescent="0.25">
      <c r="AG1863">
        <v>1861</v>
      </c>
    </row>
    <row r="1864" spans="33:33" x14ac:dyDescent="0.25">
      <c r="AG1864">
        <v>1862</v>
      </c>
    </row>
    <row r="1865" spans="33:33" x14ac:dyDescent="0.25">
      <c r="AG1865">
        <v>1863</v>
      </c>
    </row>
    <row r="1866" spans="33:33" x14ac:dyDescent="0.25">
      <c r="AG1866">
        <v>1864</v>
      </c>
    </row>
    <row r="1867" spans="33:33" x14ac:dyDescent="0.25">
      <c r="AG1867">
        <v>1865</v>
      </c>
    </row>
    <row r="1868" spans="33:33" x14ac:dyDescent="0.25">
      <c r="AG1868">
        <v>1866</v>
      </c>
    </row>
    <row r="1869" spans="33:33" x14ac:dyDescent="0.25">
      <c r="AG1869">
        <v>1867</v>
      </c>
    </row>
    <row r="1870" spans="33:33" x14ac:dyDescent="0.25">
      <c r="AG1870">
        <v>1868</v>
      </c>
    </row>
    <row r="1871" spans="33:33" x14ac:dyDescent="0.25">
      <c r="AG1871">
        <v>1869</v>
      </c>
    </row>
    <row r="1872" spans="33:33" x14ac:dyDescent="0.25">
      <c r="AG1872">
        <v>1870</v>
      </c>
    </row>
    <row r="1873" spans="33:33" x14ac:dyDescent="0.25">
      <c r="AG1873">
        <v>1871</v>
      </c>
    </row>
    <row r="1874" spans="33:33" x14ac:dyDescent="0.25">
      <c r="AG1874">
        <v>1872</v>
      </c>
    </row>
    <row r="1875" spans="33:33" x14ac:dyDescent="0.25">
      <c r="AG1875">
        <v>1873</v>
      </c>
    </row>
    <row r="1876" spans="33:33" x14ac:dyDescent="0.25">
      <c r="AG1876">
        <v>1874</v>
      </c>
    </row>
    <row r="1877" spans="33:33" x14ac:dyDescent="0.25">
      <c r="AG1877">
        <v>1875</v>
      </c>
    </row>
    <row r="1878" spans="33:33" x14ac:dyDescent="0.25">
      <c r="AG1878">
        <v>1876</v>
      </c>
    </row>
    <row r="1879" spans="33:33" x14ac:dyDescent="0.25">
      <c r="AG1879">
        <v>1877</v>
      </c>
    </row>
    <row r="1880" spans="33:33" x14ac:dyDescent="0.25">
      <c r="AG1880">
        <v>1878</v>
      </c>
    </row>
    <row r="1881" spans="33:33" x14ac:dyDescent="0.25">
      <c r="AG1881">
        <v>1879</v>
      </c>
    </row>
    <row r="1882" spans="33:33" x14ac:dyDescent="0.25">
      <c r="AG1882">
        <v>1880</v>
      </c>
    </row>
    <row r="1883" spans="33:33" x14ac:dyDescent="0.25">
      <c r="AG1883">
        <v>1881</v>
      </c>
    </row>
    <row r="1884" spans="33:33" x14ac:dyDescent="0.25">
      <c r="AG1884">
        <v>1882</v>
      </c>
    </row>
    <row r="1885" spans="33:33" x14ac:dyDescent="0.25">
      <c r="AG1885">
        <v>1883</v>
      </c>
    </row>
    <row r="1886" spans="33:33" x14ac:dyDescent="0.25">
      <c r="AG1886">
        <v>1884</v>
      </c>
    </row>
    <row r="1887" spans="33:33" x14ac:dyDescent="0.25">
      <c r="AG1887">
        <v>1885</v>
      </c>
    </row>
    <row r="1888" spans="33:33" x14ac:dyDescent="0.25">
      <c r="AG1888">
        <v>1886</v>
      </c>
    </row>
    <row r="1889" spans="33:33" x14ac:dyDescent="0.25">
      <c r="AG1889">
        <v>1887</v>
      </c>
    </row>
    <row r="1890" spans="33:33" x14ac:dyDescent="0.25">
      <c r="AG1890">
        <v>1888</v>
      </c>
    </row>
    <row r="1891" spans="33:33" x14ac:dyDescent="0.25">
      <c r="AG1891">
        <v>1889</v>
      </c>
    </row>
    <row r="1892" spans="33:33" x14ac:dyDescent="0.25">
      <c r="AG1892">
        <v>1890</v>
      </c>
    </row>
    <row r="1893" spans="33:33" x14ac:dyDescent="0.25">
      <c r="AG1893">
        <v>1891</v>
      </c>
    </row>
    <row r="1894" spans="33:33" x14ac:dyDescent="0.25">
      <c r="AG1894">
        <v>1892</v>
      </c>
    </row>
    <row r="1895" spans="33:33" x14ac:dyDescent="0.25">
      <c r="AG1895">
        <v>1893</v>
      </c>
    </row>
    <row r="1896" spans="33:33" x14ac:dyDescent="0.25">
      <c r="AG1896">
        <v>1894</v>
      </c>
    </row>
    <row r="1897" spans="33:33" x14ac:dyDescent="0.25">
      <c r="AG1897">
        <v>1895</v>
      </c>
    </row>
    <row r="1898" spans="33:33" x14ac:dyDescent="0.25">
      <c r="AG1898">
        <v>1896</v>
      </c>
    </row>
    <row r="1899" spans="33:33" x14ac:dyDescent="0.25">
      <c r="AG1899">
        <v>1897</v>
      </c>
    </row>
    <row r="1900" spans="33:33" x14ac:dyDescent="0.25">
      <c r="AG1900">
        <v>1898</v>
      </c>
    </row>
    <row r="1901" spans="33:33" x14ac:dyDescent="0.25">
      <c r="AG1901">
        <v>1899</v>
      </c>
    </row>
    <row r="1902" spans="33:33" x14ac:dyDescent="0.25">
      <c r="AG1902">
        <v>1900</v>
      </c>
    </row>
    <row r="1903" spans="33:33" x14ac:dyDescent="0.25">
      <c r="AG1903">
        <v>1901</v>
      </c>
    </row>
    <row r="1904" spans="33:33" x14ac:dyDescent="0.25">
      <c r="AG1904">
        <v>1902</v>
      </c>
    </row>
    <row r="1905" spans="33:33" x14ac:dyDescent="0.25">
      <c r="AG1905">
        <v>1903</v>
      </c>
    </row>
    <row r="1906" spans="33:33" x14ac:dyDescent="0.25">
      <c r="AG1906">
        <v>1904</v>
      </c>
    </row>
    <row r="1907" spans="33:33" x14ac:dyDescent="0.25">
      <c r="AG1907">
        <v>1905</v>
      </c>
    </row>
    <row r="1908" spans="33:33" x14ac:dyDescent="0.25">
      <c r="AG1908">
        <v>1906</v>
      </c>
    </row>
    <row r="1909" spans="33:33" x14ac:dyDescent="0.25">
      <c r="AG1909">
        <v>1907</v>
      </c>
    </row>
    <row r="1910" spans="33:33" x14ac:dyDescent="0.25">
      <c r="AG1910">
        <v>1908</v>
      </c>
    </row>
    <row r="1911" spans="33:33" x14ac:dyDescent="0.25">
      <c r="AG1911">
        <v>1909</v>
      </c>
    </row>
    <row r="1912" spans="33:33" x14ac:dyDescent="0.25">
      <c r="AG1912">
        <v>1910</v>
      </c>
    </row>
    <row r="1913" spans="33:33" x14ac:dyDescent="0.25">
      <c r="AG1913">
        <v>1911</v>
      </c>
    </row>
    <row r="1914" spans="33:33" x14ac:dyDescent="0.25">
      <c r="AG1914">
        <v>1912</v>
      </c>
    </row>
    <row r="1915" spans="33:33" x14ac:dyDescent="0.25">
      <c r="AG1915">
        <v>1913</v>
      </c>
    </row>
    <row r="1916" spans="33:33" x14ac:dyDescent="0.25">
      <c r="AG1916">
        <v>1914</v>
      </c>
    </row>
    <row r="1917" spans="33:33" x14ac:dyDescent="0.25">
      <c r="AG1917">
        <v>1915</v>
      </c>
    </row>
    <row r="1918" spans="33:33" x14ac:dyDescent="0.25">
      <c r="AG1918">
        <v>1916</v>
      </c>
    </row>
    <row r="1919" spans="33:33" x14ac:dyDescent="0.25">
      <c r="AG1919">
        <v>1917</v>
      </c>
    </row>
    <row r="1920" spans="33:33" x14ac:dyDescent="0.25">
      <c r="AG1920">
        <v>1918</v>
      </c>
    </row>
    <row r="1921" spans="33:33" x14ac:dyDescent="0.25">
      <c r="AG1921">
        <v>1919</v>
      </c>
    </row>
    <row r="1922" spans="33:33" x14ac:dyDescent="0.25">
      <c r="AG1922">
        <v>1920</v>
      </c>
    </row>
    <row r="1923" spans="33:33" x14ac:dyDescent="0.25">
      <c r="AG1923">
        <v>1921</v>
      </c>
    </row>
    <row r="1924" spans="33:33" x14ac:dyDescent="0.25">
      <c r="AG1924">
        <v>1922</v>
      </c>
    </row>
    <row r="1925" spans="33:33" x14ac:dyDescent="0.25">
      <c r="AG1925">
        <v>1923</v>
      </c>
    </row>
    <row r="1926" spans="33:33" x14ac:dyDescent="0.25">
      <c r="AG1926">
        <v>1924</v>
      </c>
    </row>
    <row r="1927" spans="33:33" x14ac:dyDescent="0.25">
      <c r="AG1927">
        <v>1925</v>
      </c>
    </row>
    <row r="1928" spans="33:33" x14ac:dyDescent="0.25">
      <c r="AG1928">
        <v>1926</v>
      </c>
    </row>
    <row r="1929" spans="33:33" x14ac:dyDescent="0.25">
      <c r="AG1929">
        <v>1927</v>
      </c>
    </row>
    <row r="1930" spans="33:33" x14ac:dyDescent="0.25">
      <c r="AG1930">
        <v>1928</v>
      </c>
    </row>
    <row r="1931" spans="33:33" x14ac:dyDescent="0.25">
      <c r="AG1931">
        <v>1929</v>
      </c>
    </row>
    <row r="1932" spans="33:33" x14ac:dyDescent="0.25">
      <c r="AG1932">
        <v>1930</v>
      </c>
    </row>
    <row r="1933" spans="33:33" x14ac:dyDescent="0.25">
      <c r="AG1933">
        <v>1931</v>
      </c>
    </row>
    <row r="1934" spans="33:33" x14ac:dyDescent="0.25">
      <c r="AG1934">
        <v>1932</v>
      </c>
    </row>
    <row r="1935" spans="33:33" x14ac:dyDescent="0.25">
      <c r="AG1935">
        <v>1933</v>
      </c>
    </row>
    <row r="1936" spans="33:33" x14ac:dyDescent="0.25">
      <c r="AG1936">
        <v>1934</v>
      </c>
    </row>
    <row r="1937" spans="33:33" x14ac:dyDescent="0.25">
      <c r="AG1937">
        <v>1935</v>
      </c>
    </row>
    <row r="1938" spans="33:33" x14ac:dyDescent="0.25">
      <c r="AG1938">
        <v>1936</v>
      </c>
    </row>
    <row r="1939" spans="33:33" x14ac:dyDescent="0.25">
      <c r="AG1939">
        <v>1937</v>
      </c>
    </row>
    <row r="1940" spans="33:33" x14ac:dyDescent="0.25">
      <c r="AG1940">
        <v>1938</v>
      </c>
    </row>
    <row r="1941" spans="33:33" x14ac:dyDescent="0.25">
      <c r="AG1941">
        <v>1939</v>
      </c>
    </row>
    <row r="1942" spans="33:33" x14ac:dyDescent="0.25">
      <c r="AG1942">
        <v>1940</v>
      </c>
    </row>
    <row r="1943" spans="33:33" x14ac:dyDescent="0.25">
      <c r="AG1943">
        <v>1941</v>
      </c>
    </row>
    <row r="1944" spans="33:33" x14ac:dyDescent="0.25">
      <c r="AG1944">
        <v>1942</v>
      </c>
    </row>
    <row r="1945" spans="33:33" x14ac:dyDescent="0.25">
      <c r="AG1945">
        <v>1943</v>
      </c>
    </row>
    <row r="1946" spans="33:33" x14ac:dyDescent="0.25">
      <c r="AG1946">
        <v>1944</v>
      </c>
    </row>
    <row r="1947" spans="33:33" x14ac:dyDescent="0.25">
      <c r="AG1947">
        <v>1945</v>
      </c>
    </row>
    <row r="1948" spans="33:33" x14ac:dyDescent="0.25">
      <c r="AG1948">
        <v>1946</v>
      </c>
    </row>
    <row r="1949" spans="33:33" x14ac:dyDescent="0.25">
      <c r="AG1949">
        <v>1947</v>
      </c>
    </row>
    <row r="1950" spans="33:33" x14ac:dyDescent="0.25">
      <c r="AG1950">
        <v>1948</v>
      </c>
    </row>
    <row r="1951" spans="33:33" x14ac:dyDescent="0.25">
      <c r="AG1951">
        <v>1949</v>
      </c>
    </row>
    <row r="1952" spans="33:33" x14ac:dyDescent="0.25">
      <c r="AG1952">
        <v>1950</v>
      </c>
    </row>
    <row r="1953" spans="33:33" x14ac:dyDescent="0.25">
      <c r="AG1953">
        <v>1951</v>
      </c>
    </row>
    <row r="1954" spans="33:33" x14ac:dyDescent="0.25">
      <c r="AG1954">
        <v>1952</v>
      </c>
    </row>
    <row r="1955" spans="33:33" x14ac:dyDescent="0.25">
      <c r="AG1955">
        <v>1953</v>
      </c>
    </row>
    <row r="1956" spans="33:33" x14ac:dyDescent="0.25">
      <c r="AG1956">
        <v>1954</v>
      </c>
    </row>
    <row r="1957" spans="33:33" x14ac:dyDescent="0.25">
      <c r="AG1957">
        <v>1955</v>
      </c>
    </row>
    <row r="1958" spans="33:33" x14ac:dyDescent="0.25">
      <c r="AG1958">
        <v>1956</v>
      </c>
    </row>
    <row r="1959" spans="33:33" x14ac:dyDescent="0.25">
      <c r="AG1959">
        <v>1957</v>
      </c>
    </row>
    <row r="1960" spans="33:33" x14ac:dyDescent="0.25">
      <c r="AG1960">
        <v>1958</v>
      </c>
    </row>
    <row r="1961" spans="33:33" x14ac:dyDescent="0.25">
      <c r="AG1961">
        <v>1959</v>
      </c>
    </row>
    <row r="1962" spans="33:33" x14ac:dyDescent="0.25">
      <c r="AG1962">
        <v>1960</v>
      </c>
    </row>
    <row r="1963" spans="33:33" x14ac:dyDescent="0.25">
      <c r="AG1963">
        <v>1961</v>
      </c>
    </row>
    <row r="1964" spans="33:33" x14ac:dyDescent="0.25">
      <c r="AG1964">
        <v>1962</v>
      </c>
    </row>
    <row r="1965" spans="33:33" x14ac:dyDescent="0.25">
      <c r="AG1965">
        <v>1963</v>
      </c>
    </row>
    <row r="1966" spans="33:33" x14ac:dyDescent="0.25">
      <c r="AG1966">
        <v>1964</v>
      </c>
    </row>
    <row r="1967" spans="33:33" x14ac:dyDescent="0.25">
      <c r="AG1967">
        <v>1965</v>
      </c>
    </row>
    <row r="1968" spans="33:33" x14ac:dyDescent="0.25">
      <c r="AG1968">
        <v>1966</v>
      </c>
    </row>
    <row r="1969" spans="33:33" x14ac:dyDescent="0.25">
      <c r="AG1969">
        <v>1967</v>
      </c>
    </row>
    <row r="1970" spans="33:33" x14ac:dyDescent="0.25">
      <c r="AG1970">
        <v>1968</v>
      </c>
    </row>
    <row r="1971" spans="33:33" x14ac:dyDescent="0.25">
      <c r="AG1971">
        <v>1969</v>
      </c>
    </row>
    <row r="1972" spans="33:33" x14ac:dyDescent="0.25">
      <c r="AG1972">
        <v>1970</v>
      </c>
    </row>
    <row r="1973" spans="33:33" x14ac:dyDescent="0.25">
      <c r="AG1973">
        <v>1971</v>
      </c>
    </row>
    <row r="1974" spans="33:33" x14ac:dyDescent="0.25">
      <c r="AG1974">
        <v>1972</v>
      </c>
    </row>
    <row r="1975" spans="33:33" x14ac:dyDescent="0.25">
      <c r="AG1975">
        <v>1973</v>
      </c>
    </row>
    <row r="1976" spans="33:33" x14ac:dyDescent="0.25">
      <c r="AG1976">
        <v>1974</v>
      </c>
    </row>
    <row r="1977" spans="33:33" x14ac:dyDescent="0.25">
      <c r="AG1977">
        <v>1975</v>
      </c>
    </row>
    <row r="1978" spans="33:33" x14ac:dyDescent="0.25">
      <c r="AG1978">
        <v>1976</v>
      </c>
    </row>
    <row r="1979" spans="33:33" x14ac:dyDescent="0.25">
      <c r="AG1979">
        <v>1977</v>
      </c>
    </row>
    <row r="1980" spans="33:33" x14ac:dyDescent="0.25">
      <c r="AG1980">
        <v>1978</v>
      </c>
    </row>
    <row r="1981" spans="33:33" x14ac:dyDescent="0.25">
      <c r="AG1981">
        <v>1979</v>
      </c>
    </row>
    <row r="1982" spans="33:33" x14ac:dyDescent="0.25">
      <c r="AG1982">
        <v>1980</v>
      </c>
    </row>
    <row r="1983" spans="33:33" x14ac:dyDescent="0.25">
      <c r="AG1983">
        <v>1981</v>
      </c>
    </row>
    <row r="1984" spans="33:33" x14ac:dyDescent="0.25">
      <c r="AG1984">
        <v>1982</v>
      </c>
    </row>
    <row r="1985" spans="33:33" x14ac:dyDescent="0.25">
      <c r="AG1985">
        <v>1983</v>
      </c>
    </row>
    <row r="1986" spans="33:33" x14ac:dyDescent="0.25">
      <c r="AG1986">
        <v>1984</v>
      </c>
    </row>
    <row r="1987" spans="33:33" x14ac:dyDescent="0.25">
      <c r="AG1987">
        <v>1985</v>
      </c>
    </row>
    <row r="1988" spans="33:33" x14ac:dyDescent="0.25">
      <c r="AG1988">
        <v>1986</v>
      </c>
    </row>
    <row r="1989" spans="33:33" x14ac:dyDescent="0.25">
      <c r="AG1989">
        <v>1987</v>
      </c>
    </row>
    <row r="1990" spans="33:33" x14ac:dyDescent="0.25">
      <c r="AG1990">
        <v>1988</v>
      </c>
    </row>
    <row r="1991" spans="33:33" x14ac:dyDescent="0.25">
      <c r="AG1991">
        <v>1989</v>
      </c>
    </row>
    <row r="1992" spans="33:33" x14ac:dyDescent="0.25">
      <c r="AG1992">
        <v>1990</v>
      </c>
    </row>
    <row r="1993" spans="33:33" x14ac:dyDescent="0.25">
      <c r="AG1993">
        <v>1991</v>
      </c>
    </row>
    <row r="1994" spans="33:33" x14ac:dyDescent="0.25">
      <c r="AG1994">
        <v>1992</v>
      </c>
    </row>
    <row r="1995" spans="33:33" x14ac:dyDescent="0.25">
      <c r="AG1995">
        <v>1993</v>
      </c>
    </row>
    <row r="1996" spans="33:33" x14ac:dyDescent="0.25">
      <c r="AG1996">
        <v>1994</v>
      </c>
    </row>
    <row r="1997" spans="33:33" x14ac:dyDescent="0.25">
      <c r="AG1997">
        <v>1995</v>
      </c>
    </row>
    <row r="1998" spans="33:33" x14ac:dyDescent="0.25">
      <c r="AG1998">
        <v>1996</v>
      </c>
    </row>
    <row r="1999" spans="33:33" x14ac:dyDescent="0.25">
      <c r="AG1999">
        <v>1997</v>
      </c>
    </row>
    <row r="2000" spans="33:33" x14ac:dyDescent="0.25">
      <c r="AG2000">
        <v>1998</v>
      </c>
    </row>
    <row r="2001" spans="33:33" x14ac:dyDescent="0.25">
      <c r="AG2001">
        <v>1999</v>
      </c>
    </row>
    <row r="2002" spans="33:33" x14ac:dyDescent="0.25">
      <c r="AG2002">
        <v>2000</v>
      </c>
    </row>
    <row r="2003" spans="33:33" x14ac:dyDescent="0.25">
      <c r="AG2003">
        <v>2001</v>
      </c>
    </row>
    <row r="2004" spans="33:33" x14ac:dyDescent="0.25">
      <c r="AG2004">
        <v>2002</v>
      </c>
    </row>
    <row r="2005" spans="33:33" x14ac:dyDescent="0.25">
      <c r="AG2005">
        <v>2003</v>
      </c>
    </row>
    <row r="2006" spans="33:33" x14ac:dyDescent="0.25">
      <c r="AG2006">
        <v>2004</v>
      </c>
    </row>
    <row r="2007" spans="33:33" x14ac:dyDescent="0.25">
      <c r="AG2007">
        <v>2005</v>
      </c>
    </row>
    <row r="2008" spans="33:33" x14ac:dyDescent="0.25">
      <c r="AG2008">
        <v>2006</v>
      </c>
    </row>
    <row r="2009" spans="33:33" x14ac:dyDescent="0.25">
      <c r="AG2009">
        <v>2007</v>
      </c>
    </row>
    <row r="2010" spans="33:33" x14ac:dyDescent="0.25">
      <c r="AG2010">
        <v>2008</v>
      </c>
    </row>
    <row r="2011" spans="33:33" x14ac:dyDescent="0.25">
      <c r="AG2011">
        <v>2009</v>
      </c>
    </row>
    <row r="2012" spans="33:33" x14ac:dyDescent="0.25">
      <c r="AG2012">
        <v>2010</v>
      </c>
    </row>
    <row r="2013" spans="33:33" x14ac:dyDescent="0.25">
      <c r="AG2013">
        <v>2011</v>
      </c>
    </row>
    <row r="2014" spans="33:33" x14ac:dyDescent="0.25">
      <c r="AG2014">
        <v>2012</v>
      </c>
    </row>
    <row r="2015" spans="33:33" x14ac:dyDescent="0.25">
      <c r="AG2015">
        <v>2013</v>
      </c>
    </row>
    <row r="2016" spans="33:33" x14ac:dyDescent="0.25">
      <c r="AG2016">
        <v>2014</v>
      </c>
    </row>
    <row r="2017" spans="33:33" x14ac:dyDescent="0.25">
      <c r="AG2017">
        <v>2015</v>
      </c>
    </row>
    <row r="2018" spans="33:33" x14ac:dyDescent="0.25">
      <c r="AG2018">
        <v>2016</v>
      </c>
    </row>
    <row r="2019" spans="33:33" x14ac:dyDescent="0.25">
      <c r="AG2019">
        <v>2017</v>
      </c>
    </row>
    <row r="2020" spans="33:33" x14ac:dyDescent="0.25">
      <c r="AG2020">
        <v>2018</v>
      </c>
    </row>
    <row r="2021" spans="33:33" x14ac:dyDescent="0.25">
      <c r="AG2021">
        <v>2019</v>
      </c>
    </row>
    <row r="2022" spans="33:33" x14ac:dyDescent="0.25">
      <c r="AG2022">
        <v>2020</v>
      </c>
    </row>
    <row r="2023" spans="33:33" x14ac:dyDescent="0.25">
      <c r="AG2023">
        <v>2021</v>
      </c>
    </row>
    <row r="2024" spans="33:33" x14ac:dyDescent="0.25">
      <c r="AG2024">
        <v>2022</v>
      </c>
    </row>
    <row r="2025" spans="33:33" x14ac:dyDescent="0.25">
      <c r="AG2025">
        <v>2023</v>
      </c>
    </row>
    <row r="2026" spans="33:33" x14ac:dyDescent="0.25">
      <c r="AG2026">
        <v>2024</v>
      </c>
    </row>
    <row r="2027" spans="33:33" x14ac:dyDescent="0.25">
      <c r="AG2027">
        <v>2025</v>
      </c>
    </row>
    <row r="2028" spans="33:33" x14ac:dyDescent="0.25">
      <c r="AG2028">
        <v>2026</v>
      </c>
    </row>
    <row r="2029" spans="33:33" x14ac:dyDescent="0.25">
      <c r="AG2029">
        <v>2027</v>
      </c>
    </row>
    <row r="2030" spans="33:33" x14ac:dyDescent="0.25">
      <c r="AG2030">
        <v>2028</v>
      </c>
    </row>
    <row r="2031" spans="33:33" x14ac:dyDescent="0.25">
      <c r="AG2031">
        <v>2029</v>
      </c>
    </row>
    <row r="2032" spans="33:33" x14ac:dyDescent="0.25">
      <c r="AG2032">
        <v>2030</v>
      </c>
    </row>
    <row r="2033" spans="33:33" x14ac:dyDescent="0.25">
      <c r="AG2033">
        <v>2031</v>
      </c>
    </row>
    <row r="2034" spans="33:33" x14ac:dyDescent="0.25">
      <c r="AG2034">
        <v>2032</v>
      </c>
    </row>
    <row r="2035" spans="33:33" x14ac:dyDescent="0.25">
      <c r="AG2035">
        <v>2033</v>
      </c>
    </row>
    <row r="2036" spans="33:33" x14ac:dyDescent="0.25">
      <c r="AG2036">
        <v>2034</v>
      </c>
    </row>
    <row r="2037" spans="33:33" x14ac:dyDescent="0.25">
      <c r="AG2037">
        <v>2035</v>
      </c>
    </row>
    <row r="2038" spans="33:33" x14ac:dyDescent="0.25">
      <c r="AG2038">
        <v>2036</v>
      </c>
    </row>
    <row r="2039" spans="33:33" x14ac:dyDescent="0.25">
      <c r="AG2039">
        <v>2037</v>
      </c>
    </row>
    <row r="2040" spans="33:33" x14ac:dyDescent="0.25">
      <c r="AG2040">
        <v>2038</v>
      </c>
    </row>
    <row r="2041" spans="33:33" x14ac:dyDescent="0.25">
      <c r="AG2041">
        <v>2039</v>
      </c>
    </row>
    <row r="2042" spans="33:33" x14ac:dyDescent="0.25">
      <c r="AG2042">
        <v>2040</v>
      </c>
    </row>
    <row r="2043" spans="33:33" x14ac:dyDescent="0.25">
      <c r="AG2043">
        <v>2041</v>
      </c>
    </row>
    <row r="2044" spans="33:33" x14ac:dyDescent="0.25">
      <c r="AG2044">
        <v>2042</v>
      </c>
    </row>
    <row r="2045" spans="33:33" x14ac:dyDescent="0.25">
      <c r="AG2045">
        <v>2043</v>
      </c>
    </row>
    <row r="2046" spans="33:33" x14ac:dyDescent="0.25">
      <c r="AG2046">
        <v>2044</v>
      </c>
    </row>
    <row r="2047" spans="33:33" x14ac:dyDescent="0.25">
      <c r="AG2047">
        <v>2045</v>
      </c>
    </row>
    <row r="2048" spans="33:33" x14ac:dyDescent="0.25">
      <c r="AG2048">
        <v>2046</v>
      </c>
    </row>
    <row r="2049" spans="33:33" x14ac:dyDescent="0.25">
      <c r="AG2049">
        <v>2047</v>
      </c>
    </row>
    <row r="2050" spans="33:33" x14ac:dyDescent="0.25">
      <c r="AG2050">
        <v>2048</v>
      </c>
    </row>
    <row r="2051" spans="33:33" x14ac:dyDescent="0.25">
      <c r="AG2051">
        <v>2049</v>
      </c>
    </row>
    <row r="2052" spans="33:33" x14ac:dyDescent="0.25">
      <c r="AG2052">
        <v>2050</v>
      </c>
    </row>
    <row r="2053" spans="33:33" x14ac:dyDescent="0.25">
      <c r="AG2053">
        <v>2051</v>
      </c>
    </row>
    <row r="2054" spans="33:33" x14ac:dyDescent="0.25">
      <c r="AG2054">
        <v>2052</v>
      </c>
    </row>
    <row r="2055" spans="33:33" x14ac:dyDescent="0.25">
      <c r="AG2055">
        <v>2053</v>
      </c>
    </row>
    <row r="2056" spans="33:33" x14ac:dyDescent="0.25">
      <c r="AG2056">
        <v>2054</v>
      </c>
    </row>
    <row r="2057" spans="33:33" x14ac:dyDescent="0.25">
      <c r="AG2057">
        <v>2055</v>
      </c>
    </row>
    <row r="2058" spans="33:33" x14ac:dyDescent="0.25">
      <c r="AG2058">
        <v>2056</v>
      </c>
    </row>
    <row r="2059" spans="33:33" x14ac:dyDescent="0.25">
      <c r="AG2059">
        <v>2057</v>
      </c>
    </row>
    <row r="2060" spans="33:33" x14ac:dyDescent="0.25">
      <c r="AG2060">
        <v>2058</v>
      </c>
    </row>
    <row r="2061" spans="33:33" x14ac:dyDescent="0.25">
      <c r="AG2061">
        <v>2059</v>
      </c>
    </row>
    <row r="2062" spans="33:33" x14ac:dyDescent="0.25">
      <c r="AG2062">
        <v>2060</v>
      </c>
    </row>
    <row r="2063" spans="33:33" x14ac:dyDescent="0.25">
      <c r="AG2063">
        <v>2061</v>
      </c>
    </row>
    <row r="2064" spans="33:33" x14ac:dyDescent="0.25">
      <c r="AG2064">
        <v>2062</v>
      </c>
    </row>
    <row r="2065" spans="33:33" x14ac:dyDescent="0.25">
      <c r="AG2065">
        <v>2063</v>
      </c>
    </row>
    <row r="2066" spans="33:33" x14ac:dyDescent="0.25">
      <c r="AG2066">
        <v>2064</v>
      </c>
    </row>
    <row r="2067" spans="33:33" x14ac:dyDescent="0.25">
      <c r="AG2067">
        <v>2065</v>
      </c>
    </row>
    <row r="2068" spans="33:33" x14ac:dyDescent="0.25">
      <c r="AG2068">
        <v>2066</v>
      </c>
    </row>
    <row r="2069" spans="33:33" x14ac:dyDescent="0.25">
      <c r="AG2069">
        <v>2067</v>
      </c>
    </row>
    <row r="2070" spans="33:33" x14ac:dyDescent="0.25">
      <c r="AG2070">
        <v>2068</v>
      </c>
    </row>
    <row r="2071" spans="33:33" x14ac:dyDescent="0.25">
      <c r="AG2071">
        <v>2069</v>
      </c>
    </row>
    <row r="2072" spans="33:33" x14ac:dyDescent="0.25">
      <c r="AG2072">
        <v>2070</v>
      </c>
    </row>
    <row r="2073" spans="33:33" x14ac:dyDescent="0.25">
      <c r="AG2073">
        <v>2071</v>
      </c>
    </row>
    <row r="2074" spans="33:33" x14ac:dyDescent="0.25">
      <c r="AG2074">
        <v>2072</v>
      </c>
    </row>
    <row r="2075" spans="33:33" x14ac:dyDescent="0.25">
      <c r="AG2075">
        <v>2073</v>
      </c>
    </row>
    <row r="2076" spans="33:33" x14ac:dyDescent="0.25">
      <c r="AG2076">
        <v>2074</v>
      </c>
    </row>
    <row r="2077" spans="33:33" x14ac:dyDescent="0.25">
      <c r="AG2077">
        <v>2075</v>
      </c>
    </row>
    <row r="2078" spans="33:33" x14ac:dyDescent="0.25">
      <c r="AG2078">
        <v>2076</v>
      </c>
    </row>
    <row r="2079" spans="33:33" x14ac:dyDescent="0.25">
      <c r="AG2079">
        <v>2077</v>
      </c>
    </row>
    <row r="2080" spans="33:33" x14ac:dyDescent="0.25">
      <c r="AG2080">
        <v>2078</v>
      </c>
    </row>
    <row r="2081" spans="33:33" x14ac:dyDescent="0.25">
      <c r="AG2081">
        <v>2079</v>
      </c>
    </row>
    <row r="2082" spans="33:33" x14ac:dyDescent="0.25">
      <c r="AG2082">
        <v>2080</v>
      </c>
    </row>
    <row r="2083" spans="33:33" x14ac:dyDescent="0.25">
      <c r="AG2083">
        <v>2081</v>
      </c>
    </row>
    <row r="2084" spans="33:33" x14ac:dyDescent="0.25">
      <c r="AG2084">
        <v>2082</v>
      </c>
    </row>
    <row r="2085" spans="33:33" x14ac:dyDescent="0.25">
      <c r="AG2085">
        <v>2083</v>
      </c>
    </row>
    <row r="2086" spans="33:33" x14ac:dyDescent="0.25">
      <c r="AG2086">
        <v>2084</v>
      </c>
    </row>
    <row r="2087" spans="33:33" x14ac:dyDescent="0.25">
      <c r="AG2087">
        <v>2085</v>
      </c>
    </row>
    <row r="2088" spans="33:33" x14ac:dyDescent="0.25">
      <c r="AG2088">
        <v>2086</v>
      </c>
    </row>
    <row r="2089" spans="33:33" x14ac:dyDescent="0.25">
      <c r="AG2089">
        <v>2087</v>
      </c>
    </row>
    <row r="2090" spans="33:33" x14ac:dyDescent="0.25">
      <c r="AG2090">
        <v>2088</v>
      </c>
    </row>
    <row r="2091" spans="33:33" x14ac:dyDescent="0.25">
      <c r="AG2091">
        <v>2089</v>
      </c>
    </row>
    <row r="2092" spans="33:33" x14ac:dyDescent="0.25">
      <c r="AG2092">
        <v>2090</v>
      </c>
    </row>
    <row r="2093" spans="33:33" x14ac:dyDescent="0.25">
      <c r="AG2093">
        <v>2091</v>
      </c>
    </row>
    <row r="2094" spans="33:33" x14ac:dyDescent="0.25">
      <c r="AG2094">
        <v>2092</v>
      </c>
    </row>
    <row r="2095" spans="33:33" x14ac:dyDescent="0.25">
      <c r="AG2095">
        <v>2093</v>
      </c>
    </row>
    <row r="2096" spans="33:33" x14ac:dyDescent="0.25">
      <c r="AG2096">
        <v>2094</v>
      </c>
    </row>
    <row r="2097" spans="33:33" x14ac:dyDescent="0.25">
      <c r="AG2097">
        <v>2095</v>
      </c>
    </row>
    <row r="2098" spans="33:33" x14ac:dyDescent="0.25">
      <c r="AG2098">
        <v>2096</v>
      </c>
    </row>
    <row r="2099" spans="33:33" x14ac:dyDescent="0.25">
      <c r="AG2099">
        <v>2097</v>
      </c>
    </row>
    <row r="2100" spans="33:33" x14ac:dyDescent="0.25">
      <c r="AG2100">
        <v>2098</v>
      </c>
    </row>
    <row r="2101" spans="33:33" x14ac:dyDescent="0.25">
      <c r="AG2101">
        <v>2099</v>
      </c>
    </row>
    <row r="2102" spans="33:33" x14ac:dyDescent="0.25">
      <c r="AG2102">
        <v>2100</v>
      </c>
    </row>
    <row r="2103" spans="33:33" x14ac:dyDescent="0.25">
      <c r="AG2103">
        <v>2101</v>
      </c>
    </row>
    <row r="2104" spans="33:33" x14ac:dyDescent="0.25">
      <c r="AG2104">
        <v>2102</v>
      </c>
    </row>
    <row r="2105" spans="33:33" x14ac:dyDescent="0.25">
      <c r="AG2105">
        <v>2103</v>
      </c>
    </row>
    <row r="2106" spans="33:33" x14ac:dyDescent="0.25">
      <c r="AG2106">
        <v>2104</v>
      </c>
    </row>
    <row r="2107" spans="33:33" x14ac:dyDescent="0.25">
      <c r="AG2107">
        <v>2105</v>
      </c>
    </row>
    <row r="2108" spans="33:33" x14ac:dyDescent="0.25">
      <c r="AG2108">
        <v>2106</v>
      </c>
    </row>
    <row r="2109" spans="33:33" x14ac:dyDescent="0.25">
      <c r="AG2109">
        <v>2107</v>
      </c>
    </row>
    <row r="2110" spans="33:33" x14ac:dyDescent="0.25">
      <c r="AG2110">
        <v>2108</v>
      </c>
    </row>
    <row r="2111" spans="33:33" x14ac:dyDescent="0.25">
      <c r="AG2111">
        <v>2109</v>
      </c>
    </row>
    <row r="2112" spans="33:33" x14ac:dyDescent="0.25">
      <c r="AG2112">
        <v>2110</v>
      </c>
    </row>
    <row r="2113" spans="33:33" x14ac:dyDescent="0.25">
      <c r="AG2113">
        <v>2111</v>
      </c>
    </row>
    <row r="2114" spans="33:33" x14ac:dyDescent="0.25">
      <c r="AG2114">
        <v>2112</v>
      </c>
    </row>
    <row r="2115" spans="33:33" x14ac:dyDescent="0.25">
      <c r="AG2115">
        <v>2113</v>
      </c>
    </row>
    <row r="2116" spans="33:33" x14ac:dyDescent="0.25">
      <c r="AG2116">
        <v>2114</v>
      </c>
    </row>
    <row r="2117" spans="33:33" x14ac:dyDescent="0.25">
      <c r="AG2117">
        <v>2115</v>
      </c>
    </row>
    <row r="2118" spans="33:33" x14ac:dyDescent="0.25">
      <c r="AG2118">
        <v>2116</v>
      </c>
    </row>
    <row r="2119" spans="33:33" x14ac:dyDescent="0.25">
      <c r="AG2119">
        <v>2117</v>
      </c>
    </row>
    <row r="2120" spans="33:33" x14ac:dyDescent="0.25">
      <c r="AG2120">
        <v>2118</v>
      </c>
    </row>
    <row r="2121" spans="33:33" x14ac:dyDescent="0.25">
      <c r="AG2121">
        <v>2119</v>
      </c>
    </row>
    <row r="2122" spans="33:33" x14ac:dyDescent="0.25">
      <c r="AG2122">
        <v>2120</v>
      </c>
    </row>
    <row r="2123" spans="33:33" x14ac:dyDescent="0.25">
      <c r="AG2123">
        <v>2121</v>
      </c>
    </row>
    <row r="2124" spans="33:33" x14ac:dyDescent="0.25">
      <c r="AG2124">
        <v>2122</v>
      </c>
    </row>
    <row r="2125" spans="33:33" x14ac:dyDescent="0.25">
      <c r="AG2125">
        <v>2123</v>
      </c>
    </row>
    <row r="2126" spans="33:33" x14ac:dyDescent="0.25">
      <c r="AG2126">
        <v>2124</v>
      </c>
    </row>
    <row r="2127" spans="33:33" x14ac:dyDescent="0.25">
      <c r="AG2127">
        <v>2125</v>
      </c>
    </row>
    <row r="2128" spans="33:33" x14ac:dyDescent="0.25">
      <c r="AG2128">
        <v>2126</v>
      </c>
    </row>
    <row r="2129" spans="33:33" x14ac:dyDescent="0.25">
      <c r="AG2129">
        <v>2127</v>
      </c>
    </row>
    <row r="2130" spans="33:33" x14ac:dyDescent="0.25">
      <c r="AG2130">
        <v>2128</v>
      </c>
    </row>
    <row r="2131" spans="33:33" x14ac:dyDescent="0.25">
      <c r="AG2131">
        <v>2129</v>
      </c>
    </row>
    <row r="2132" spans="33:33" x14ac:dyDescent="0.25">
      <c r="AG2132">
        <v>2130</v>
      </c>
    </row>
    <row r="2133" spans="33:33" x14ac:dyDescent="0.25">
      <c r="AG2133">
        <v>2131</v>
      </c>
    </row>
    <row r="2134" spans="33:33" x14ac:dyDescent="0.25">
      <c r="AG2134">
        <v>2132</v>
      </c>
    </row>
    <row r="2135" spans="33:33" x14ac:dyDescent="0.25">
      <c r="AG2135">
        <v>2133</v>
      </c>
    </row>
    <row r="2136" spans="33:33" x14ac:dyDescent="0.25">
      <c r="AG2136">
        <v>2134</v>
      </c>
    </row>
    <row r="2137" spans="33:33" x14ac:dyDescent="0.25">
      <c r="AG2137">
        <v>2135</v>
      </c>
    </row>
    <row r="2138" spans="33:33" x14ac:dyDescent="0.25">
      <c r="AG2138">
        <v>2136</v>
      </c>
    </row>
    <row r="2139" spans="33:33" x14ac:dyDescent="0.25">
      <c r="AG2139">
        <v>2137</v>
      </c>
    </row>
    <row r="2140" spans="33:33" x14ac:dyDescent="0.25">
      <c r="AG2140">
        <v>2138</v>
      </c>
    </row>
    <row r="2141" spans="33:33" x14ac:dyDescent="0.25">
      <c r="AG2141">
        <v>2139</v>
      </c>
    </row>
    <row r="2142" spans="33:33" x14ac:dyDescent="0.25">
      <c r="AG2142">
        <v>2140</v>
      </c>
    </row>
    <row r="2143" spans="33:33" x14ac:dyDescent="0.25">
      <c r="AG2143">
        <v>2141</v>
      </c>
    </row>
    <row r="2144" spans="33:33" x14ac:dyDescent="0.25">
      <c r="AG2144">
        <v>2142</v>
      </c>
    </row>
    <row r="2145" spans="33:33" x14ac:dyDescent="0.25">
      <c r="AG2145">
        <v>2143</v>
      </c>
    </row>
    <row r="2146" spans="33:33" x14ac:dyDescent="0.25">
      <c r="AG2146">
        <v>2144</v>
      </c>
    </row>
    <row r="2147" spans="33:33" x14ac:dyDescent="0.25">
      <c r="AG2147">
        <v>2145</v>
      </c>
    </row>
    <row r="2148" spans="33:33" x14ac:dyDescent="0.25">
      <c r="AG2148">
        <v>2146</v>
      </c>
    </row>
    <row r="2149" spans="33:33" x14ac:dyDescent="0.25">
      <c r="AG2149">
        <v>2147</v>
      </c>
    </row>
    <row r="2150" spans="33:33" x14ac:dyDescent="0.25">
      <c r="AG2150">
        <v>2148</v>
      </c>
    </row>
    <row r="2151" spans="33:33" x14ac:dyDescent="0.25">
      <c r="AG2151">
        <v>2149</v>
      </c>
    </row>
    <row r="2152" spans="33:33" x14ac:dyDescent="0.25">
      <c r="AG2152">
        <v>2150</v>
      </c>
    </row>
    <row r="2153" spans="33:33" x14ac:dyDescent="0.25">
      <c r="AG2153">
        <v>2151</v>
      </c>
    </row>
    <row r="2154" spans="33:33" x14ac:dyDescent="0.25">
      <c r="AG2154">
        <v>2152</v>
      </c>
    </row>
    <row r="2155" spans="33:33" x14ac:dyDescent="0.25">
      <c r="AG2155">
        <v>2153</v>
      </c>
    </row>
    <row r="2156" spans="33:33" x14ac:dyDescent="0.25">
      <c r="AG2156">
        <v>2154</v>
      </c>
    </row>
    <row r="2157" spans="33:33" x14ac:dyDescent="0.25">
      <c r="AG2157">
        <v>2155</v>
      </c>
    </row>
    <row r="2158" spans="33:33" x14ac:dyDescent="0.25">
      <c r="AG2158">
        <v>2156</v>
      </c>
    </row>
    <row r="2159" spans="33:33" x14ac:dyDescent="0.25">
      <c r="AG2159">
        <v>2157</v>
      </c>
    </row>
    <row r="2160" spans="33:33" x14ac:dyDescent="0.25">
      <c r="AG2160">
        <v>2158</v>
      </c>
    </row>
    <row r="2161" spans="33:33" x14ac:dyDescent="0.25">
      <c r="AG2161">
        <v>2159</v>
      </c>
    </row>
    <row r="2162" spans="33:33" x14ac:dyDescent="0.25">
      <c r="AG2162">
        <v>2160</v>
      </c>
    </row>
    <row r="2163" spans="33:33" x14ac:dyDescent="0.25">
      <c r="AG2163">
        <v>2161</v>
      </c>
    </row>
    <row r="2164" spans="33:33" x14ac:dyDescent="0.25">
      <c r="AG2164">
        <v>2162</v>
      </c>
    </row>
    <row r="2165" spans="33:33" x14ac:dyDescent="0.25">
      <c r="AG2165">
        <v>2163</v>
      </c>
    </row>
    <row r="2166" spans="33:33" x14ac:dyDescent="0.25">
      <c r="AG2166">
        <v>2164</v>
      </c>
    </row>
    <row r="2167" spans="33:33" x14ac:dyDescent="0.25">
      <c r="AG2167">
        <v>2165</v>
      </c>
    </row>
    <row r="2168" spans="33:33" x14ac:dyDescent="0.25">
      <c r="AG2168">
        <v>2166</v>
      </c>
    </row>
    <row r="2169" spans="33:33" x14ac:dyDescent="0.25">
      <c r="AG2169">
        <v>2167</v>
      </c>
    </row>
    <row r="2170" spans="33:33" x14ac:dyDescent="0.25">
      <c r="AG2170">
        <v>2168</v>
      </c>
    </row>
    <row r="2171" spans="33:33" x14ac:dyDescent="0.25">
      <c r="AG2171">
        <v>2169</v>
      </c>
    </row>
    <row r="2172" spans="33:33" x14ac:dyDescent="0.25">
      <c r="AG2172">
        <v>2170</v>
      </c>
    </row>
    <row r="2173" spans="33:33" x14ac:dyDescent="0.25">
      <c r="AG2173">
        <v>2171</v>
      </c>
    </row>
    <row r="2174" spans="33:33" x14ac:dyDescent="0.25">
      <c r="AG2174">
        <v>2172</v>
      </c>
    </row>
    <row r="2175" spans="33:33" x14ac:dyDescent="0.25">
      <c r="AG2175">
        <v>2173</v>
      </c>
    </row>
    <row r="2176" spans="33:33" x14ac:dyDescent="0.25">
      <c r="AG2176">
        <v>2174</v>
      </c>
    </row>
    <row r="2177" spans="33:33" x14ac:dyDescent="0.25">
      <c r="AG2177">
        <v>2175</v>
      </c>
    </row>
    <row r="2178" spans="33:33" x14ac:dyDescent="0.25">
      <c r="AG2178">
        <v>2176</v>
      </c>
    </row>
    <row r="2179" spans="33:33" x14ac:dyDescent="0.25">
      <c r="AG2179">
        <v>2177</v>
      </c>
    </row>
    <row r="2180" spans="33:33" x14ac:dyDescent="0.25">
      <c r="AG2180">
        <v>2178</v>
      </c>
    </row>
    <row r="2181" spans="33:33" x14ac:dyDescent="0.25">
      <c r="AG2181">
        <v>2179</v>
      </c>
    </row>
    <row r="2182" spans="33:33" x14ac:dyDescent="0.25">
      <c r="AG2182">
        <v>2180</v>
      </c>
    </row>
    <row r="2183" spans="33:33" x14ac:dyDescent="0.25">
      <c r="AG2183">
        <v>2181</v>
      </c>
    </row>
    <row r="2184" spans="33:33" x14ac:dyDescent="0.25">
      <c r="AG2184">
        <v>2182</v>
      </c>
    </row>
    <row r="2185" spans="33:33" x14ac:dyDescent="0.25">
      <c r="AG2185">
        <v>2183</v>
      </c>
    </row>
    <row r="2186" spans="33:33" x14ac:dyDescent="0.25">
      <c r="AG2186">
        <v>2184</v>
      </c>
    </row>
    <row r="2187" spans="33:33" x14ac:dyDescent="0.25">
      <c r="AG2187">
        <v>2185</v>
      </c>
    </row>
    <row r="2188" spans="33:33" x14ac:dyDescent="0.25">
      <c r="AG2188">
        <v>2186</v>
      </c>
    </row>
    <row r="2189" spans="33:33" x14ac:dyDescent="0.25">
      <c r="AG2189">
        <v>2187</v>
      </c>
    </row>
    <row r="2190" spans="33:33" x14ac:dyDescent="0.25">
      <c r="AG2190">
        <v>2188</v>
      </c>
    </row>
    <row r="2191" spans="33:33" x14ac:dyDescent="0.25">
      <c r="AG2191">
        <v>2189</v>
      </c>
    </row>
    <row r="2192" spans="33:33" x14ac:dyDescent="0.25">
      <c r="AG2192">
        <v>2190</v>
      </c>
    </row>
    <row r="2193" spans="33:33" x14ac:dyDescent="0.25">
      <c r="AG2193">
        <v>2191</v>
      </c>
    </row>
    <row r="2194" spans="33:33" x14ac:dyDescent="0.25">
      <c r="AG2194">
        <v>2192</v>
      </c>
    </row>
    <row r="2195" spans="33:33" x14ac:dyDescent="0.25">
      <c r="AG2195">
        <v>2193</v>
      </c>
    </row>
    <row r="2196" spans="33:33" x14ac:dyDescent="0.25">
      <c r="AG2196">
        <v>2194</v>
      </c>
    </row>
    <row r="2197" spans="33:33" x14ac:dyDescent="0.25">
      <c r="AG2197">
        <v>2195</v>
      </c>
    </row>
    <row r="2198" spans="33:33" x14ac:dyDescent="0.25">
      <c r="AG2198">
        <v>2196</v>
      </c>
    </row>
    <row r="2199" spans="33:33" x14ac:dyDescent="0.25">
      <c r="AG2199">
        <v>2197</v>
      </c>
    </row>
    <row r="2200" spans="33:33" x14ac:dyDescent="0.25">
      <c r="AG2200">
        <v>2198</v>
      </c>
    </row>
    <row r="2201" spans="33:33" x14ac:dyDescent="0.25">
      <c r="AG2201">
        <v>2199</v>
      </c>
    </row>
    <row r="2202" spans="33:33" x14ac:dyDescent="0.25">
      <c r="AG2202">
        <v>2200</v>
      </c>
    </row>
    <row r="2203" spans="33:33" x14ac:dyDescent="0.25">
      <c r="AG2203">
        <v>2201</v>
      </c>
    </row>
    <row r="2204" spans="33:33" x14ac:dyDescent="0.25">
      <c r="AG2204">
        <v>2202</v>
      </c>
    </row>
    <row r="2205" spans="33:33" x14ac:dyDescent="0.25">
      <c r="AG2205">
        <v>2203</v>
      </c>
    </row>
    <row r="2206" spans="33:33" x14ac:dyDescent="0.25">
      <c r="AG2206">
        <v>2204</v>
      </c>
    </row>
    <row r="2207" spans="33:33" x14ac:dyDescent="0.25">
      <c r="AG2207">
        <v>2205</v>
      </c>
    </row>
    <row r="2208" spans="33:33" x14ac:dyDescent="0.25">
      <c r="AG2208">
        <v>2206</v>
      </c>
    </row>
    <row r="2209" spans="33:33" x14ac:dyDescent="0.25">
      <c r="AG2209">
        <v>2207</v>
      </c>
    </row>
    <row r="2210" spans="33:33" x14ac:dyDescent="0.25">
      <c r="AG2210">
        <v>2208</v>
      </c>
    </row>
    <row r="2211" spans="33:33" x14ac:dyDescent="0.25">
      <c r="AG2211">
        <v>2209</v>
      </c>
    </row>
    <row r="2212" spans="33:33" x14ac:dyDescent="0.25">
      <c r="AG2212">
        <v>2210</v>
      </c>
    </row>
    <row r="2213" spans="33:33" x14ac:dyDescent="0.25">
      <c r="AG2213">
        <v>2211</v>
      </c>
    </row>
    <row r="2214" spans="33:33" x14ac:dyDescent="0.25">
      <c r="AG2214">
        <v>2212</v>
      </c>
    </row>
    <row r="2215" spans="33:33" x14ac:dyDescent="0.25">
      <c r="AG2215">
        <v>2213</v>
      </c>
    </row>
    <row r="2216" spans="33:33" x14ac:dyDescent="0.25">
      <c r="AG2216">
        <v>2214</v>
      </c>
    </row>
    <row r="2217" spans="33:33" x14ac:dyDescent="0.25">
      <c r="AG2217">
        <v>2215</v>
      </c>
    </row>
    <row r="2218" spans="33:33" x14ac:dyDescent="0.25">
      <c r="AG2218">
        <v>2216</v>
      </c>
    </row>
    <row r="2219" spans="33:33" x14ac:dyDescent="0.25">
      <c r="AG2219">
        <v>2217</v>
      </c>
    </row>
    <row r="2220" spans="33:33" x14ac:dyDescent="0.25">
      <c r="AG2220">
        <v>2218</v>
      </c>
    </row>
    <row r="2221" spans="33:33" x14ac:dyDescent="0.25">
      <c r="AG2221">
        <v>2219</v>
      </c>
    </row>
    <row r="2222" spans="33:33" x14ac:dyDescent="0.25">
      <c r="AG2222">
        <v>2220</v>
      </c>
    </row>
    <row r="2223" spans="33:33" x14ac:dyDescent="0.25">
      <c r="AG2223">
        <v>2221</v>
      </c>
    </row>
    <row r="2224" spans="33:33" x14ac:dyDescent="0.25">
      <c r="AG2224">
        <v>2222</v>
      </c>
    </row>
    <row r="2225" spans="33:33" x14ac:dyDescent="0.25">
      <c r="AG2225">
        <v>2223</v>
      </c>
    </row>
    <row r="2226" spans="33:33" x14ac:dyDescent="0.25">
      <c r="AG2226">
        <v>2224</v>
      </c>
    </row>
    <row r="2227" spans="33:33" x14ac:dyDescent="0.25">
      <c r="AG2227">
        <v>2225</v>
      </c>
    </row>
    <row r="2228" spans="33:33" x14ac:dyDescent="0.25">
      <c r="AG2228">
        <v>2226</v>
      </c>
    </row>
    <row r="2229" spans="33:33" x14ac:dyDescent="0.25">
      <c r="AG2229">
        <v>2227</v>
      </c>
    </row>
    <row r="2230" spans="33:33" x14ac:dyDescent="0.25">
      <c r="AG2230">
        <v>2228</v>
      </c>
    </row>
    <row r="2231" spans="33:33" x14ac:dyDescent="0.25">
      <c r="AG2231">
        <v>2229</v>
      </c>
    </row>
    <row r="2232" spans="33:33" x14ac:dyDescent="0.25">
      <c r="AG2232">
        <v>2230</v>
      </c>
    </row>
    <row r="2233" spans="33:33" x14ac:dyDescent="0.25">
      <c r="AG2233">
        <v>2231</v>
      </c>
    </row>
    <row r="2234" spans="33:33" x14ac:dyDescent="0.25">
      <c r="AG2234">
        <v>2232</v>
      </c>
    </row>
    <row r="2235" spans="33:33" x14ac:dyDescent="0.25">
      <c r="AG2235">
        <v>2233</v>
      </c>
    </row>
    <row r="2236" spans="33:33" x14ac:dyDescent="0.25">
      <c r="AG2236">
        <v>2234</v>
      </c>
    </row>
    <row r="2237" spans="33:33" x14ac:dyDescent="0.25">
      <c r="AG2237">
        <v>2235</v>
      </c>
    </row>
    <row r="2238" spans="33:33" x14ac:dyDescent="0.25">
      <c r="AG2238">
        <v>2236</v>
      </c>
    </row>
    <row r="2239" spans="33:33" x14ac:dyDescent="0.25">
      <c r="AG2239">
        <v>2237</v>
      </c>
    </row>
    <row r="2240" spans="33:33" x14ac:dyDescent="0.25">
      <c r="AG2240">
        <v>2238</v>
      </c>
    </row>
    <row r="2241" spans="33:33" x14ac:dyDescent="0.25">
      <c r="AG2241">
        <v>2239</v>
      </c>
    </row>
    <row r="2242" spans="33:33" x14ac:dyDescent="0.25">
      <c r="AG2242">
        <v>2240</v>
      </c>
    </row>
    <row r="2243" spans="33:33" x14ac:dyDescent="0.25">
      <c r="AG2243">
        <v>2241</v>
      </c>
    </row>
    <row r="2244" spans="33:33" x14ac:dyDescent="0.25">
      <c r="AG2244">
        <v>2242</v>
      </c>
    </row>
    <row r="2245" spans="33:33" x14ac:dyDescent="0.25">
      <c r="AG2245">
        <v>2243</v>
      </c>
    </row>
    <row r="2246" spans="33:33" x14ac:dyDescent="0.25">
      <c r="AG2246">
        <v>2244</v>
      </c>
    </row>
    <row r="2247" spans="33:33" x14ac:dyDescent="0.25">
      <c r="AG2247">
        <v>2245</v>
      </c>
    </row>
    <row r="2248" spans="33:33" x14ac:dyDescent="0.25">
      <c r="AG2248">
        <v>2246</v>
      </c>
    </row>
    <row r="2249" spans="33:33" x14ac:dyDescent="0.25">
      <c r="AG2249">
        <v>2247</v>
      </c>
    </row>
    <row r="2250" spans="33:33" x14ac:dyDescent="0.25">
      <c r="AG2250">
        <v>2248</v>
      </c>
    </row>
    <row r="2251" spans="33:33" x14ac:dyDescent="0.25">
      <c r="AG2251">
        <v>2249</v>
      </c>
    </row>
    <row r="2252" spans="33:33" x14ac:dyDescent="0.25">
      <c r="AG2252">
        <v>2250</v>
      </c>
    </row>
    <row r="2253" spans="33:33" x14ac:dyDescent="0.25">
      <c r="AG2253">
        <v>2251</v>
      </c>
    </row>
    <row r="2254" spans="33:33" x14ac:dyDescent="0.25">
      <c r="AG2254">
        <v>2252</v>
      </c>
    </row>
    <row r="2255" spans="33:33" x14ac:dyDescent="0.25">
      <c r="AG2255">
        <v>2253</v>
      </c>
    </row>
    <row r="2256" spans="33:33" x14ac:dyDescent="0.25">
      <c r="AG2256">
        <v>2254</v>
      </c>
    </row>
    <row r="2257" spans="33:33" x14ac:dyDescent="0.25">
      <c r="AG2257">
        <v>2255</v>
      </c>
    </row>
    <row r="2258" spans="33:33" x14ac:dyDescent="0.25">
      <c r="AG2258">
        <v>2256</v>
      </c>
    </row>
    <row r="2259" spans="33:33" x14ac:dyDescent="0.25">
      <c r="AG2259">
        <v>2257</v>
      </c>
    </row>
    <row r="2260" spans="33:33" x14ac:dyDescent="0.25">
      <c r="AG2260">
        <v>2258</v>
      </c>
    </row>
    <row r="2261" spans="33:33" x14ac:dyDescent="0.25">
      <c r="AG2261">
        <v>2259</v>
      </c>
    </row>
    <row r="2262" spans="33:33" x14ac:dyDescent="0.25">
      <c r="AG2262">
        <v>2260</v>
      </c>
    </row>
    <row r="2263" spans="33:33" x14ac:dyDescent="0.25">
      <c r="AG2263">
        <v>2261</v>
      </c>
    </row>
    <row r="2264" spans="33:33" x14ac:dyDescent="0.25">
      <c r="AG2264">
        <v>2262</v>
      </c>
    </row>
    <row r="2265" spans="33:33" x14ac:dyDescent="0.25">
      <c r="AG2265">
        <v>2263</v>
      </c>
    </row>
    <row r="2266" spans="33:33" x14ac:dyDescent="0.25">
      <c r="AG2266">
        <v>2264</v>
      </c>
    </row>
    <row r="2267" spans="33:33" x14ac:dyDescent="0.25">
      <c r="AG2267">
        <v>2265</v>
      </c>
    </row>
    <row r="2268" spans="33:33" x14ac:dyDescent="0.25">
      <c r="AG2268">
        <v>2266</v>
      </c>
    </row>
    <row r="2269" spans="33:33" x14ac:dyDescent="0.25">
      <c r="AG2269">
        <v>2267</v>
      </c>
    </row>
    <row r="2270" spans="33:33" x14ac:dyDescent="0.25">
      <c r="AG2270">
        <v>2268</v>
      </c>
    </row>
    <row r="2271" spans="33:33" x14ac:dyDescent="0.25">
      <c r="AG2271">
        <v>2269</v>
      </c>
    </row>
    <row r="2272" spans="33:33" x14ac:dyDescent="0.25">
      <c r="AG2272">
        <v>2270</v>
      </c>
    </row>
    <row r="2273" spans="33:33" x14ac:dyDescent="0.25">
      <c r="AG2273">
        <v>2271</v>
      </c>
    </row>
    <row r="2274" spans="33:33" x14ac:dyDescent="0.25">
      <c r="AG2274">
        <v>2272</v>
      </c>
    </row>
    <row r="2275" spans="33:33" x14ac:dyDescent="0.25">
      <c r="AG2275">
        <v>2273</v>
      </c>
    </row>
    <row r="2276" spans="33:33" x14ac:dyDescent="0.25">
      <c r="AG2276">
        <v>2274</v>
      </c>
    </row>
    <row r="2277" spans="33:33" x14ac:dyDescent="0.25">
      <c r="AG2277">
        <v>2275</v>
      </c>
    </row>
    <row r="2278" spans="33:33" x14ac:dyDescent="0.25">
      <c r="AG2278">
        <v>2276</v>
      </c>
    </row>
    <row r="2279" spans="33:33" x14ac:dyDescent="0.25">
      <c r="AG2279">
        <v>2277</v>
      </c>
    </row>
    <row r="2280" spans="33:33" x14ac:dyDescent="0.25">
      <c r="AG2280">
        <v>2278</v>
      </c>
    </row>
    <row r="2281" spans="33:33" x14ac:dyDescent="0.25">
      <c r="AG2281">
        <v>2279</v>
      </c>
    </row>
    <row r="2282" spans="33:33" x14ac:dyDescent="0.25">
      <c r="AG2282">
        <v>2280</v>
      </c>
    </row>
    <row r="2283" spans="33:33" x14ac:dyDescent="0.25">
      <c r="AG2283">
        <v>2281</v>
      </c>
    </row>
    <row r="2284" spans="33:33" x14ac:dyDescent="0.25">
      <c r="AG2284">
        <v>2282</v>
      </c>
    </row>
    <row r="2285" spans="33:33" x14ac:dyDescent="0.25">
      <c r="AG2285">
        <v>2283</v>
      </c>
    </row>
    <row r="2286" spans="33:33" x14ac:dyDescent="0.25">
      <c r="AG2286">
        <v>2284</v>
      </c>
    </row>
    <row r="2287" spans="33:33" x14ac:dyDescent="0.25">
      <c r="AG2287">
        <v>2285</v>
      </c>
    </row>
    <row r="2288" spans="33:33" x14ac:dyDescent="0.25">
      <c r="AG2288">
        <v>2286</v>
      </c>
    </row>
    <row r="2289" spans="33:33" x14ac:dyDescent="0.25">
      <c r="AG2289">
        <v>2287</v>
      </c>
    </row>
    <row r="2290" spans="33:33" x14ac:dyDescent="0.25">
      <c r="AG2290">
        <v>2288</v>
      </c>
    </row>
    <row r="2291" spans="33:33" x14ac:dyDescent="0.25">
      <c r="AG2291">
        <v>2289</v>
      </c>
    </row>
    <row r="2292" spans="33:33" x14ac:dyDescent="0.25">
      <c r="AG2292">
        <v>2290</v>
      </c>
    </row>
    <row r="2293" spans="33:33" x14ac:dyDescent="0.25">
      <c r="AG2293">
        <v>2291</v>
      </c>
    </row>
    <row r="2294" spans="33:33" x14ac:dyDescent="0.25">
      <c r="AG2294">
        <v>2292</v>
      </c>
    </row>
    <row r="2295" spans="33:33" x14ac:dyDescent="0.25">
      <c r="AG2295">
        <v>2293</v>
      </c>
    </row>
    <row r="2296" spans="33:33" x14ac:dyDescent="0.25">
      <c r="AG2296">
        <v>2294</v>
      </c>
    </row>
    <row r="2297" spans="33:33" x14ac:dyDescent="0.25">
      <c r="AG2297">
        <v>2295</v>
      </c>
    </row>
    <row r="2298" spans="33:33" x14ac:dyDescent="0.25">
      <c r="AG2298">
        <v>2296</v>
      </c>
    </row>
    <row r="2299" spans="33:33" x14ac:dyDescent="0.25">
      <c r="AG2299">
        <v>2297</v>
      </c>
    </row>
    <row r="2300" spans="33:33" x14ac:dyDescent="0.25">
      <c r="AG2300">
        <v>2298</v>
      </c>
    </row>
    <row r="2301" spans="33:33" x14ac:dyDescent="0.25">
      <c r="AG2301">
        <v>2299</v>
      </c>
    </row>
    <row r="2302" spans="33:33" x14ac:dyDescent="0.25">
      <c r="AG2302">
        <v>2300</v>
      </c>
    </row>
    <row r="2303" spans="33:33" x14ac:dyDescent="0.25">
      <c r="AG2303">
        <v>2301</v>
      </c>
    </row>
    <row r="2304" spans="33:33" x14ac:dyDescent="0.25">
      <c r="AG2304">
        <v>2302</v>
      </c>
    </row>
    <row r="2305" spans="33:33" x14ac:dyDescent="0.25">
      <c r="AG2305">
        <v>2303</v>
      </c>
    </row>
    <row r="2306" spans="33:33" x14ac:dyDescent="0.25">
      <c r="AG2306">
        <v>2304</v>
      </c>
    </row>
    <row r="2307" spans="33:33" x14ac:dyDescent="0.25">
      <c r="AG2307">
        <v>2305</v>
      </c>
    </row>
    <row r="2308" spans="33:33" x14ac:dyDescent="0.25">
      <c r="AG2308">
        <v>2306</v>
      </c>
    </row>
    <row r="2309" spans="33:33" x14ac:dyDescent="0.25">
      <c r="AG2309">
        <v>2307</v>
      </c>
    </row>
    <row r="2310" spans="33:33" x14ac:dyDescent="0.25">
      <c r="AG2310">
        <v>2308</v>
      </c>
    </row>
    <row r="2311" spans="33:33" x14ac:dyDescent="0.25">
      <c r="AG2311">
        <v>2309</v>
      </c>
    </row>
    <row r="2312" spans="33:33" x14ac:dyDescent="0.25">
      <c r="AG2312">
        <v>2310</v>
      </c>
    </row>
    <row r="2313" spans="33:33" x14ac:dyDescent="0.25">
      <c r="AG2313">
        <v>2311</v>
      </c>
    </row>
    <row r="2314" spans="33:33" x14ac:dyDescent="0.25">
      <c r="AG2314">
        <v>2312</v>
      </c>
    </row>
    <row r="2315" spans="33:33" x14ac:dyDescent="0.25">
      <c r="AG2315">
        <v>2313</v>
      </c>
    </row>
    <row r="2316" spans="33:33" x14ac:dyDescent="0.25">
      <c r="AG2316">
        <v>2314</v>
      </c>
    </row>
    <row r="2317" spans="33:33" x14ac:dyDescent="0.25">
      <c r="AG2317">
        <v>2315</v>
      </c>
    </row>
    <row r="2318" spans="33:33" x14ac:dyDescent="0.25">
      <c r="AG2318">
        <v>2316</v>
      </c>
    </row>
    <row r="2319" spans="33:33" x14ac:dyDescent="0.25">
      <c r="AG2319">
        <v>2317</v>
      </c>
    </row>
    <row r="2320" spans="33:33" x14ac:dyDescent="0.25">
      <c r="AG2320">
        <v>2318</v>
      </c>
    </row>
    <row r="2321" spans="33:33" x14ac:dyDescent="0.25">
      <c r="AG2321">
        <v>2319</v>
      </c>
    </row>
    <row r="2322" spans="33:33" x14ac:dyDescent="0.25">
      <c r="AG2322">
        <v>2320</v>
      </c>
    </row>
    <row r="2323" spans="33:33" x14ac:dyDescent="0.25">
      <c r="AG2323">
        <v>2321</v>
      </c>
    </row>
    <row r="2324" spans="33:33" x14ac:dyDescent="0.25">
      <c r="AG2324">
        <v>2322</v>
      </c>
    </row>
    <row r="2325" spans="33:33" x14ac:dyDescent="0.25">
      <c r="AG2325">
        <v>2323</v>
      </c>
    </row>
    <row r="2326" spans="33:33" x14ac:dyDescent="0.25">
      <c r="AG2326">
        <v>2324</v>
      </c>
    </row>
    <row r="2327" spans="33:33" x14ac:dyDescent="0.25">
      <c r="AG2327">
        <v>2325</v>
      </c>
    </row>
    <row r="2328" spans="33:33" x14ac:dyDescent="0.25">
      <c r="AG2328">
        <v>2326</v>
      </c>
    </row>
    <row r="2329" spans="33:33" x14ac:dyDescent="0.25">
      <c r="AG2329">
        <v>2327</v>
      </c>
    </row>
    <row r="2330" spans="33:33" x14ac:dyDescent="0.25">
      <c r="AG2330">
        <v>2328</v>
      </c>
    </row>
    <row r="2331" spans="33:33" x14ac:dyDescent="0.25">
      <c r="AG2331">
        <v>2329</v>
      </c>
    </row>
    <row r="2332" spans="33:33" x14ac:dyDescent="0.25">
      <c r="AG2332">
        <v>2330</v>
      </c>
    </row>
    <row r="2333" spans="33:33" x14ac:dyDescent="0.25">
      <c r="AG2333">
        <v>2331</v>
      </c>
    </row>
    <row r="2334" spans="33:33" x14ac:dyDescent="0.25">
      <c r="AG2334">
        <v>2332</v>
      </c>
    </row>
    <row r="2335" spans="33:33" x14ac:dyDescent="0.25">
      <c r="AG2335">
        <v>2333</v>
      </c>
    </row>
    <row r="2336" spans="33:33" x14ac:dyDescent="0.25">
      <c r="AG2336">
        <v>2334</v>
      </c>
    </row>
    <row r="2337" spans="33:33" x14ac:dyDescent="0.25">
      <c r="AG2337">
        <v>2335</v>
      </c>
    </row>
    <row r="2338" spans="33:33" x14ac:dyDescent="0.25">
      <c r="AG2338">
        <v>2336</v>
      </c>
    </row>
    <row r="2339" spans="33:33" x14ac:dyDescent="0.25">
      <c r="AG2339">
        <v>2337</v>
      </c>
    </row>
    <row r="2340" spans="33:33" x14ac:dyDescent="0.25">
      <c r="AG2340">
        <v>2338</v>
      </c>
    </row>
    <row r="2341" spans="33:33" x14ac:dyDescent="0.25">
      <c r="AG2341">
        <v>2339</v>
      </c>
    </row>
    <row r="2342" spans="33:33" x14ac:dyDescent="0.25">
      <c r="AG2342">
        <v>2340</v>
      </c>
    </row>
    <row r="2343" spans="33:33" x14ac:dyDescent="0.25">
      <c r="AG2343">
        <v>2341</v>
      </c>
    </row>
    <row r="2344" spans="33:33" x14ac:dyDescent="0.25">
      <c r="AG2344">
        <v>2342</v>
      </c>
    </row>
    <row r="2345" spans="33:33" x14ac:dyDescent="0.25">
      <c r="AG2345">
        <v>2343</v>
      </c>
    </row>
    <row r="2346" spans="33:33" x14ac:dyDescent="0.25">
      <c r="AG2346">
        <v>2344</v>
      </c>
    </row>
    <row r="2347" spans="33:33" x14ac:dyDescent="0.25">
      <c r="AG2347">
        <v>2345</v>
      </c>
    </row>
    <row r="2348" spans="33:33" x14ac:dyDescent="0.25">
      <c r="AG2348">
        <v>2346</v>
      </c>
    </row>
    <row r="2349" spans="33:33" x14ac:dyDescent="0.25">
      <c r="AG2349">
        <v>2347</v>
      </c>
    </row>
    <row r="2350" spans="33:33" x14ac:dyDescent="0.25">
      <c r="AG2350">
        <v>2348</v>
      </c>
    </row>
    <row r="2351" spans="33:33" x14ac:dyDescent="0.25">
      <c r="AG2351">
        <v>2349</v>
      </c>
    </row>
    <row r="2352" spans="33:33" x14ac:dyDescent="0.25">
      <c r="AG2352">
        <v>2350</v>
      </c>
    </row>
    <row r="2353" spans="33:33" x14ac:dyDescent="0.25">
      <c r="AG2353">
        <v>2351</v>
      </c>
    </row>
    <row r="2354" spans="33:33" x14ac:dyDescent="0.25">
      <c r="AG2354">
        <v>2352</v>
      </c>
    </row>
    <row r="2355" spans="33:33" x14ac:dyDescent="0.25">
      <c r="AG2355">
        <v>2353</v>
      </c>
    </row>
    <row r="2356" spans="33:33" x14ac:dyDescent="0.25">
      <c r="AG2356">
        <v>2354</v>
      </c>
    </row>
    <row r="2357" spans="33:33" x14ac:dyDescent="0.25">
      <c r="AG2357">
        <v>2355</v>
      </c>
    </row>
    <row r="2358" spans="33:33" x14ac:dyDescent="0.25">
      <c r="AG2358">
        <v>2356</v>
      </c>
    </row>
    <row r="2359" spans="33:33" x14ac:dyDescent="0.25">
      <c r="AG2359">
        <v>2357</v>
      </c>
    </row>
    <row r="2360" spans="33:33" x14ac:dyDescent="0.25">
      <c r="AG2360">
        <v>2358</v>
      </c>
    </row>
    <row r="2361" spans="33:33" x14ac:dyDescent="0.25">
      <c r="AG2361">
        <v>2359</v>
      </c>
    </row>
    <row r="2362" spans="33:33" x14ac:dyDescent="0.25">
      <c r="AG2362">
        <v>2360</v>
      </c>
    </row>
    <row r="2363" spans="33:33" x14ac:dyDescent="0.25">
      <c r="AG2363">
        <v>2361</v>
      </c>
    </row>
    <row r="2364" spans="33:33" x14ac:dyDescent="0.25">
      <c r="AG2364">
        <v>2362</v>
      </c>
    </row>
    <row r="2365" spans="33:33" x14ac:dyDescent="0.25">
      <c r="AG2365">
        <v>2363</v>
      </c>
    </row>
    <row r="2366" spans="33:33" x14ac:dyDescent="0.25">
      <c r="AG2366">
        <v>2364</v>
      </c>
    </row>
    <row r="2367" spans="33:33" x14ac:dyDescent="0.25">
      <c r="AG2367">
        <v>2365</v>
      </c>
    </row>
    <row r="2368" spans="33:33" x14ac:dyDescent="0.25">
      <c r="AG2368">
        <v>2366</v>
      </c>
    </row>
    <row r="2369" spans="33:33" x14ac:dyDescent="0.25">
      <c r="AG2369">
        <v>2367</v>
      </c>
    </row>
    <row r="2370" spans="33:33" x14ac:dyDescent="0.25">
      <c r="AG2370">
        <v>2368</v>
      </c>
    </row>
    <row r="2371" spans="33:33" x14ac:dyDescent="0.25">
      <c r="AG2371">
        <v>2369</v>
      </c>
    </row>
    <row r="2372" spans="33:33" x14ac:dyDescent="0.25">
      <c r="AG2372">
        <v>2370</v>
      </c>
    </row>
    <row r="2373" spans="33:33" x14ac:dyDescent="0.25">
      <c r="AG2373">
        <v>2371</v>
      </c>
    </row>
    <row r="2374" spans="33:33" x14ac:dyDescent="0.25">
      <c r="AG2374">
        <v>2372</v>
      </c>
    </row>
    <row r="2375" spans="33:33" x14ac:dyDescent="0.25">
      <c r="AG2375">
        <v>2373</v>
      </c>
    </row>
    <row r="2376" spans="33:33" x14ac:dyDescent="0.25">
      <c r="AG2376">
        <v>2374</v>
      </c>
    </row>
    <row r="2377" spans="33:33" x14ac:dyDescent="0.25">
      <c r="AG2377">
        <v>2375</v>
      </c>
    </row>
    <row r="2378" spans="33:33" x14ac:dyDescent="0.25">
      <c r="AG2378">
        <v>2376</v>
      </c>
    </row>
    <row r="2379" spans="33:33" x14ac:dyDescent="0.25">
      <c r="AG2379">
        <v>2377</v>
      </c>
    </row>
    <row r="2380" spans="33:33" x14ac:dyDescent="0.25">
      <c r="AG2380">
        <v>2378</v>
      </c>
    </row>
    <row r="2381" spans="33:33" x14ac:dyDescent="0.25">
      <c r="AG2381">
        <v>2379</v>
      </c>
    </row>
    <row r="2382" spans="33:33" x14ac:dyDescent="0.25">
      <c r="AG2382">
        <v>2380</v>
      </c>
    </row>
    <row r="2383" spans="33:33" x14ac:dyDescent="0.25">
      <c r="AG2383">
        <v>2381</v>
      </c>
    </row>
    <row r="2384" spans="33:33" x14ac:dyDescent="0.25">
      <c r="AG2384">
        <v>2382</v>
      </c>
    </row>
    <row r="2385" spans="33:33" x14ac:dyDescent="0.25">
      <c r="AG2385">
        <v>2383</v>
      </c>
    </row>
    <row r="2386" spans="33:33" x14ac:dyDescent="0.25">
      <c r="AG2386">
        <v>2384</v>
      </c>
    </row>
    <row r="2387" spans="33:33" x14ac:dyDescent="0.25">
      <c r="AG2387">
        <v>2385</v>
      </c>
    </row>
    <row r="2388" spans="33:33" x14ac:dyDescent="0.25">
      <c r="AG2388">
        <v>2386</v>
      </c>
    </row>
    <row r="2389" spans="33:33" x14ac:dyDescent="0.25">
      <c r="AG2389">
        <v>2387</v>
      </c>
    </row>
    <row r="2390" spans="33:33" x14ac:dyDescent="0.25">
      <c r="AG2390">
        <v>2388</v>
      </c>
    </row>
    <row r="2391" spans="33:33" x14ac:dyDescent="0.25">
      <c r="AG2391">
        <v>2389</v>
      </c>
    </row>
    <row r="2392" spans="33:33" x14ac:dyDescent="0.25">
      <c r="AG2392">
        <v>2390</v>
      </c>
    </row>
    <row r="2393" spans="33:33" x14ac:dyDescent="0.25">
      <c r="AG2393">
        <v>2391</v>
      </c>
    </row>
    <row r="2394" spans="33:33" x14ac:dyDescent="0.25">
      <c r="AG2394">
        <v>2392</v>
      </c>
    </row>
    <row r="2395" spans="33:33" x14ac:dyDescent="0.25">
      <c r="AG2395">
        <v>2393</v>
      </c>
    </row>
    <row r="2396" spans="33:33" x14ac:dyDescent="0.25">
      <c r="AG2396">
        <v>2394</v>
      </c>
    </row>
    <row r="2397" spans="33:33" x14ac:dyDescent="0.25">
      <c r="AG2397">
        <v>2395</v>
      </c>
    </row>
    <row r="2398" spans="33:33" x14ac:dyDescent="0.25">
      <c r="AG2398">
        <v>2396</v>
      </c>
    </row>
    <row r="2399" spans="33:33" x14ac:dyDescent="0.25">
      <c r="AG2399">
        <v>2397</v>
      </c>
    </row>
    <row r="2400" spans="33:33" x14ac:dyDescent="0.25">
      <c r="AG2400">
        <v>2398</v>
      </c>
    </row>
    <row r="2401" spans="33:33" x14ac:dyDescent="0.25">
      <c r="AG2401">
        <v>2399</v>
      </c>
    </row>
    <row r="2402" spans="33:33" x14ac:dyDescent="0.25">
      <c r="AG2402">
        <v>2400</v>
      </c>
    </row>
    <row r="2403" spans="33:33" x14ac:dyDescent="0.25">
      <c r="AG2403">
        <v>2401</v>
      </c>
    </row>
    <row r="2404" spans="33:33" x14ac:dyDescent="0.25">
      <c r="AG2404">
        <v>2402</v>
      </c>
    </row>
    <row r="2405" spans="33:33" x14ac:dyDescent="0.25">
      <c r="AG2405">
        <v>2403</v>
      </c>
    </row>
    <row r="2406" spans="33:33" x14ac:dyDescent="0.25">
      <c r="AG2406">
        <v>2404</v>
      </c>
    </row>
    <row r="2407" spans="33:33" x14ac:dyDescent="0.25">
      <c r="AG2407">
        <v>2405</v>
      </c>
    </row>
    <row r="2408" spans="33:33" x14ac:dyDescent="0.25">
      <c r="AG2408">
        <v>2406</v>
      </c>
    </row>
    <row r="2409" spans="33:33" x14ac:dyDescent="0.25">
      <c r="AG2409">
        <v>2407</v>
      </c>
    </row>
    <row r="2410" spans="33:33" x14ac:dyDescent="0.25">
      <c r="AG2410">
        <v>2408</v>
      </c>
    </row>
    <row r="2411" spans="33:33" x14ac:dyDescent="0.25">
      <c r="AG2411">
        <v>2409</v>
      </c>
    </row>
    <row r="2412" spans="33:33" x14ac:dyDescent="0.25">
      <c r="AG2412">
        <v>2410</v>
      </c>
    </row>
    <row r="2413" spans="33:33" x14ac:dyDescent="0.25">
      <c r="AG2413">
        <v>2411</v>
      </c>
    </row>
    <row r="2414" spans="33:33" x14ac:dyDescent="0.25">
      <c r="AG2414">
        <v>2412</v>
      </c>
    </row>
    <row r="2415" spans="33:33" x14ac:dyDescent="0.25">
      <c r="AG2415">
        <v>2413</v>
      </c>
    </row>
    <row r="2416" spans="33:33" x14ac:dyDescent="0.25">
      <c r="AG2416">
        <v>2414</v>
      </c>
    </row>
    <row r="2417" spans="33:33" x14ac:dyDescent="0.25">
      <c r="AG2417">
        <v>2415</v>
      </c>
    </row>
    <row r="2418" spans="33:33" x14ac:dyDescent="0.25">
      <c r="AG2418">
        <v>2416</v>
      </c>
    </row>
    <row r="2419" spans="33:33" x14ac:dyDescent="0.25">
      <c r="AG2419">
        <v>2417</v>
      </c>
    </row>
    <row r="2420" spans="33:33" x14ac:dyDescent="0.25">
      <c r="AG2420">
        <v>2418</v>
      </c>
    </row>
    <row r="2421" spans="33:33" x14ac:dyDescent="0.25">
      <c r="AG2421">
        <v>2419</v>
      </c>
    </row>
    <row r="2422" spans="33:33" x14ac:dyDescent="0.25">
      <c r="AG2422">
        <v>2420</v>
      </c>
    </row>
    <row r="2423" spans="33:33" x14ac:dyDescent="0.25">
      <c r="AG2423">
        <v>2421</v>
      </c>
    </row>
    <row r="2424" spans="33:33" x14ac:dyDescent="0.25">
      <c r="AG2424">
        <v>2422</v>
      </c>
    </row>
    <row r="2425" spans="33:33" x14ac:dyDescent="0.25">
      <c r="AG2425">
        <v>2423</v>
      </c>
    </row>
    <row r="2426" spans="33:33" x14ac:dyDescent="0.25">
      <c r="AG2426">
        <v>2424</v>
      </c>
    </row>
    <row r="2427" spans="33:33" x14ac:dyDescent="0.25">
      <c r="AG2427">
        <v>2425</v>
      </c>
    </row>
    <row r="2428" spans="33:33" x14ac:dyDescent="0.25">
      <c r="AG2428">
        <v>2426</v>
      </c>
    </row>
    <row r="2429" spans="33:33" x14ac:dyDescent="0.25">
      <c r="AG2429">
        <v>2427</v>
      </c>
    </row>
    <row r="2430" spans="33:33" x14ac:dyDescent="0.25">
      <c r="AG2430">
        <v>2428</v>
      </c>
    </row>
    <row r="2431" spans="33:33" x14ac:dyDescent="0.25">
      <c r="AG2431">
        <v>2429</v>
      </c>
    </row>
    <row r="2432" spans="33:33" x14ac:dyDescent="0.25">
      <c r="AG2432">
        <v>2430</v>
      </c>
    </row>
    <row r="2433" spans="33:33" x14ac:dyDescent="0.25">
      <c r="AG2433">
        <v>2431</v>
      </c>
    </row>
    <row r="2434" spans="33:33" x14ac:dyDescent="0.25">
      <c r="AG2434">
        <v>2432</v>
      </c>
    </row>
    <row r="2435" spans="33:33" x14ac:dyDescent="0.25">
      <c r="AG2435">
        <v>2433</v>
      </c>
    </row>
    <row r="2436" spans="33:33" x14ac:dyDescent="0.25">
      <c r="AG2436">
        <v>2434</v>
      </c>
    </row>
    <row r="2437" spans="33:33" x14ac:dyDescent="0.25">
      <c r="AG2437">
        <v>2435</v>
      </c>
    </row>
    <row r="2438" spans="33:33" x14ac:dyDescent="0.25">
      <c r="AG2438">
        <v>2436</v>
      </c>
    </row>
    <row r="2439" spans="33:33" x14ac:dyDescent="0.25">
      <c r="AG2439">
        <v>2437</v>
      </c>
    </row>
    <row r="2440" spans="33:33" x14ac:dyDescent="0.25">
      <c r="AG2440">
        <v>2438</v>
      </c>
    </row>
    <row r="2441" spans="33:33" x14ac:dyDescent="0.25">
      <c r="AG2441">
        <v>2439</v>
      </c>
    </row>
    <row r="2442" spans="33:33" x14ac:dyDescent="0.25">
      <c r="AG2442">
        <v>2440</v>
      </c>
    </row>
    <row r="2443" spans="33:33" x14ac:dyDescent="0.25">
      <c r="AG2443">
        <v>2441</v>
      </c>
    </row>
    <row r="2444" spans="33:33" x14ac:dyDescent="0.25">
      <c r="AG2444">
        <v>2442</v>
      </c>
    </row>
    <row r="2445" spans="33:33" x14ac:dyDescent="0.25">
      <c r="AG2445">
        <v>2443</v>
      </c>
    </row>
    <row r="2446" spans="33:33" x14ac:dyDescent="0.25">
      <c r="AG2446">
        <v>2444</v>
      </c>
    </row>
    <row r="2447" spans="33:33" x14ac:dyDescent="0.25">
      <c r="AG2447">
        <v>2445</v>
      </c>
    </row>
    <row r="2448" spans="33:33" x14ac:dyDescent="0.25">
      <c r="AG2448">
        <v>2446</v>
      </c>
    </row>
    <row r="2449" spans="33:33" x14ac:dyDescent="0.25">
      <c r="AG2449">
        <v>2447</v>
      </c>
    </row>
    <row r="2450" spans="33:33" x14ac:dyDescent="0.25">
      <c r="AG2450">
        <v>2448</v>
      </c>
    </row>
    <row r="2451" spans="33:33" x14ac:dyDescent="0.25">
      <c r="AG2451">
        <v>2449</v>
      </c>
    </row>
    <row r="2452" spans="33:33" x14ac:dyDescent="0.25">
      <c r="AG2452">
        <v>2450</v>
      </c>
    </row>
    <row r="2453" spans="33:33" x14ac:dyDescent="0.25">
      <c r="AG2453">
        <v>2451</v>
      </c>
    </row>
    <row r="2454" spans="33:33" x14ac:dyDescent="0.25">
      <c r="AG2454">
        <v>2452</v>
      </c>
    </row>
    <row r="2455" spans="33:33" x14ac:dyDescent="0.25">
      <c r="AG2455">
        <v>2453</v>
      </c>
    </row>
    <row r="2456" spans="33:33" x14ac:dyDescent="0.25">
      <c r="AG2456">
        <v>2454</v>
      </c>
    </row>
    <row r="2457" spans="33:33" x14ac:dyDescent="0.25">
      <c r="AG2457">
        <v>2455</v>
      </c>
    </row>
    <row r="2458" spans="33:33" x14ac:dyDescent="0.25">
      <c r="AG2458">
        <v>2456</v>
      </c>
    </row>
    <row r="2459" spans="33:33" x14ac:dyDescent="0.25">
      <c r="AG2459">
        <v>2457</v>
      </c>
    </row>
    <row r="2460" spans="33:33" x14ac:dyDescent="0.25">
      <c r="AG2460">
        <v>2458</v>
      </c>
    </row>
    <row r="2461" spans="33:33" x14ac:dyDescent="0.25">
      <c r="AG2461">
        <v>2459</v>
      </c>
    </row>
    <row r="2462" spans="33:33" x14ac:dyDescent="0.25">
      <c r="AG2462">
        <v>2460</v>
      </c>
    </row>
    <row r="2463" spans="33:33" x14ac:dyDescent="0.25">
      <c r="AG2463">
        <v>2461</v>
      </c>
    </row>
    <row r="2464" spans="33:33" x14ac:dyDescent="0.25">
      <c r="AG2464">
        <v>2462</v>
      </c>
    </row>
    <row r="2465" spans="33:33" x14ac:dyDescent="0.25">
      <c r="AG2465">
        <v>2463</v>
      </c>
    </row>
    <row r="2466" spans="33:33" x14ac:dyDescent="0.25">
      <c r="AG2466">
        <v>2464</v>
      </c>
    </row>
    <row r="2467" spans="33:33" x14ac:dyDescent="0.25">
      <c r="AG2467">
        <v>2465</v>
      </c>
    </row>
    <row r="2468" spans="33:33" x14ac:dyDescent="0.25">
      <c r="AG2468">
        <v>2466</v>
      </c>
    </row>
    <row r="2469" spans="33:33" x14ac:dyDescent="0.25">
      <c r="AG2469">
        <v>2467</v>
      </c>
    </row>
    <row r="2470" spans="33:33" x14ac:dyDescent="0.25">
      <c r="AG2470">
        <v>2468</v>
      </c>
    </row>
    <row r="2471" spans="33:33" x14ac:dyDescent="0.25">
      <c r="AG2471">
        <v>2469</v>
      </c>
    </row>
    <row r="2472" spans="33:33" x14ac:dyDescent="0.25">
      <c r="AG2472">
        <v>2470</v>
      </c>
    </row>
    <row r="2473" spans="33:33" x14ac:dyDescent="0.25">
      <c r="AG2473">
        <v>2471</v>
      </c>
    </row>
    <row r="2474" spans="33:33" x14ac:dyDescent="0.25">
      <c r="AG2474">
        <v>2472</v>
      </c>
    </row>
    <row r="2475" spans="33:33" x14ac:dyDescent="0.25">
      <c r="AG2475">
        <v>2473</v>
      </c>
    </row>
    <row r="2476" spans="33:33" x14ac:dyDescent="0.25">
      <c r="AG2476">
        <v>2474</v>
      </c>
    </row>
    <row r="2477" spans="33:33" x14ac:dyDescent="0.25">
      <c r="AG2477">
        <v>2475</v>
      </c>
    </row>
    <row r="2478" spans="33:33" x14ac:dyDescent="0.25">
      <c r="AG2478">
        <v>2476</v>
      </c>
    </row>
    <row r="2479" spans="33:33" x14ac:dyDescent="0.25">
      <c r="AG2479">
        <v>2477</v>
      </c>
    </row>
    <row r="2480" spans="33:33" x14ac:dyDescent="0.25">
      <c r="AG2480">
        <v>2478</v>
      </c>
    </row>
    <row r="2481" spans="33:33" x14ac:dyDescent="0.25">
      <c r="AG2481">
        <v>2479</v>
      </c>
    </row>
    <row r="2482" spans="33:33" x14ac:dyDescent="0.25">
      <c r="AG2482">
        <v>2480</v>
      </c>
    </row>
    <row r="2483" spans="33:33" x14ac:dyDescent="0.25">
      <c r="AG2483">
        <v>2481</v>
      </c>
    </row>
    <row r="2484" spans="33:33" x14ac:dyDescent="0.25">
      <c r="AG2484">
        <v>2482</v>
      </c>
    </row>
    <row r="2485" spans="33:33" x14ac:dyDescent="0.25">
      <c r="AG2485">
        <v>2483</v>
      </c>
    </row>
    <row r="2486" spans="33:33" x14ac:dyDescent="0.25">
      <c r="AG2486">
        <v>2484</v>
      </c>
    </row>
    <row r="2487" spans="33:33" x14ac:dyDescent="0.25">
      <c r="AG2487">
        <v>2485</v>
      </c>
    </row>
    <row r="2488" spans="33:33" x14ac:dyDescent="0.25">
      <c r="AG2488">
        <v>2486</v>
      </c>
    </row>
    <row r="2489" spans="33:33" x14ac:dyDescent="0.25">
      <c r="AG2489">
        <v>2487</v>
      </c>
    </row>
    <row r="2490" spans="33:33" x14ac:dyDescent="0.25">
      <c r="AG2490">
        <v>2488</v>
      </c>
    </row>
    <row r="2491" spans="33:33" x14ac:dyDescent="0.25">
      <c r="AG2491">
        <v>2489</v>
      </c>
    </row>
    <row r="2492" spans="33:33" x14ac:dyDescent="0.25">
      <c r="AG2492">
        <v>2490</v>
      </c>
    </row>
    <row r="2493" spans="33:33" x14ac:dyDescent="0.25">
      <c r="AG2493">
        <v>2491</v>
      </c>
    </row>
    <row r="2494" spans="33:33" x14ac:dyDescent="0.25">
      <c r="AG2494">
        <v>2492</v>
      </c>
    </row>
    <row r="2495" spans="33:33" x14ac:dyDescent="0.25">
      <c r="AG2495">
        <v>2493</v>
      </c>
    </row>
    <row r="2496" spans="33:33" x14ac:dyDescent="0.25">
      <c r="AG2496">
        <v>2494</v>
      </c>
    </row>
    <row r="2497" spans="33:33" x14ac:dyDescent="0.25">
      <c r="AG2497">
        <v>2495</v>
      </c>
    </row>
    <row r="2498" spans="33:33" x14ac:dyDescent="0.25">
      <c r="AG2498">
        <v>2496</v>
      </c>
    </row>
    <row r="2499" spans="33:33" x14ac:dyDescent="0.25">
      <c r="AG2499">
        <v>2497</v>
      </c>
    </row>
    <row r="2500" spans="33:33" x14ac:dyDescent="0.25">
      <c r="AG2500">
        <v>2498</v>
      </c>
    </row>
    <row r="2501" spans="33:33" x14ac:dyDescent="0.25">
      <c r="AG2501">
        <v>2499</v>
      </c>
    </row>
    <row r="2502" spans="33:33" x14ac:dyDescent="0.25">
      <c r="AG2502">
        <v>2500</v>
      </c>
    </row>
    <row r="2503" spans="33:33" x14ac:dyDescent="0.25">
      <c r="AG2503">
        <v>2501</v>
      </c>
    </row>
    <row r="2504" spans="33:33" x14ac:dyDescent="0.25">
      <c r="AG2504">
        <v>2502</v>
      </c>
    </row>
    <row r="2505" spans="33:33" x14ac:dyDescent="0.25">
      <c r="AG2505">
        <v>2503</v>
      </c>
    </row>
    <row r="2506" spans="33:33" x14ac:dyDescent="0.25">
      <c r="AG2506">
        <v>2504</v>
      </c>
    </row>
    <row r="2507" spans="33:33" x14ac:dyDescent="0.25">
      <c r="AG2507">
        <v>2505</v>
      </c>
    </row>
    <row r="2508" spans="33:33" x14ac:dyDescent="0.25">
      <c r="AG2508">
        <v>2506</v>
      </c>
    </row>
    <row r="2509" spans="33:33" x14ac:dyDescent="0.25">
      <c r="AG2509">
        <v>2507</v>
      </c>
    </row>
    <row r="2510" spans="33:33" x14ac:dyDescent="0.25">
      <c r="AG2510">
        <v>2508</v>
      </c>
    </row>
    <row r="2511" spans="33:33" x14ac:dyDescent="0.25">
      <c r="AG2511">
        <v>2509</v>
      </c>
    </row>
    <row r="2512" spans="33:33" x14ac:dyDescent="0.25">
      <c r="AG2512">
        <v>2510</v>
      </c>
    </row>
    <row r="2513" spans="33:33" x14ac:dyDescent="0.25">
      <c r="AG2513">
        <v>2511</v>
      </c>
    </row>
    <row r="2514" spans="33:33" x14ac:dyDescent="0.25">
      <c r="AG2514">
        <v>2512</v>
      </c>
    </row>
    <row r="2515" spans="33:33" x14ac:dyDescent="0.25">
      <c r="AG2515">
        <v>2513</v>
      </c>
    </row>
    <row r="2516" spans="33:33" x14ac:dyDescent="0.25">
      <c r="AG2516">
        <v>2514</v>
      </c>
    </row>
    <row r="2517" spans="33:33" x14ac:dyDescent="0.25">
      <c r="AG2517">
        <v>2515</v>
      </c>
    </row>
    <row r="2518" spans="33:33" x14ac:dyDescent="0.25">
      <c r="AG2518">
        <v>2516</v>
      </c>
    </row>
    <row r="2519" spans="33:33" x14ac:dyDescent="0.25">
      <c r="AG2519">
        <v>2517</v>
      </c>
    </row>
    <row r="2520" spans="33:33" x14ac:dyDescent="0.25">
      <c r="AG2520">
        <v>2518</v>
      </c>
    </row>
    <row r="2521" spans="33:33" x14ac:dyDescent="0.25">
      <c r="AG2521">
        <v>2519</v>
      </c>
    </row>
    <row r="2522" spans="33:33" x14ac:dyDescent="0.25">
      <c r="AG2522">
        <v>2520</v>
      </c>
    </row>
    <row r="2523" spans="33:33" x14ac:dyDescent="0.25">
      <c r="AG2523">
        <v>2521</v>
      </c>
    </row>
    <row r="2524" spans="33:33" x14ac:dyDescent="0.25">
      <c r="AG2524">
        <v>2522</v>
      </c>
    </row>
    <row r="2525" spans="33:33" x14ac:dyDescent="0.25">
      <c r="AG2525">
        <v>2523</v>
      </c>
    </row>
    <row r="2526" spans="33:33" x14ac:dyDescent="0.25">
      <c r="AG2526">
        <v>2524</v>
      </c>
    </row>
    <row r="2527" spans="33:33" x14ac:dyDescent="0.25">
      <c r="AG2527">
        <v>2525</v>
      </c>
    </row>
    <row r="2528" spans="33:33" x14ac:dyDescent="0.25">
      <c r="AG2528">
        <v>2526</v>
      </c>
    </row>
    <row r="2529" spans="33:33" x14ac:dyDescent="0.25">
      <c r="AG2529">
        <v>2527</v>
      </c>
    </row>
    <row r="2530" spans="33:33" x14ac:dyDescent="0.25">
      <c r="AG2530">
        <v>2528</v>
      </c>
    </row>
    <row r="2531" spans="33:33" x14ac:dyDescent="0.25">
      <c r="AG2531">
        <v>2529</v>
      </c>
    </row>
    <row r="2532" spans="33:33" x14ac:dyDescent="0.25">
      <c r="AG2532">
        <v>2530</v>
      </c>
    </row>
    <row r="2533" spans="33:33" x14ac:dyDescent="0.25">
      <c r="AG2533">
        <v>2531</v>
      </c>
    </row>
    <row r="2534" spans="33:33" x14ac:dyDescent="0.25">
      <c r="AG2534">
        <v>2532</v>
      </c>
    </row>
    <row r="2535" spans="33:33" x14ac:dyDescent="0.25">
      <c r="AG2535">
        <v>2533</v>
      </c>
    </row>
    <row r="2536" spans="33:33" x14ac:dyDescent="0.25">
      <c r="AG2536">
        <v>2534</v>
      </c>
    </row>
    <row r="2537" spans="33:33" x14ac:dyDescent="0.25">
      <c r="AG2537">
        <v>2535</v>
      </c>
    </row>
    <row r="2538" spans="33:33" x14ac:dyDescent="0.25">
      <c r="AG2538">
        <v>2536</v>
      </c>
    </row>
    <row r="2539" spans="33:33" x14ac:dyDescent="0.25">
      <c r="AG2539">
        <v>2537</v>
      </c>
    </row>
    <row r="2540" spans="33:33" x14ac:dyDescent="0.25">
      <c r="AG2540">
        <v>2538</v>
      </c>
    </row>
    <row r="2541" spans="33:33" x14ac:dyDescent="0.25">
      <c r="AG2541">
        <v>2539</v>
      </c>
    </row>
    <row r="2542" spans="33:33" x14ac:dyDescent="0.25">
      <c r="AG2542">
        <v>2540</v>
      </c>
    </row>
    <row r="2543" spans="33:33" x14ac:dyDescent="0.25">
      <c r="AG2543">
        <v>2541</v>
      </c>
    </row>
    <row r="2544" spans="33:33" x14ac:dyDescent="0.25">
      <c r="AG2544">
        <v>2542</v>
      </c>
    </row>
    <row r="2545" spans="33:33" x14ac:dyDescent="0.25">
      <c r="AG2545">
        <v>2543</v>
      </c>
    </row>
    <row r="2546" spans="33:33" x14ac:dyDescent="0.25">
      <c r="AG2546">
        <v>2544</v>
      </c>
    </row>
    <row r="2547" spans="33:33" x14ac:dyDescent="0.25">
      <c r="AG2547">
        <v>2545</v>
      </c>
    </row>
    <row r="2548" spans="33:33" x14ac:dyDescent="0.25">
      <c r="AG2548">
        <v>2546</v>
      </c>
    </row>
    <row r="2549" spans="33:33" x14ac:dyDescent="0.25">
      <c r="AG2549">
        <v>2547</v>
      </c>
    </row>
    <row r="2550" spans="33:33" x14ac:dyDescent="0.25">
      <c r="AG2550">
        <v>2548</v>
      </c>
    </row>
    <row r="2551" spans="33:33" x14ac:dyDescent="0.25">
      <c r="AG2551">
        <v>2549</v>
      </c>
    </row>
    <row r="2552" spans="33:33" x14ac:dyDescent="0.25">
      <c r="AG2552">
        <v>2550</v>
      </c>
    </row>
    <row r="2553" spans="33:33" x14ac:dyDescent="0.25">
      <c r="AG2553">
        <v>2551</v>
      </c>
    </row>
    <row r="2554" spans="33:33" x14ac:dyDescent="0.25">
      <c r="AG2554">
        <v>2552</v>
      </c>
    </row>
    <row r="2555" spans="33:33" x14ac:dyDescent="0.25">
      <c r="AG2555">
        <v>2553</v>
      </c>
    </row>
    <row r="2556" spans="33:33" x14ac:dyDescent="0.25">
      <c r="AG2556">
        <v>2554</v>
      </c>
    </row>
    <row r="2557" spans="33:33" x14ac:dyDescent="0.25">
      <c r="AG2557">
        <v>2555</v>
      </c>
    </row>
    <row r="2558" spans="33:33" x14ac:dyDescent="0.25">
      <c r="AG2558">
        <v>2556</v>
      </c>
    </row>
    <row r="2559" spans="33:33" x14ac:dyDescent="0.25">
      <c r="AG2559">
        <v>2557</v>
      </c>
    </row>
    <row r="2560" spans="33:33" x14ac:dyDescent="0.25">
      <c r="AG2560">
        <v>2558</v>
      </c>
    </row>
    <row r="2561" spans="33:33" x14ac:dyDescent="0.25">
      <c r="AG2561">
        <v>2559</v>
      </c>
    </row>
    <row r="2562" spans="33:33" x14ac:dyDescent="0.25">
      <c r="AG2562">
        <v>2560</v>
      </c>
    </row>
    <row r="2563" spans="33:33" x14ac:dyDescent="0.25">
      <c r="AG2563">
        <v>2561</v>
      </c>
    </row>
    <row r="2564" spans="33:33" x14ac:dyDescent="0.25">
      <c r="AG2564">
        <v>2562</v>
      </c>
    </row>
    <row r="2565" spans="33:33" x14ac:dyDescent="0.25">
      <c r="AG2565">
        <v>2563</v>
      </c>
    </row>
    <row r="2566" spans="33:33" x14ac:dyDescent="0.25">
      <c r="AG2566">
        <v>2564</v>
      </c>
    </row>
    <row r="2567" spans="33:33" x14ac:dyDescent="0.25">
      <c r="AG2567">
        <v>2565</v>
      </c>
    </row>
    <row r="2568" spans="33:33" x14ac:dyDescent="0.25">
      <c r="AG2568">
        <v>2566</v>
      </c>
    </row>
    <row r="2569" spans="33:33" x14ac:dyDescent="0.25">
      <c r="AG2569">
        <v>2567</v>
      </c>
    </row>
    <row r="2570" spans="33:33" x14ac:dyDescent="0.25">
      <c r="AG2570">
        <v>2568</v>
      </c>
    </row>
    <row r="2571" spans="33:33" x14ac:dyDescent="0.25">
      <c r="AG2571">
        <v>2569</v>
      </c>
    </row>
    <row r="2572" spans="33:33" x14ac:dyDescent="0.25">
      <c r="AG2572">
        <v>2570</v>
      </c>
    </row>
    <row r="2573" spans="33:33" x14ac:dyDescent="0.25">
      <c r="AG2573">
        <v>2571</v>
      </c>
    </row>
    <row r="2574" spans="33:33" x14ac:dyDescent="0.25">
      <c r="AG2574">
        <v>2572</v>
      </c>
    </row>
    <row r="2575" spans="33:33" x14ac:dyDescent="0.25">
      <c r="AG2575">
        <v>2573</v>
      </c>
    </row>
    <row r="2576" spans="33:33" x14ac:dyDescent="0.25">
      <c r="AG2576">
        <v>2574</v>
      </c>
    </row>
    <row r="2577" spans="33:33" x14ac:dyDescent="0.25">
      <c r="AG2577">
        <v>2575</v>
      </c>
    </row>
    <row r="2578" spans="33:33" x14ac:dyDescent="0.25">
      <c r="AG2578">
        <v>2576</v>
      </c>
    </row>
    <row r="2579" spans="33:33" x14ac:dyDescent="0.25">
      <c r="AG2579">
        <v>2577</v>
      </c>
    </row>
    <row r="2580" spans="33:33" x14ac:dyDescent="0.25">
      <c r="AG2580">
        <v>2578</v>
      </c>
    </row>
    <row r="2581" spans="33:33" x14ac:dyDescent="0.25">
      <c r="AG2581">
        <v>2579</v>
      </c>
    </row>
    <row r="2582" spans="33:33" x14ac:dyDescent="0.25">
      <c r="AG2582">
        <v>2580</v>
      </c>
    </row>
    <row r="2583" spans="33:33" x14ac:dyDescent="0.25">
      <c r="AG2583">
        <v>2581</v>
      </c>
    </row>
    <row r="2584" spans="33:33" x14ac:dyDescent="0.25">
      <c r="AG2584">
        <v>2582</v>
      </c>
    </row>
    <row r="2585" spans="33:33" x14ac:dyDescent="0.25">
      <c r="AG2585">
        <v>2583</v>
      </c>
    </row>
    <row r="2586" spans="33:33" x14ac:dyDescent="0.25">
      <c r="AG2586">
        <v>2584</v>
      </c>
    </row>
    <row r="2587" spans="33:33" x14ac:dyDescent="0.25">
      <c r="AG2587">
        <v>2585</v>
      </c>
    </row>
    <row r="2588" spans="33:33" x14ac:dyDescent="0.25">
      <c r="AG2588">
        <v>2586</v>
      </c>
    </row>
    <row r="2589" spans="33:33" x14ac:dyDescent="0.25">
      <c r="AG2589">
        <v>2587</v>
      </c>
    </row>
    <row r="2590" spans="33:33" x14ac:dyDescent="0.25">
      <c r="AG2590">
        <v>2588</v>
      </c>
    </row>
    <row r="2591" spans="33:33" x14ac:dyDescent="0.25">
      <c r="AG2591">
        <v>2589</v>
      </c>
    </row>
    <row r="2592" spans="33:33" x14ac:dyDescent="0.25">
      <c r="AG2592">
        <v>2590</v>
      </c>
    </row>
    <row r="2593" spans="33:33" x14ac:dyDescent="0.25">
      <c r="AG2593">
        <v>2591</v>
      </c>
    </row>
    <row r="2594" spans="33:33" x14ac:dyDescent="0.25">
      <c r="AG2594">
        <v>2592</v>
      </c>
    </row>
    <row r="2595" spans="33:33" x14ac:dyDescent="0.25">
      <c r="AG2595">
        <v>2593</v>
      </c>
    </row>
    <row r="2596" spans="33:33" x14ac:dyDescent="0.25">
      <c r="AG2596">
        <v>2594</v>
      </c>
    </row>
    <row r="2597" spans="33:33" x14ac:dyDescent="0.25">
      <c r="AG2597">
        <v>2595</v>
      </c>
    </row>
    <row r="2598" spans="33:33" x14ac:dyDescent="0.25">
      <c r="AG2598">
        <v>2596</v>
      </c>
    </row>
    <row r="2599" spans="33:33" x14ac:dyDescent="0.25">
      <c r="AG2599">
        <v>2597</v>
      </c>
    </row>
    <row r="2600" spans="33:33" x14ac:dyDescent="0.25">
      <c r="AG2600">
        <v>2598</v>
      </c>
    </row>
    <row r="2601" spans="33:33" x14ac:dyDescent="0.25">
      <c r="AG2601">
        <v>2599</v>
      </c>
    </row>
    <row r="2602" spans="33:33" x14ac:dyDescent="0.25">
      <c r="AG2602">
        <v>2600</v>
      </c>
    </row>
    <row r="2603" spans="33:33" x14ac:dyDescent="0.25">
      <c r="AG2603">
        <v>2601</v>
      </c>
    </row>
    <row r="2604" spans="33:33" x14ac:dyDescent="0.25">
      <c r="AG2604">
        <v>2602</v>
      </c>
    </row>
    <row r="2605" spans="33:33" x14ac:dyDescent="0.25">
      <c r="AG2605">
        <v>2603</v>
      </c>
    </row>
    <row r="2606" spans="33:33" x14ac:dyDescent="0.25">
      <c r="AG2606">
        <v>2604</v>
      </c>
    </row>
    <row r="2607" spans="33:33" x14ac:dyDescent="0.25">
      <c r="AG2607">
        <v>2605</v>
      </c>
    </row>
    <row r="2608" spans="33:33" x14ac:dyDescent="0.25">
      <c r="AG2608">
        <v>2606</v>
      </c>
    </row>
    <row r="2609" spans="33:33" x14ac:dyDescent="0.25">
      <c r="AG2609">
        <v>2607</v>
      </c>
    </row>
    <row r="2610" spans="33:33" x14ac:dyDescent="0.25">
      <c r="AG2610">
        <v>2608</v>
      </c>
    </row>
    <row r="2611" spans="33:33" x14ac:dyDescent="0.25">
      <c r="AG2611">
        <v>2609</v>
      </c>
    </row>
    <row r="2612" spans="33:33" x14ac:dyDescent="0.25">
      <c r="AG2612">
        <v>2610</v>
      </c>
    </row>
    <row r="2613" spans="33:33" x14ac:dyDescent="0.25">
      <c r="AG2613">
        <v>2611</v>
      </c>
    </row>
    <row r="2614" spans="33:33" x14ac:dyDescent="0.25">
      <c r="AG2614">
        <v>2612</v>
      </c>
    </row>
    <row r="2615" spans="33:33" x14ac:dyDescent="0.25">
      <c r="AG2615">
        <v>2613</v>
      </c>
    </row>
    <row r="2616" spans="33:33" x14ac:dyDescent="0.25">
      <c r="AG2616">
        <v>2614</v>
      </c>
    </row>
    <row r="2617" spans="33:33" x14ac:dyDescent="0.25">
      <c r="AG2617">
        <v>2615</v>
      </c>
    </row>
    <row r="2618" spans="33:33" x14ac:dyDescent="0.25">
      <c r="AG2618">
        <v>2616</v>
      </c>
    </row>
    <row r="2619" spans="33:33" x14ac:dyDescent="0.25">
      <c r="AG2619">
        <v>2617</v>
      </c>
    </row>
    <row r="2620" spans="33:33" x14ac:dyDescent="0.25">
      <c r="AG2620">
        <v>2618</v>
      </c>
    </row>
    <row r="2621" spans="33:33" x14ac:dyDescent="0.25">
      <c r="AG2621">
        <v>2619</v>
      </c>
    </row>
    <row r="2622" spans="33:33" x14ac:dyDescent="0.25">
      <c r="AG2622">
        <v>2620</v>
      </c>
    </row>
    <row r="2623" spans="33:33" x14ac:dyDescent="0.25">
      <c r="AG2623">
        <v>2621</v>
      </c>
    </row>
    <row r="2624" spans="33:33" x14ac:dyDescent="0.25">
      <c r="AG2624">
        <v>2622</v>
      </c>
    </row>
    <row r="2625" spans="33:33" x14ac:dyDescent="0.25">
      <c r="AG2625">
        <v>2623</v>
      </c>
    </row>
    <row r="2626" spans="33:33" x14ac:dyDescent="0.25">
      <c r="AG2626">
        <v>2624</v>
      </c>
    </row>
    <row r="2627" spans="33:33" x14ac:dyDescent="0.25">
      <c r="AG2627">
        <v>2625</v>
      </c>
    </row>
    <row r="2628" spans="33:33" x14ac:dyDescent="0.25">
      <c r="AG2628">
        <v>2626</v>
      </c>
    </row>
    <row r="2629" spans="33:33" x14ac:dyDescent="0.25">
      <c r="AG2629">
        <v>2627</v>
      </c>
    </row>
    <row r="2630" spans="33:33" x14ac:dyDescent="0.25">
      <c r="AG2630">
        <v>2628</v>
      </c>
    </row>
    <row r="2631" spans="33:33" x14ac:dyDescent="0.25">
      <c r="AG2631">
        <v>2629</v>
      </c>
    </row>
    <row r="2632" spans="33:33" x14ac:dyDescent="0.25">
      <c r="AG2632">
        <v>2630</v>
      </c>
    </row>
    <row r="2633" spans="33:33" x14ac:dyDescent="0.25">
      <c r="AG2633">
        <v>2631</v>
      </c>
    </row>
    <row r="2634" spans="33:33" x14ac:dyDescent="0.25">
      <c r="AG2634">
        <v>2632</v>
      </c>
    </row>
    <row r="2635" spans="33:33" x14ac:dyDescent="0.25">
      <c r="AG2635">
        <v>2633</v>
      </c>
    </row>
    <row r="2636" spans="33:33" x14ac:dyDescent="0.25">
      <c r="AG2636">
        <v>2634</v>
      </c>
    </row>
    <row r="2637" spans="33:33" x14ac:dyDescent="0.25">
      <c r="AG2637">
        <v>2635</v>
      </c>
    </row>
    <row r="2638" spans="33:33" x14ac:dyDescent="0.25">
      <c r="AG2638">
        <v>2636</v>
      </c>
    </row>
    <row r="2639" spans="33:33" x14ac:dyDescent="0.25">
      <c r="AG2639">
        <v>2637</v>
      </c>
    </row>
    <row r="2640" spans="33:33" x14ac:dyDescent="0.25">
      <c r="AG2640">
        <v>2638</v>
      </c>
    </row>
    <row r="2641" spans="33:33" x14ac:dyDescent="0.25">
      <c r="AG2641">
        <v>2639</v>
      </c>
    </row>
    <row r="2642" spans="33:33" x14ac:dyDescent="0.25">
      <c r="AG2642">
        <v>2640</v>
      </c>
    </row>
    <row r="2643" spans="33:33" x14ac:dyDescent="0.25">
      <c r="AG2643">
        <v>2641</v>
      </c>
    </row>
    <row r="2644" spans="33:33" x14ac:dyDescent="0.25">
      <c r="AG2644">
        <v>2642</v>
      </c>
    </row>
    <row r="2645" spans="33:33" x14ac:dyDescent="0.25">
      <c r="AG2645">
        <v>2643</v>
      </c>
    </row>
    <row r="2646" spans="33:33" x14ac:dyDescent="0.25">
      <c r="AG2646">
        <v>2644</v>
      </c>
    </row>
    <row r="2647" spans="33:33" x14ac:dyDescent="0.25">
      <c r="AG2647">
        <v>2645</v>
      </c>
    </row>
    <row r="2648" spans="33:33" x14ac:dyDescent="0.25">
      <c r="AG2648">
        <v>2646</v>
      </c>
    </row>
    <row r="2649" spans="33:33" x14ac:dyDescent="0.25">
      <c r="AG2649">
        <v>2647</v>
      </c>
    </row>
    <row r="2650" spans="33:33" x14ac:dyDescent="0.25">
      <c r="AG2650">
        <v>2648</v>
      </c>
    </row>
    <row r="2651" spans="33:33" x14ac:dyDescent="0.25">
      <c r="AG2651">
        <v>2649</v>
      </c>
    </row>
    <row r="2652" spans="33:33" x14ac:dyDescent="0.25">
      <c r="AG2652">
        <v>2650</v>
      </c>
    </row>
    <row r="2653" spans="33:33" x14ac:dyDescent="0.25">
      <c r="AG2653">
        <v>2651</v>
      </c>
    </row>
    <row r="2654" spans="33:33" x14ac:dyDescent="0.25">
      <c r="AG2654">
        <v>2652</v>
      </c>
    </row>
    <row r="2655" spans="33:33" x14ac:dyDescent="0.25">
      <c r="AG2655">
        <v>2653</v>
      </c>
    </row>
    <row r="2656" spans="33:33" x14ac:dyDescent="0.25">
      <c r="AG2656">
        <v>2654</v>
      </c>
    </row>
    <row r="2657" spans="33:33" x14ac:dyDescent="0.25">
      <c r="AG2657">
        <v>2655</v>
      </c>
    </row>
    <row r="2658" spans="33:33" x14ac:dyDescent="0.25">
      <c r="AG2658">
        <v>2656</v>
      </c>
    </row>
    <row r="2659" spans="33:33" x14ac:dyDescent="0.25">
      <c r="AG2659">
        <v>2657</v>
      </c>
    </row>
    <row r="2660" spans="33:33" x14ac:dyDescent="0.25">
      <c r="AG2660">
        <v>2658</v>
      </c>
    </row>
    <row r="2661" spans="33:33" x14ac:dyDescent="0.25">
      <c r="AG2661">
        <v>2659</v>
      </c>
    </row>
    <row r="2662" spans="33:33" x14ac:dyDescent="0.25">
      <c r="AG2662">
        <v>2660</v>
      </c>
    </row>
    <row r="2663" spans="33:33" x14ac:dyDescent="0.25">
      <c r="AG2663">
        <v>2661</v>
      </c>
    </row>
    <row r="2664" spans="33:33" x14ac:dyDescent="0.25">
      <c r="AG2664">
        <v>2662</v>
      </c>
    </row>
    <row r="2665" spans="33:33" x14ac:dyDescent="0.25">
      <c r="AG2665">
        <v>2663</v>
      </c>
    </row>
    <row r="2666" spans="33:33" x14ac:dyDescent="0.25">
      <c r="AG2666">
        <v>2664</v>
      </c>
    </row>
    <row r="2667" spans="33:33" x14ac:dyDescent="0.25">
      <c r="AG2667">
        <v>2665</v>
      </c>
    </row>
    <row r="2668" spans="33:33" x14ac:dyDescent="0.25">
      <c r="AG2668">
        <v>2666</v>
      </c>
    </row>
    <row r="2669" spans="33:33" x14ac:dyDescent="0.25">
      <c r="AG2669">
        <v>2667</v>
      </c>
    </row>
    <row r="2670" spans="33:33" x14ac:dyDescent="0.25">
      <c r="AG2670">
        <v>2668</v>
      </c>
    </row>
    <row r="2671" spans="33:33" x14ac:dyDescent="0.25">
      <c r="AG2671">
        <v>2669</v>
      </c>
    </row>
    <row r="2672" spans="33:33" x14ac:dyDescent="0.25">
      <c r="AG2672">
        <v>2670</v>
      </c>
    </row>
    <row r="2673" spans="33:33" x14ac:dyDescent="0.25">
      <c r="AG2673">
        <v>2671</v>
      </c>
    </row>
    <row r="2674" spans="33:33" x14ac:dyDescent="0.25">
      <c r="AG2674">
        <v>2672</v>
      </c>
    </row>
    <row r="2675" spans="33:33" x14ac:dyDescent="0.25">
      <c r="AG2675">
        <v>2673</v>
      </c>
    </row>
    <row r="2676" spans="33:33" x14ac:dyDescent="0.25">
      <c r="AG2676">
        <v>2674</v>
      </c>
    </row>
    <row r="2677" spans="33:33" x14ac:dyDescent="0.25">
      <c r="AG2677">
        <v>2675</v>
      </c>
    </row>
    <row r="2678" spans="33:33" x14ac:dyDescent="0.25">
      <c r="AG2678">
        <v>2676</v>
      </c>
    </row>
    <row r="2679" spans="33:33" x14ac:dyDescent="0.25">
      <c r="AG2679">
        <v>2677</v>
      </c>
    </row>
    <row r="2680" spans="33:33" x14ac:dyDescent="0.25">
      <c r="AG2680">
        <v>2678</v>
      </c>
    </row>
    <row r="2681" spans="33:33" x14ac:dyDescent="0.25">
      <c r="AG2681">
        <v>2679</v>
      </c>
    </row>
    <row r="2682" spans="33:33" x14ac:dyDescent="0.25">
      <c r="AG2682">
        <v>2680</v>
      </c>
    </row>
    <row r="2683" spans="33:33" x14ac:dyDescent="0.25">
      <c r="AG2683">
        <v>2681</v>
      </c>
    </row>
    <row r="2684" spans="33:33" x14ac:dyDescent="0.25">
      <c r="AG2684">
        <v>2682</v>
      </c>
    </row>
    <row r="2685" spans="33:33" x14ac:dyDescent="0.25">
      <c r="AG2685">
        <v>2683</v>
      </c>
    </row>
    <row r="2686" spans="33:33" x14ac:dyDescent="0.25">
      <c r="AG2686">
        <v>2684</v>
      </c>
    </row>
    <row r="2687" spans="33:33" x14ac:dyDescent="0.25">
      <c r="AG2687">
        <v>2685</v>
      </c>
    </row>
    <row r="2688" spans="33:33" x14ac:dyDescent="0.25">
      <c r="AG2688">
        <v>2686</v>
      </c>
    </row>
    <row r="2689" spans="33:33" x14ac:dyDescent="0.25">
      <c r="AG2689">
        <v>2687</v>
      </c>
    </row>
    <row r="2690" spans="33:33" x14ac:dyDescent="0.25">
      <c r="AG2690">
        <v>2688</v>
      </c>
    </row>
    <row r="2691" spans="33:33" x14ac:dyDescent="0.25">
      <c r="AG2691">
        <v>2689</v>
      </c>
    </row>
    <row r="2692" spans="33:33" x14ac:dyDescent="0.25">
      <c r="AG2692">
        <v>2690</v>
      </c>
    </row>
    <row r="2693" spans="33:33" x14ac:dyDescent="0.25">
      <c r="AG2693">
        <v>2691</v>
      </c>
    </row>
    <row r="2694" spans="33:33" x14ac:dyDescent="0.25">
      <c r="AG2694">
        <v>2692</v>
      </c>
    </row>
    <row r="2695" spans="33:33" x14ac:dyDescent="0.25">
      <c r="AG2695">
        <v>2693</v>
      </c>
    </row>
    <row r="2696" spans="33:33" x14ac:dyDescent="0.25">
      <c r="AG2696">
        <v>2694</v>
      </c>
    </row>
    <row r="2697" spans="33:33" x14ac:dyDescent="0.25">
      <c r="AG2697">
        <v>2695</v>
      </c>
    </row>
    <row r="2698" spans="33:33" x14ac:dyDescent="0.25">
      <c r="AG2698">
        <v>2696</v>
      </c>
    </row>
    <row r="2699" spans="33:33" x14ac:dyDescent="0.25">
      <c r="AG2699">
        <v>2697</v>
      </c>
    </row>
    <row r="2700" spans="33:33" x14ac:dyDescent="0.25">
      <c r="AG2700">
        <v>2698</v>
      </c>
    </row>
    <row r="2701" spans="33:33" x14ac:dyDescent="0.25">
      <c r="AG2701">
        <v>2699</v>
      </c>
    </row>
    <row r="2702" spans="33:33" x14ac:dyDescent="0.25">
      <c r="AG2702">
        <v>2700</v>
      </c>
    </row>
    <row r="2703" spans="33:33" x14ac:dyDescent="0.25">
      <c r="AG2703">
        <v>2701</v>
      </c>
    </row>
    <row r="2704" spans="33:33" x14ac:dyDescent="0.25">
      <c r="AG2704">
        <v>2702</v>
      </c>
    </row>
    <row r="2705" spans="33:33" x14ac:dyDescent="0.25">
      <c r="AG2705">
        <v>2703</v>
      </c>
    </row>
    <row r="2706" spans="33:33" x14ac:dyDescent="0.25">
      <c r="AG2706">
        <v>2704</v>
      </c>
    </row>
    <row r="2707" spans="33:33" x14ac:dyDescent="0.25">
      <c r="AG2707">
        <v>2705</v>
      </c>
    </row>
    <row r="2708" spans="33:33" x14ac:dyDescent="0.25">
      <c r="AG2708">
        <v>2706</v>
      </c>
    </row>
    <row r="2709" spans="33:33" x14ac:dyDescent="0.25">
      <c r="AG2709">
        <v>2707</v>
      </c>
    </row>
    <row r="2710" spans="33:33" x14ac:dyDescent="0.25">
      <c r="AG2710">
        <v>2708</v>
      </c>
    </row>
    <row r="2711" spans="33:33" x14ac:dyDescent="0.25">
      <c r="AG2711">
        <v>2709</v>
      </c>
    </row>
    <row r="2712" spans="33:33" x14ac:dyDescent="0.25">
      <c r="AG2712">
        <v>2710</v>
      </c>
    </row>
    <row r="2713" spans="33:33" x14ac:dyDescent="0.25">
      <c r="AG2713">
        <v>2711</v>
      </c>
    </row>
    <row r="2714" spans="33:33" x14ac:dyDescent="0.25">
      <c r="AG2714">
        <v>2712</v>
      </c>
    </row>
    <row r="2715" spans="33:33" x14ac:dyDescent="0.25">
      <c r="AG2715">
        <v>2713</v>
      </c>
    </row>
    <row r="2716" spans="33:33" x14ac:dyDescent="0.25">
      <c r="AG2716">
        <v>2714</v>
      </c>
    </row>
    <row r="2717" spans="33:33" x14ac:dyDescent="0.25">
      <c r="AG2717">
        <v>2715</v>
      </c>
    </row>
    <row r="2718" spans="33:33" x14ac:dyDescent="0.25">
      <c r="AG2718">
        <v>2716</v>
      </c>
    </row>
    <row r="2719" spans="33:33" x14ac:dyDescent="0.25">
      <c r="AG2719">
        <v>2717</v>
      </c>
    </row>
    <row r="2720" spans="33:33" x14ac:dyDescent="0.25">
      <c r="AG2720">
        <v>2718</v>
      </c>
    </row>
    <row r="2721" spans="33:33" x14ac:dyDescent="0.25">
      <c r="AG2721">
        <v>2719</v>
      </c>
    </row>
    <row r="2722" spans="33:33" x14ac:dyDescent="0.25">
      <c r="AG2722">
        <v>2720</v>
      </c>
    </row>
    <row r="2723" spans="33:33" x14ac:dyDescent="0.25">
      <c r="AG2723">
        <v>2721</v>
      </c>
    </row>
    <row r="2724" spans="33:33" x14ac:dyDescent="0.25">
      <c r="AG2724">
        <v>2722</v>
      </c>
    </row>
    <row r="2725" spans="33:33" x14ac:dyDescent="0.25">
      <c r="AG2725">
        <v>2723</v>
      </c>
    </row>
    <row r="2726" spans="33:33" x14ac:dyDescent="0.25">
      <c r="AG2726">
        <v>2724</v>
      </c>
    </row>
    <row r="2727" spans="33:33" x14ac:dyDescent="0.25">
      <c r="AG2727">
        <v>2725</v>
      </c>
    </row>
    <row r="2728" spans="33:33" x14ac:dyDescent="0.25">
      <c r="AG2728">
        <v>2726</v>
      </c>
    </row>
    <row r="2729" spans="33:33" x14ac:dyDescent="0.25">
      <c r="AG2729">
        <v>2727</v>
      </c>
    </row>
    <row r="2730" spans="33:33" x14ac:dyDescent="0.25">
      <c r="AG2730">
        <v>2728</v>
      </c>
    </row>
    <row r="2731" spans="33:33" x14ac:dyDescent="0.25">
      <c r="AG2731">
        <v>2729</v>
      </c>
    </row>
    <row r="2732" spans="33:33" x14ac:dyDescent="0.25">
      <c r="AG2732">
        <v>2730</v>
      </c>
    </row>
    <row r="2733" spans="33:33" x14ac:dyDescent="0.25">
      <c r="AG2733">
        <v>2731</v>
      </c>
    </row>
    <row r="2734" spans="33:33" x14ac:dyDescent="0.25">
      <c r="AG2734">
        <v>2732</v>
      </c>
    </row>
    <row r="2735" spans="33:33" x14ac:dyDescent="0.25">
      <c r="AG2735">
        <v>2733</v>
      </c>
    </row>
    <row r="2736" spans="33:33" x14ac:dyDescent="0.25">
      <c r="AG2736">
        <v>2734</v>
      </c>
    </row>
    <row r="2737" spans="33:33" x14ac:dyDescent="0.25">
      <c r="AG2737">
        <v>2735</v>
      </c>
    </row>
    <row r="2738" spans="33:33" x14ac:dyDescent="0.25">
      <c r="AG2738">
        <v>2736</v>
      </c>
    </row>
    <row r="2739" spans="33:33" x14ac:dyDescent="0.25">
      <c r="AG2739">
        <v>2737</v>
      </c>
    </row>
    <row r="2740" spans="33:33" x14ac:dyDescent="0.25">
      <c r="AG2740">
        <v>2738</v>
      </c>
    </row>
    <row r="2741" spans="33:33" x14ac:dyDescent="0.25">
      <c r="AG2741">
        <v>2739</v>
      </c>
    </row>
    <row r="2742" spans="33:33" x14ac:dyDescent="0.25">
      <c r="AG2742">
        <v>2740</v>
      </c>
    </row>
    <row r="2743" spans="33:33" x14ac:dyDescent="0.25">
      <c r="AG2743">
        <v>2741</v>
      </c>
    </row>
    <row r="2744" spans="33:33" x14ac:dyDescent="0.25">
      <c r="AG2744">
        <v>2742</v>
      </c>
    </row>
    <row r="2745" spans="33:33" x14ac:dyDescent="0.25">
      <c r="AG2745">
        <v>2743</v>
      </c>
    </row>
    <row r="2746" spans="33:33" x14ac:dyDescent="0.25">
      <c r="AG2746">
        <v>2744</v>
      </c>
    </row>
    <row r="2747" spans="33:33" x14ac:dyDescent="0.25">
      <c r="AG2747">
        <v>2745</v>
      </c>
    </row>
    <row r="2748" spans="33:33" x14ac:dyDescent="0.25">
      <c r="AG2748">
        <v>2746</v>
      </c>
    </row>
    <row r="2749" spans="33:33" x14ac:dyDescent="0.25">
      <c r="AG2749">
        <v>2747</v>
      </c>
    </row>
    <row r="2750" spans="33:33" x14ac:dyDescent="0.25">
      <c r="AG2750">
        <v>2748</v>
      </c>
    </row>
    <row r="2751" spans="33:33" x14ac:dyDescent="0.25">
      <c r="AG2751">
        <v>2749</v>
      </c>
    </row>
    <row r="2752" spans="33:33" x14ac:dyDescent="0.25">
      <c r="AG2752">
        <v>2750</v>
      </c>
    </row>
    <row r="2753" spans="33:33" x14ac:dyDescent="0.25">
      <c r="AG2753">
        <v>2751</v>
      </c>
    </row>
    <row r="2754" spans="33:33" x14ac:dyDescent="0.25">
      <c r="AG2754">
        <v>2752</v>
      </c>
    </row>
    <row r="2755" spans="33:33" x14ac:dyDescent="0.25">
      <c r="AG2755">
        <v>2753</v>
      </c>
    </row>
    <row r="2756" spans="33:33" x14ac:dyDescent="0.25">
      <c r="AG2756">
        <v>2754</v>
      </c>
    </row>
    <row r="2757" spans="33:33" x14ac:dyDescent="0.25">
      <c r="AG2757">
        <v>2755</v>
      </c>
    </row>
    <row r="2758" spans="33:33" x14ac:dyDescent="0.25">
      <c r="AG2758">
        <v>2756</v>
      </c>
    </row>
    <row r="2759" spans="33:33" x14ac:dyDescent="0.25">
      <c r="AG2759">
        <v>2757</v>
      </c>
    </row>
    <row r="2760" spans="33:33" x14ac:dyDescent="0.25">
      <c r="AG2760">
        <v>2758</v>
      </c>
    </row>
    <row r="2761" spans="33:33" x14ac:dyDescent="0.25">
      <c r="AG2761">
        <v>2759</v>
      </c>
    </row>
    <row r="2762" spans="33:33" x14ac:dyDescent="0.25">
      <c r="AG2762">
        <v>2760</v>
      </c>
    </row>
    <row r="2763" spans="33:33" x14ac:dyDescent="0.25">
      <c r="AG2763">
        <v>2761</v>
      </c>
    </row>
    <row r="2764" spans="33:33" x14ac:dyDescent="0.25">
      <c r="AG2764">
        <v>2762</v>
      </c>
    </row>
    <row r="2765" spans="33:33" x14ac:dyDescent="0.25">
      <c r="AG2765">
        <v>2763</v>
      </c>
    </row>
    <row r="2766" spans="33:33" x14ac:dyDescent="0.25">
      <c r="AG2766">
        <v>2764</v>
      </c>
    </row>
    <row r="2767" spans="33:33" x14ac:dyDescent="0.25">
      <c r="AG2767">
        <v>2765</v>
      </c>
    </row>
    <row r="2768" spans="33:33" x14ac:dyDescent="0.25">
      <c r="AG2768">
        <v>2766</v>
      </c>
    </row>
    <row r="2769" spans="33:33" x14ac:dyDescent="0.25">
      <c r="AG2769">
        <v>2767</v>
      </c>
    </row>
    <row r="2770" spans="33:33" x14ac:dyDescent="0.25">
      <c r="AG2770">
        <v>2768</v>
      </c>
    </row>
    <row r="2771" spans="33:33" x14ac:dyDescent="0.25">
      <c r="AG2771">
        <v>2769</v>
      </c>
    </row>
    <row r="2772" spans="33:33" x14ac:dyDescent="0.25">
      <c r="AG2772">
        <v>2770</v>
      </c>
    </row>
    <row r="2773" spans="33:33" x14ac:dyDescent="0.25">
      <c r="AG2773">
        <v>2771</v>
      </c>
    </row>
    <row r="2774" spans="33:33" x14ac:dyDescent="0.25">
      <c r="AG2774">
        <v>2772</v>
      </c>
    </row>
    <row r="2775" spans="33:33" x14ac:dyDescent="0.25">
      <c r="AG2775">
        <v>2773</v>
      </c>
    </row>
    <row r="2776" spans="33:33" x14ac:dyDescent="0.25">
      <c r="AG2776">
        <v>2774</v>
      </c>
    </row>
    <row r="2777" spans="33:33" x14ac:dyDescent="0.25">
      <c r="AG2777">
        <v>2775</v>
      </c>
    </row>
    <row r="2778" spans="33:33" x14ac:dyDescent="0.25">
      <c r="AG2778">
        <v>2776</v>
      </c>
    </row>
    <row r="2779" spans="33:33" x14ac:dyDescent="0.25">
      <c r="AG2779">
        <v>2777</v>
      </c>
    </row>
    <row r="2780" spans="33:33" x14ac:dyDescent="0.25">
      <c r="AG2780">
        <v>2778</v>
      </c>
    </row>
    <row r="2781" spans="33:33" x14ac:dyDescent="0.25">
      <c r="AG2781">
        <v>2779</v>
      </c>
    </row>
    <row r="2782" spans="33:33" x14ac:dyDescent="0.25">
      <c r="AG2782">
        <v>2780</v>
      </c>
    </row>
    <row r="2783" spans="33:33" x14ac:dyDescent="0.25">
      <c r="AG2783">
        <v>2781</v>
      </c>
    </row>
    <row r="2784" spans="33:33" x14ac:dyDescent="0.25">
      <c r="AG2784">
        <v>2782</v>
      </c>
    </row>
    <row r="2785" spans="33:33" x14ac:dyDescent="0.25">
      <c r="AG2785">
        <v>2783</v>
      </c>
    </row>
    <row r="2786" spans="33:33" x14ac:dyDescent="0.25">
      <c r="AG2786">
        <v>2784</v>
      </c>
    </row>
    <row r="2787" spans="33:33" x14ac:dyDescent="0.25">
      <c r="AG2787">
        <v>2785</v>
      </c>
    </row>
    <row r="2788" spans="33:33" x14ac:dyDescent="0.25">
      <c r="AG2788">
        <v>2786</v>
      </c>
    </row>
    <row r="2789" spans="33:33" x14ac:dyDescent="0.25">
      <c r="AG2789">
        <v>2787</v>
      </c>
    </row>
    <row r="2790" spans="33:33" x14ac:dyDescent="0.25">
      <c r="AG2790">
        <v>2788</v>
      </c>
    </row>
    <row r="2791" spans="33:33" x14ac:dyDescent="0.25">
      <c r="AG2791">
        <v>2789</v>
      </c>
    </row>
    <row r="2792" spans="33:33" x14ac:dyDescent="0.25">
      <c r="AG2792">
        <v>2790</v>
      </c>
    </row>
    <row r="2793" spans="33:33" x14ac:dyDescent="0.25">
      <c r="AG2793">
        <v>2791</v>
      </c>
    </row>
    <row r="2794" spans="33:33" x14ac:dyDescent="0.25">
      <c r="AG2794">
        <v>2792</v>
      </c>
    </row>
    <row r="2795" spans="33:33" x14ac:dyDescent="0.25">
      <c r="AG2795">
        <v>2793</v>
      </c>
    </row>
    <row r="2796" spans="33:33" x14ac:dyDescent="0.25">
      <c r="AG2796">
        <v>2794</v>
      </c>
    </row>
    <row r="2797" spans="33:33" x14ac:dyDescent="0.25">
      <c r="AG2797">
        <v>2795</v>
      </c>
    </row>
    <row r="2798" spans="33:33" x14ac:dyDescent="0.25">
      <c r="AG2798">
        <v>2796</v>
      </c>
    </row>
    <row r="2799" spans="33:33" x14ac:dyDescent="0.25">
      <c r="AG2799">
        <v>2797</v>
      </c>
    </row>
    <row r="2800" spans="33:33" x14ac:dyDescent="0.25">
      <c r="AG2800">
        <v>2798</v>
      </c>
    </row>
    <row r="2801" spans="33:33" x14ac:dyDescent="0.25">
      <c r="AG2801">
        <v>2799</v>
      </c>
    </row>
    <row r="2802" spans="33:33" x14ac:dyDescent="0.25">
      <c r="AG2802">
        <v>2800</v>
      </c>
    </row>
    <row r="2803" spans="33:33" x14ac:dyDescent="0.25">
      <c r="AG2803">
        <v>2801</v>
      </c>
    </row>
    <row r="2804" spans="33:33" x14ac:dyDescent="0.25">
      <c r="AG2804">
        <v>2802</v>
      </c>
    </row>
    <row r="2805" spans="33:33" x14ac:dyDescent="0.25">
      <c r="AG2805">
        <v>2803</v>
      </c>
    </row>
    <row r="2806" spans="33:33" x14ac:dyDescent="0.25">
      <c r="AG2806">
        <v>2804</v>
      </c>
    </row>
    <row r="2807" spans="33:33" x14ac:dyDescent="0.25">
      <c r="AG2807">
        <v>2805</v>
      </c>
    </row>
    <row r="2808" spans="33:33" x14ac:dyDescent="0.25">
      <c r="AG2808">
        <v>2806</v>
      </c>
    </row>
    <row r="2809" spans="33:33" x14ac:dyDescent="0.25">
      <c r="AG2809">
        <v>2807</v>
      </c>
    </row>
    <row r="2810" spans="33:33" x14ac:dyDescent="0.25">
      <c r="AG2810">
        <v>2808</v>
      </c>
    </row>
    <row r="2811" spans="33:33" x14ac:dyDescent="0.25">
      <c r="AG2811">
        <v>2809</v>
      </c>
    </row>
    <row r="2812" spans="33:33" x14ac:dyDescent="0.25">
      <c r="AG2812">
        <v>2810</v>
      </c>
    </row>
    <row r="2813" spans="33:33" x14ac:dyDescent="0.25">
      <c r="AG2813">
        <v>2811</v>
      </c>
    </row>
    <row r="2814" spans="33:33" x14ac:dyDescent="0.25">
      <c r="AG2814">
        <v>2812</v>
      </c>
    </row>
    <row r="2815" spans="33:33" x14ac:dyDescent="0.25">
      <c r="AG2815">
        <v>2813</v>
      </c>
    </row>
    <row r="2816" spans="33:33" x14ac:dyDescent="0.25">
      <c r="AG2816">
        <v>2814</v>
      </c>
    </row>
    <row r="2817" spans="33:33" x14ac:dyDescent="0.25">
      <c r="AG2817">
        <v>2815</v>
      </c>
    </row>
    <row r="2818" spans="33:33" x14ac:dyDescent="0.25">
      <c r="AG2818">
        <v>2816</v>
      </c>
    </row>
    <row r="2819" spans="33:33" x14ac:dyDescent="0.25">
      <c r="AG2819">
        <v>2817</v>
      </c>
    </row>
    <row r="2820" spans="33:33" x14ac:dyDescent="0.25">
      <c r="AG2820">
        <v>2818</v>
      </c>
    </row>
    <row r="2821" spans="33:33" x14ac:dyDescent="0.25">
      <c r="AG2821">
        <v>2819</v>
      </c>
    </row>
    <row r="2822" spans="33:33" x14ac:dyDescent="0.25">
      <c r="AG2822">
        <v>2820</v>
      </c>
    </row>
    <row r="2823" spans="33:33" x14ac:dyDescent="0.25">
      <c r="AG2823">
        <v>2821</v>
      </c>
    </row>
    <row r="2824" spans="33:33" x14ac:dyDescent="0.25">
      <c r="AG2824">
        <v>2822</v>
      </c>
    </row>
    <row r="2825" spans="33:33" x14ac:dyDescent="0.25">
      <c r="AG2825">
        <v>2823</v>
      </c>
    </row>
    <row r="2826" spans="33:33" x14ac:dyDescent="0.25">
      <c r="AG2826">
        <v>2824</v>
      </c>
    </row>
    <row r="2827" spans="33:33" x14ac:dyDescent="0.25">
      <c r="AG2827">
        <v>2825</v>
      </c>
    </row>
    <row r="2828" spans="33:33" x14ac:dyDescent="0.25">
      <c r="AG2828">
        <v>2826</v>
      </c>
    </row>
    <row r="2829" spans="33:33" x14ac:dyDescent="0.25">
      <c r="AG2829">
        <v>2827</v>
      </c>
    </row>
    <row r="2830" spans="33:33" x14ac:dyDescent="0.25">
      <c r="AG2830">
        <v>2828</v>
      </c>
    </row>
    <row r="2831" spans="33:33" x14ac:dyDescent="0.25">
      <c r="AG2831">
        <v>2829</v>
      </c>
    </row>
    <row r="2832" spans="33:33" x14ac:dyDescent="0.25">
      <c r="AG2832">
        <v>2830</v>
      </c>
    </row>
    <row r="2833" spans="33:33" x14ac:dyDescent="0.25">
      <c r="AG2833">
        <v>2831</v>
      </c>
    </row>
    <row r="2834" spans="33:33" x14ac:dyDescent="0.25">
      <c r="AG2834">
        <v>2832</v>
      </c>
    </row>
    <row r="2835" spans="33:33" x14ac:dyDescent="0.25">
      <c r="AG2835">
        <v>2833</v>
      </c>
    </row>
    <row r="2836" spans="33:33" x14ac:dyDescent="0.25">
      <c r="AG2836">
        <v>2834</v>
      </c>
    </row>
    <row r="2837" spans="33:33" x14ac:dyDescent="0.25">
      <c r="AG2837">
        <v>2835</v>
      </c>
    </row>
    <row r="2838" spans="33:33" x14ac:dyDescent="0.25">
      <c r="AG2838">
        <v>2836</v>
      </c>
    </row>
    <row r="2839" spans="33:33" x14ac:dyDescent="0.25">
      <c r="AG2839">
        <v>2837</v>
      </c>
    </row>
    <row r="2840" spans="33:33" x14ac:dyDescent="0.25">
      <c r="AG2840">
        <v>2838</v>
      </c>
    </row>
    <row r="2841" spans="33:33" x14ac:dyDescent="0.25">
      <c r="AG2841">
        <v>2839</v>
      </c>
    </row>
    <row r="2842" spans="33:33" x14ac:dyDescent="0.25">
      <c r="AG2842">
        <v>2840</v>
      </c>
    </row>
    <row r="2843" spans="33:33" x14ac:dyDescent="0.25">
      <c r="AG2843">
        <v>2841</v>
      </c>
    </row>
    <row r="2844" spans="33:33" x14ac:dyDescent="0.25">
      <c r="AG2844">
        <v>2842</v>
      </c>
    </row>
    <row r="2845" spans="33:33" x14ac:dyDescent="0.25">
      <c r="AG2845">
        <v>2843</v>
      </c>
    </row>
    <row r="2846" spans="33:33" x14ac:dyDescent="0.25">
      <c r="AG2846">
        <v>2844</v>
      </c>
    </row>
    <row r="2847" spans="33:33" x14ac:dyDescent="0.25">
      <c r="AG2847">
        <v>2845</v>
      </c>
    </row>
    <row r="2848" spans="33:33" x14ac:dyDescent="0.25">
      <c r="AG2848">
        <v>2846</v>
      </c>
    </row>
    <row r="2849" spans="33:33" x14ac:dyDescent="0.25">
      <c r="AG2849">
        <v>2847</v>
      </c>
    </row>
    <row r="2850" spans="33:33" x14ac:dyDescent="0.25">
      <c r="AG2850">
        <v>2848</v>
      </c>
    </row>
    <row r="2851" spans="33:33" x14ac:dyDescent="0.25">
      <c r="AG2851">
        <v>2849</v>
      </c>
    </row>
    <row r="2852" spans="33:33" x14ac:dyDescent="0.25">
      <c r="AG2852">
        <v>2850</v>
      </c>
    </row>
    <row r="2853" spans="33:33" x14ac:dyDescent="0.25">
      <c r="AG2853">
        <v>2851</v>
      </c>
    </row>
    <row r="2854" spans="33:33" x14ac:dyDescent="0.25">
      <c r="AG2854">
        <v>2852</v>
      </c>
    </row>
    <row r="2855" spans="33:33" x14ac:dyDescent="0.25">
      <c r="AG2855">
        <v>2853</v>
      </c>
    </row>
    <row r="2856" spans="33:33" x14ac:dyDescent="0.25">
      <c r="AG2856">
        <v>2854</v>
      </c>
    </row>
    <row r="2857" spans="33:33" x14ac:dyDescent="0.25">
      <c r="AG2857">
        <v>2855</v>
      </c>
    </row>
    <row r="2858" spans="33:33" x14ac:dyDescent="0.25">
      <c r="AG2858">
        <v>2856</v>
      </c>
    </row>
    <row r="2859" spans="33:33" x14ac:dyDescent="0.25">
      <c r="AG2859">
        <v>2857</v>
      </c>
    </row>
    <row r="2860" spans="33:33" x14ac:dyDescent="0.25">
      <c r="AG2860">
        <v>2858</v>
      </c>
    </row>
    <row r="2861" spans="33:33" x14ac:dyDescent="0.25">
      <c r="AG2861">
        <v>2859</v>
      </c>
    </row>
    <row r="2862" spans="33:33" x14ac:dyDescent="0.25">
      <c r="AG2862">
        <v>2860</v>
      </c>
    </row>
    <row r="2863" spans="33:33" x14ac:dyDescent="0.25">
      <c r="AG2863">
        <v>2861</v>
      </c>
    </row>
    <row r="2864" spans="33:33" x14ac:dyDescent="0.25">
      <c r="AG2864">
        <v>2862</v>
      </c>
    </row>
    <row r="2865" spans="33:33" x14ac:dyDescent="0.25">
      <c r="AG2865">
        <v>2863</v>
      </c>
    </row>
    <row r="2866" spans="33:33" x14ac:dyDescent="0.25">
      <c r="AG2866">
        <v>2864</v>
      </c>
    </row>
    <row r="2867" spans="33:33" x14ac:dyDescent="0.25">
      <c r="AG2867">
        <v>2865</v>
      </c>
    </row>
    <row r="2868" spans="33:33" x14ac:dyDescent="0.25">
      <c r="AG2868">
        <v>2866</v>
      </c>
    </row>
    <row r="2869" spans="33:33" x14ac:dyDescent="0.25">
      <c r="AG2869">
        <v>2867</v>
      </c>
    </row>
    <row r="2870" spans="33:33" x14ac:dyDescent="0.25">
      <c r="AG2870">
        <v>2868</v>
      </c>
    </row>
    <row r="2871" spans="33:33" x14ac:dyDescent="0.25">
      <c r="AG2871">
        <v>2869</v>
      </c>
    </row>
    <row r="2872" spans="33:33" x14ac:dyDescent="0.25">
      <c r="AG2872">
        <v>2870</v>
      </c>
    </row>
    <row r="2873" spans="33:33" x14ac:dyDescent="0.25">
      <c r="AG2873">
        <v>2871</v>
      </c>
    </row>
    <row r="2874" spans="33:33" x14ac:dyDescent="0.25">
      <c r="AG2874">
        <v>2872</v>
      </c>
    </row>
    <row r="2875" spans="33:33" x14ac:dyDescent="0.25">
      <c r="AG2875">
        <v>2873</v>
      </c>
    </row>
    <row r="2876" spans="33:33" x14ac:dyDescent="0.25">
      <c r="AG2876">
        <v>2874</v>
      </c>
    </row>
    <row r="2877" spans="33:33" x14ac:dyDescent="0.25">
      <c r="AG2877">
        <v>2875</v>
      </c>
    </row>
    <row r="2878" spans="33:33" x14ac:dyDescent="0.25">
      <c r="AG2878">
        <v>2876</v>
      </c>
    </row>
    <row r="2879" spans="33:33" x14ac:dyDescent="0.25">
      <c r="AG2879">
        <v>2877</v>
      </c>
    </row>
    <row r="2880" spans="33:33" x14ac:dyDescent="0.25">
      <c r="AG2880">
        <v>2878</v>
      </c>
    </row>
    <row r="2881" spans="33:33" x14ac:dyDescent="0.25">
      <c r="AG2881">
        <v>2879</v>
      </c>
    </row>
    <row r="2882" spans="33:33" x14ac:dyDescent="0.25">
      <c r="AG2882">
        <v>2880</v>
      </c>
    </row>
    <row r="2883" spans="33:33" x14ac:dyDescent="0.25">
      <c r="AG2883">
        <v>2881</v>
      </c>
    </row>
    <row r="2884" spans="33:33" x14ac:dyDescent="0.25">
      <c r="AG2884">
        <v>2882</v>
      </c>
    </row>
    <row r="2885" spans="33:33" x14ac:dyDescent="0.25">
      <c r="AG2885">
        <v>2883</v>
      </c>
    </row>
    <row r="2886" spans="33:33" x14ac:dyDescent="0.25">
      <c r="AG2886">
        <v>2884</v>
      </c>
    </row>
    <row r="2887" spans="33:33" x14ac:dyDescent="0.25">
      <c r="AG2887">
        <v>2885</v>
      </c>
    </row>
    <row r="2888" spans="33:33" x14ac:dyDescent="0.25">
      <c r="AG2888">
        <v>2886</v>
      </c>
    </row>
    <row r="2889" spans="33:33" x14ac:dyDescent="0.25">
      <c r="AG2889">
        <v>2887</v>
      </c>
    </row>
    <row r="2890" spans="33:33" x14ac:dyDescent="0.25">
      <c r="AG2890">
        <v>2888</v>
      </c>
    </row>
    <row r="2891" spans="33:33" x14ac:dyDescent="0.25">
      <c r="AG2891">
        <v>2889</v>
      </c>
    </row>
    <row r="2892" spans="33:33" x14ac:dyDescent="0.25">
      <c r="AG2892">
        <v>2890</v>
      </c>
    </row>
    <row r="2893" spans="33:33" x14ac:dyDescent="0.25">
      <c r="AG2893">
        <v>2891</v>
      </c>
    </row>
    <row r="2894" spans="33:33" x14ac:dyDescent="0.25">
      <c r="AG2894">
        <v>2892</v>
      </c>
    </row>
    <row r="2895" spans="33:33" x14ac:dyDescent="0.25">
      <c r="AG2895">
        <v>2893</v>
      </c>
    </row>
    <row r="2896" spans="33:33" x14ac:dyDescent="0.25">
      <c r="AG2896">
        <v>2894</v>
      </c>
    </row>
    <row r="2897" spans="33:33" x14ac:dyDescent="0.25">
      <c r="AG2897">
        <v>2895</v>
      </c>
    </row>
    <row r="2898" spans="33:33" x14ac:dyDescent="0.25">
      <c r="AG2898">
        <v>2896</v>
      </c>
    </row>
    <row r="2899" spans="33:33" x14ac:dyDescent="0.25">
      <c r="AG2899">
        <v>2897</v>
      </c>
    </row>
    <row r="2900" spans="33:33" x14ac:dyDescent="0.25">
      <c r="AG2900">
        <v>2898</v>
      </c>
    </row>
    <row r="2901" spans="33:33" x14ac:dyDescent="0.25">
      <c r="AG2901">
        <v>2899</v>
      </c>
    </row>
    <row r="2902" spans="33:33" x14ac:dyDescent="0.25">
      <c r="AG2902">
        <v>2900</v>
      </c>
    </row>
    <row r="2903" spans="33:33" x14ac:dyDescent="0.25">
      <c r="AG2903">
        <v>2901</v>
      </c>
    </row>
    <row r="2904" spans="33:33" x14ac:dyDescent="0.25">
      <c r="AG2904">
        <v>2902</v>
      </c>
    </row>
    <row r="2905" spans="33:33" x14ac:dyDescent="0.25">
      <c r="AG2905">
        <v>2903</v>
      </c>
    </row>
    <row r="2906" spans="33:33" x14ac:dyDescent="0.25">
      <c r="AG2906">
        <v>2904</v>
      </c>
    </row>
    <row r="2907" spans="33:33" x14ac:dyDescent="0.25">
      <c r="AG2907">
        <v>2905</v>
      </c>
    </row>
    <row r="2908" spans="33:33" x14ac:dyDescent="0.25">
      <c r="AG2908">
        <v>2906</v>
      </c>
    </row>
    <row r="2909" spans="33:33" x14ac:dyDescent="0.25">
      <c r="AG2909">
        <v>2907</v>
      </c>
    </row>
    <row r="2910" spans="33:33" x14ac:dyDescent="0.25">
      <c r="AG2910">
        <v>2908</v>
      </c>
    </row>
    <row r="2911" spans="33:33" x14ac:dyDescent="0.25">
      <c r="AG2911">
        <v>2909</v>
      </c>
    </row>
    <row r="2912" spans="33:33" x14ac:dyDescent="0.25">
      <c r="AG2912">
        <v>2910</v>
      </c>
    </row>
    <row r="2913" spans="33:33" x14ac:dyDescent="0.25">
      <c r="AG2913">
        <v>2911</v>
      </c>
    </row>
    <row r="2914" spans="33:33" x14ac:dyDescent="0.25">
      <c r="AG2914">
        <v>2912</v>
      </c>
    </row>
    <row r="2915" spans="33:33" x14ac:dyDescent="0.25">
      <c r="AG2915">
        <v>2913</v>
      </c>
    </row>
    <row r="2916" spans="33:33" x14ac:dyDescent="0.25">
      <c r="AG2916">
        <v>2914</v>
      </c>
    </row>
    <row r="2917" spans="33:33" x14ac:dyDescent="0.25">
      <c r="AG2917">
        <v>2915</v>
      </c>
    </row>
    <row r="2918" spans="33:33" x14ac:dyDescent="0.25">
      <c r="AG2918">
        <v>2916</v>
      </c>
    </row>
    <row r="2919" spans="33:33" x14ac:dyDescent="0.25">
      <c r="AG2919">
        <v>2917</v>
      </c>
    </row>
    <row r="2920" spans="33:33" x14ac:dyDescent="0.25">
      <c r="AG2920">
        <v>2918</v>
      </c>
    </row>
    <row r="2921" spans="33:33" x14ac:dyDescent="0.25">
      <c r="AG2921">
        <v>2919</v>
      </c>
    </row>
    <row r="2922" spans="33:33" x14ac:dyDescent="0.25">
      <c r="AG2922">
        <v>2920</v>
      </c>
    </row>
    <row r="2923" spans="33:33" x14ac:dyDescent="0.25">
      <c r="AG2923">
        <v>2921</v>
      </c>
    </row>
    <row r="2924" spans="33:33" x14ac:dyDescent="0.25">
      <c r="AG2924">
        <v>2922</v>
      </c>
    </row>
    <row r="2925" spans="33:33" x14ac:dyDescent="0.25">
      <c r="AG2925">
        <v>2923</v>
      </c>
    </row>
    <row r="2926" spans="33:33" x14ac:dyDescent="0.25">
      <c r="AG2926">
        <v>2924</v>
      </c>
    </row>
    <row r="2927" spans="33:33" x14ac:dyDescent="0.25">
      <c r="AG2927">
        <v>2925</v>
      </c>
    </row>
    <row r="2928" spans="33:33" x14ac:dyDescent="0.25">
      <c r="AG2928">
        <v>2926</v>
      </c>
    </row>
    <row r="2929" spans="33:33" x14ac:dyDescent="0.25">
      <c r="AG2929">
        <v>2927</v>
      </c>
    </row>
    <row r="2930" spans="33:33" x14ac:dyDescent="0.25">
      <c r="AG2930">
        <v>2928</v>
      </c>
    </row>
    <row r="2931" spans="33:33" x14ac:dyDescent="0.25">
      <c r="AG2931">
        <v>2929</v>
      </c>
    </row>
    <row r="2932" spans="33:33" x14ac:dyDescent="0.25">
      <c r="AG2932">
        <v>2930</v>
      </c>
    </row>
    <row r="2933" spans="33:33" x14ac:dyDescent="0.25">
      <c r="AG2933">
        <v>2931</v>
      </c>
    </row>
    <row r="2934" spans="33:33" x14ac:dyDescent="0.25">
      <c r="AG2934">
        <v>2932</v>
      </c>
    </row>
    <row r="2935" spans="33:33" x14ac:dyDescent="0.25">
      <c r="AG2935">
        <v>2933</v>
      </c>
    </row>
    <row r="2936" spans="33:33" x14ac:dyDescent="0.25">
      <c r="AG2936">
        <v>2934</v>
      </c>
    </row>
    <row r="2937" spans="33:33" x14ac:dyDescent="0.25">
      <c r="AG2937">
        <v>2935</v>
      </c>
    </row>
    <row r="2938" spans="33:33" x14ac:dyDescent="0.25">
      <c r="AG2938">
        <v>2936</v>
      </c>
    </row>
    <row r="2939" spans="33:33" x14ac:dyDescent="0.25">
      <c r="AG2939">
        <v>2937</v>
      </c>
    </row>
    <row r="2940" spans="33:33" x14ac:dyDescent="0.25">
      <c r="AG2940">
        <v>2938</v>
      </c>
    </row>
    <row r="2941" spans="33:33" x14ac:dyDescent="0.25">
      <c r="AG2941">
        <v>2939</v>
      </c>
    </row>
    <row r="2942" spans="33:33" x14ac:dyDescent="0.25">
      <c r="AG2942">
        <v>2940</v>
      </c>
    </row>
    <row r="2943" spans="33:33" x14ac:dyDescent="0.25">
      <c r="AG2943">
        <v>2941</v>
      </c>
    </row>
    <row r="2944" spans="33:33" x14ac:dyDescent="0.25">
      <c r="AG2944">
        <v>2942</v>
      </c>
    </row>
    <row r="2945" spans="33:33" x14ac:dyDescent="0.25">
      <c r="AG2945">
        <v>2943</v>
      </c>
    </row>
    <row r="2946" spans="33:33" x14ac:dyDescent="0.25">
      <c r="AG2946">
        <v>2944</v>
      </c>
    </row>
    <row r="2947" spans="33:33" x14ac:dyDescent="0.25">
      <c r="AG2947">
        <v>2945</v>
      </c>
    </row>
    <row r="2948" spans="33:33" x14ac:dyDescent="0.25">
      <c r="AG2948">
        <v>2946</v>
      </c>
    </row>
    <row r="2949" spans="33:33" x14ac:dyDescent="0.25">
      <c r="AG2949">
        <v>2947</v>
      </c>
    </row>
    <row r="2950" spans="33:33" x14ac:dyDescent="0.25">
      <c r="AG2950">
        <v>2948</v>
      </c>
    </row>
    <row r="2951" spans="33:33" x14ac:dyDescent="0.25">
      <c r="AG2951">
        <v>2949</v>
      </c>
    </row>
    <row r="2952" spans="33:33" x14ac:dyDescent="0.25">
      <c r="AG2952">
        <v>2950</v>
      </c>
    </row>
    <row r="2953" spans="33:33" x14ac:dyDescent="0.25">
      <c r="AG2953">
        <v>2951</v>
      </c>
    </row>
    <row r="2954" spans="33:33" x14ac:dyDescent="0.25">
      <c r="AG2954">
        <v>2952</v>
      </c>
    </row>
    <row r="2955" spans="33:33" x14ac:dyDescent="0.25">
      <c r="AG2955">
        <v>2953</v>
      </c>
    </row>
    <row r="2956" spans="33:33" x14ac:dyDescent="0.25">
      <c r="AG2956">
        <v>2954</v>
      </c>
    </row>
    <row r="2957" spans="33:33" x14ac:dyDescent="0.25">
      <c r="AG2957">
        <v>2955</v>
      </c>
    </row>
    <row r="2958" spans="33:33" x14ac:dyDescent="0.25">
      <c r="AG2958">
        <v>2956</v>
      </c>
    </row>
    <row r="2959" spans="33:33" x14ac:dyDescent="0.25">
      <c r="AG2959">
        <v>2957</v>
      </c>
    </row>
    <row r="2960" spans="33:33" x14ac:dyDescent="0.25">
      <c r="AG2960">
        <v>2958</v>
      </c>
    </row>
    <row r="2961" spans="33:33" x14ac:dyDescent="0.25">
      <c r="AG2961">
        <v>2959</v>
      </c>
    </row>
    <row r="2962" spans="33:33" x14ac:dyDescent="0.25">
      <c r="AG2962">
        <v>2960</v>
      </c>
    </row>
    <row r="2963" spans="33:33" x14ac:dyDescent="0.25">
      <c r="AG2963">
        <v>2961</v>
      </c>
    </row>
    <row r="2964" spans="33:33" x14ac:dyDescent="0.25">
      <c r="AG2964">
        <v>2962</v>
      </c>
    </row>
    <row r="2965" spans="33:33" x14ac:dyDescent="0.25">
      <c r="AG2965">
        <v>2963</v>
      </c>
    </row>
    <row r="2966" spans="33:33" x14ac:dyDescent="0.25">
      <c r="AG2966">
        <v>2964</v>
      </c>
    </row>
    <row r="2967" spans="33:33" x14ac:dyDescent="0.25">
      <c r="AG2967">
        <v>2965</v>
      </c>
    </row>
    <row r="2968" spans="33:33" x14ac:dyDescent="0.25">
      <c r="AG2968">
        <v>2966</v>
      </c>
    </row>
    <row r="2969" spans="33:33" x14ac:dyDescent="0.25">
      <c r="AG2969">
        <v>2967</v>
      </c>
    </row>
    <row r="2970" spans="33:33" x14ac:dyDescent="0.25">
      <c r="AG2970">
        <v>2968</v>
      </c>
    </row>
    <row r="2971" spans="33:33" x14ac:dyDescent="0.25">
      <c r="AG2971">
        <v>2969</v>
      </c>
    </row>
    <row r="2972" spans="33:33" x14ac:dyDescent="0.25">
      <c r="AG2972">
        <v>2970</v>
      </c>
    </row>
    <row r="2973" spans="33:33" x14ac:dyDescent="0.25">
      <c r="AG2973">
        <v>2971</v>
      </c>
    </row>
    <row r="2974" spans="33:33" x14ac:dyDescent="0.25">
      <c r="AG2974">
        <v>2972</v>
      </c>
    </row>
    <row r="2975" spans="33:33" x14ac:dyDescent="0.25">
      <c r="AG2975">
        <v>2973</v>
      </c>
    </row>
    <row r="2976" spans="33:33" x14ac:dyDescent="0.25">
      <c r="AG2976">
        <v>2974</v>
      </c>
    </row>
    <row r="2977" spans="33:33" x14ac:dyDescent="0.25">
      <c r="AG2977">
        <v>2975</v>
      </c>
    </row>
    <row r="2978" spans="33:33" x14ac:dyDescent="0.25">
      <c r="AG2978">
        <v>2976</v>
      </c>
    </row>
    <row r="2979" spans="33:33" x14ac:dyDescent="0.25">
      <c r="AG2979">
        <v>2977</v>
      </c>
    </row>
    <row r="2980" spans="33:33" x14ac:dyDescent="0.25">
      <c r="AG2980">
        <v>2978</v>
      </c>
    </row>
    <row r="2981" spans="33:33" x14ac:dyDescent="0.25">
      <c r="AG2981">
        <v>2979</v>
      </c>
    </row>
    <row r="2982" spans="33:33" x14ac:dyDescent="0.25">
      <c r="AG2982">
        <v>2980</v>
      </c>
    </row>
    <row r="2983" spans="33:33" x14ac:dyDescent="0.25">
      <c r="AG2983">
        <v>2981</v>
      </c>
    </row>
    <row r="2984" spans="33:33" x14ac:dyDescent="0.25">
      <c r="AG2984">
        <v>2982</v>
      </c>
    </row>
    <row r="2985" spans="33:33" x14ac:dyDescent="0.25">
      <c r="AG2985">
        <v>2983</v>
      </c>
    </row>
    <row r="2986" spans="33:33" x14ac:dyDescent="0.25">
      <c r="AG2986">
        <v>2984</v>
      </c>
    </row>
    <row r="2987" spans="33:33" x14ac:dyDescent="0.25">
      <c r="AG2987">
        <v>2985</v>
      </c>
    </row>
    <row r="2988" spans="33:33" x14ac:dyDescent="0.25">
      <c r="AG2988">
        <v>2986</v>
      </c>
    </row>
    <row r="2989" spans="33:33" x14ac:dyDescent="0.25">
      <c r="AG2989">
        <v>2987</v>
      </c>
    </row>
    <row r="2990" spans="33:33" x14ac:dyDescent="0.25">
      <c r="AG2990">
        <v>2988</v>
      </c>
    </row>
    <row r="2991" spans="33:33" x14ac:dyDescent="0.25">
      <c r="AG2991">
        <v>2989</v>
      </c>
    </row>
    <row r="2992" spans="33:33" x14ac:dyDescent="0.25">
      <c r="AG2992">
        <v>2990</v>
      </c>
    </row>
    <row r="2993" spans="33:33" x14ac:dyDescent="0.25">
      <c r="AG2993">
        <v>2991</v>
      </c>
    </row>
    <row r="2994" spans="33:33" x14ac:dyDescent="0.25">
      <c r="AG2994">
        <v>2992</v>
      </c>
    </row>
    <row r="2995" spans="33:33" x14ac:dyDescent="0.25">
      <c r="AG2995">
        <v>2993</v>
      </c>
    </row>
    <row r="2996" spans="33:33" x14ac:dyDescent="0.25">
      <c r="AG2996">
        <v>2994</v>
      </c>
    </row>
    <row r="2997" spans="33:33" x14ac:dyDescent="0.25">
      <c r="AG2997">
        <v>2995</v>
      </c>
    </row>
    <row r="2998" spans="33:33" x14ac:dyDescent="0.25">
      <c r="AG2998">
        <v>2996</v>
      </c>
    </row>
    <row r="2999" spans="33:33" x14ac:dyDescent="0.25">
      <c r="AG2999">
        <v>2997</v>
      </c>
    </row>
    <row r="3000" spans="33:33" x14ac:dyDescent="0.25">
      <c r="AG3000">
        <v>2998</v>
      </c>
    </row>
    <row r="3001" spans="33:33" x14ac:dyDescent="0.25">
      <c r="AG3001">
        <v>2999</v>
      </c>
    </row>
    <row r="3002" spans="33:33" x14ac:dyDescent="0.25">
      <c r="AG3002">
        <v>3000</v>
      </c>
    </row>
    <row r="3003" spans="33:33" x14ac:dyDescent="0.25">
      <c r="AG3003">
        <v>3001</v>
      </c>
    </row>
    <row r="3004" spans="33:33" x14ac:dyDescent="0.25">
      <c r="AG3004">
        <v>3002</v>
      </c>
    </row>
    <row r="3005" spans="33:33" x14ac:dyDescent="0.25">
      <c r="AG3005">
        <v>3003</v>
      </c>
    </row>
    <row r="3006" spans="33:33" x14ac:dyDescent="0.25">
      <c r="AG3006">
        <v>3004</v>
      </c>
    </row>
    <row r="3007" spans="33:33" x14ac:dyDescent="0.25">
      <c r="AG3007">
        <v>3005</v>
      </c>
    </row>
    <row r="3008" spans="33:33" x14ac:dyDescent="0.25">
      <c r="AG3008">
        <v>3006</v>
      </c>
    </row>
    <row r="3009" spans="33:33" x14ac:dyDescent="0.25">
      <c r="AG3009">
        <v>3007</v>
      </c>
    </row>
    <row r="3010" spans="33:33" x14ac:dyDescent="0.25">
      <c r="AG3010">
        <v>3008</v>
      </c>
    </row>
    <row r="3011" spans="33:33" x14ac:dyDescent="0.25">
      <c r="AG3011">
        <v>3009</v>
      </c>
    </row>
    <row r="3012" spans="33:33" x14ac:dyDescent="0.25">
      <c r="AG3012">
        <v>3010</v>
      </c>
    </row>
    <row r="3013" spans="33:33" x14ac:dyDescent="0.25">
      <c r="AG3013">
        <v>3011</v>
      </c>
    </row>
    <row r="3014" spans="33:33" x14ac:dyDescent="0.25">
      <c r="AG3014">
        <v>3012</v>
      </c>
    </row>
    <row r="3015" spans="33:33" x14ac:dyDescent="0.25">
      <c r="AG3015">
        <v>3013</v>
      </c>
    </row>
    <row r="3016" spans="33:33" x14ac:dyDescent="0.25">
      <c r="AG3016">
        <v>3014</v>
      </c>
    </row>
    <row r="3017" spans="33:33" x14ac:dyDescent="0.25">
      <c r="AG3017">
        <v>3015</v>
      </c>
    </row>
    <row r="3018" spans="33:33" x14ac:dyDescent="0.25">
      <c r="AG3018">
        <v>3016</v>
      </c>
    </row>
    <row r="3019" spans="33:33" x14ac:dyDescent="0.25">
      <c r="AG3019">
        <v>3017</v>
      </c>
    </row>
    <row r="3020" spans="33:33" x14ac:dyDescent="0.25">
      <c r="AG3020">
        <v>3018</v>
      </c>
    </row>
    <row r="3021" spans="33:33" x14ac:dyDescent="0.25">
      <c r="AG3021">
        <v>3019</v>
      </c>
    </row>
    <row r="3022" spans="33:33" x14ac:dyDescent="0.25">
      <c r="AG3022">
        <v>3020</v>
      </c>
    </row>
    <row r="3023" spans="33:33" x14ac:dyDescent="0.25">
      <c r="AG3023">
        <v>3021</v>
      </c>
    </row>
    <row r="3024" spans="33:33" x14ac:dyDescent="0.25">
      <c r="AG3024">
        <v>3022</v>
      </c>
    </row>
    <row r="3025" spans="33:33" x14ac:dyDescent="0.25">
      <c r="AG3025">
        <v>3023</v>
      </c>
    </row>
    <row r="3026" spans="33:33" x14ac:dyDescent="0.25">
      <c r="AG3026">
        <v>3024</v>
      </c>
    </row>
    <row r="3027" spans="33:33" x14ac:dyDescent="0.25">
      <c r="AG3027">
        <v>3025</v>
      </c>
    </row>
    <row r="3028" spans="33:33" x14ac:dyDescent="0.25">
      <c r="AG3028">
        <v>3026</v>
      </c>
    </row>
    <row r="3029" spans="33:33" x14ac:dyDescent="0.25">
      <c r="AG3029">
        <v>3027</v>
      </c>
    </row>
    <row r="3030" spans="33:33" x14ac:dyDescent="0.25">
      <c r="AG3030">
        <v>3028</v>
      </c>
    </row>
    <row r="3031" spans="33:33" x14ac:dyDescent="0.25">
      <c r="AG3031">
        <v>3029</v>
      </c>
    </row>
    <row r="3032" spans="33:33" x14ac:dyDescent="0.25">
      <c r="AG3032">
        <v>3030</v>
      </c>
    </row>
    <row r="3033" spans="33:33" x14ac:dyDescent="0.25">
      <c r="AG3033">
        <v>3031</v>
      </c>
    </row>
    <row r="3034" spans="33:33" x14ac:dyDescent="0.25">
      <c r="AG3034">
        <v>3032</v>
      </c>
    </row>
    <row r="3035" spans="33:33" x14ac:dyDescent="0.25">
      <c r="AG3035">
        <v>3033</v>
      </c>
    </row>
    <row r="3036" spans="33:33" x14ac:dyDescent="0.25">
      <c r="AG3036">
        <v>3034</v>
      </c>
    </row>
    <row r="3037" spans="33:33" x14ac:dyDescent="0.25">
      <c r="AG3037">
        <v>3035</v>
      </c>
    </row>
    <row r="3038" spans="33:33" x14ac:dyDescent="0.25">
      <c r="AG3038">
        <v>3036</v>
      </c>
    </row>
    <row r="3039" spans="33:33" x14ac:dyDescent="0.25">
      <c r="AG3039">
        <v>3037</v>
      </c>
    </row>
    <row r="3040" spans="33:33" x14ac:dyDescent="0.25">
      <c r="AG3040">
        <v>3038</v>
      </c>
    </row>
    <row r="3041" spans="33:33" x14ac:dyDescent="0.25">
      <c r="AG3041">
        <v>3039</v>
      </c>
    </row>
    <row r="3042" spans="33:33" x14ac:dyDescent="0.25">
      <c r="AG3042">
        <v>3040</v>
      </c>
    </row>
    <row r="3043" spans="33:33" x14ac:dyDescent="0.25">
      <c r="AG3043">
        <v>3041</v>
      </c>
    </row>
    <row r="3044" spans="33:33" x14ac:dyDescent="0.25">
      <c r="AG3044">
        <v>3042</v>
      </c>
    </row>
    <row r="3045" spans="33:33" x14ac:dyDescent="0.25">
      <c r="AG3045">
        <v>3043</v>
      </c>
    </row>
    <row r="3046" spans="33:33" x14ac:dyDescent="0.25">
      <c r="AG3046">
        <v>3044</v>
      </c>
    </row>
    <row r="3047" spans="33:33" x14ac:dyDescent="0.25">
      <c r="AG3047">
        <v>3045</v>
      </c>
    </row>
    <row r="3048" spans="33:33" x14ac:dyDescent="0.25">
      <c r="AG3048">
        <v>3046</v>
      </c>
    </row>
    <row r="3049" spans="33:33" x14ac:dyDescent="0.25">
      <c r="AG3049">
        <v>3047</v>
      </c>
    </row>
    <row r="3050" spans="33:33" x14ac:dyDescent="0.25">
      <c r="AG3050">
        <v>3048</v>
      </c>
    </row>
    <row r="3051" spans="33:33" x14ac:dyDescent="0.25">
      <c r="AG3051">
        <v>3049</v>
      </c>
    </row>
    <row r="3052" spans="33:33" x14ac:dyDescent="0.25">
      <c r="AG3052">
        <v>3050</v>
      </c>
    </row>
    <row r="3053" spans="33:33" x14ac:dyDescent="0.25">
      <c r="AG3053">
        <v>3051</v>
      </c>
    </row>
    <row r="3054" spans="33:33" x14ac:dyDescent="0.25">
      <c r="AG3054">
        <v>3052</v>
      </c>
    </row>
    <row r="3055" spans="33:33" x14ac:dyDescent="0.25">
      <c r="AG3055">
        <v>3053</v>
      </c>
    </row>
    <row r="3056" spans="33:33" x14ac:dyDescent="0.25">
      <c r="AG3056">
        <v>3054</v>
      </c>
    </row>
    <row r="3057" spans="33:33" x14ac:dyDescent="0.25">
      <c r="AG3057">
        <v>3055</v>
      </c>
    </row>
    <row r="3058" spans="33:33" x14ac:dyDescent="0.25">
      <c r="AG3058">
        <v>3056</v>
      </c>
    </row>
    <row r="3059" spans="33:33" x14ac:dyDescent="0.25">
      <c r="AG3059">
        <v>3057</v>
      </c>
    </row>
    <row r="3060" spans="33:33" x14ac:dyDescent="0.25">
      <c r="AG3060">
        <v>3058</v>
      </c>
    </row>
    <row r="3061" spans="33:33" x14ac:dyDescent="0.25">
      <c r="AG3061">
        <v>3059</v>
      </c>
    </row>
    <row r="3062" spans="33:33" x14ac:dyDescent="0.25">
      <c r="AG3062">
        <v>3060</v>
      </c>
    </row>
    <row r="3063" spans="33:33" x14ac:dyDescent="0.25">
      <c r="AG3063">
        <v>3061</v>
      </c>
    </row>
    <row r="3064" spans="33:33" x14ac:dyDescent="0.25">
      <c r="AG3064">
        <v>3062</v>
      </c>
    </row>
    <row r="3065" spans="33:33" x14ac:dyDescent="0.25">
      <c r="AG3065">
        <v>3063</v>
      </c>
    </row>
    <row r="3066" spans="33:33" x14ac:dyDescent="0.25">
      <c r="AG3066">
        <v>3064</v>
      </c>
    </row>
    <row r="3067" spans="33:33" x14ac:dyDescent="0.25">
      <c r="AG3067">
        <v>3065</v>
      </c>
    </row>
    <row r="3068" spans="33:33" x14ac:dyDescent="0.25">
      <c r="AG3068">
        <v>3066</v>
      </c>
    </row>
    <row r="3069" spans="33:33" x14ac:dyDescent="0.25">
      <c r="AG3069">
        <v>3067</v>
      </c>
    </row>
    <row r="3070" spans="33:33" x14ac:dyDescent="0.25">
      <c r="AG3070">
        <v>3068</v>
      </c>
    </row>
    <row r="3071" spans="33:33" x14ac:dyDescent="0.25">
      <c r="AG3071">
        <v>3069</v>
      </c>
    </row>
    <row r="3072" spans="33:33" x14ac:dyDescent="0.25">
      <c r="AG3072">
        <v>3070</v>
      </c>
    </row>
    <row r="3073" spans="33:33" x14ac:dyDescent="0.25">
      <c r="AG3073">
        <v>3071</v>
      </c>
    </row>
    <row r="3074" spans="33:33" x14ac:dyDescent="0.25">
      <c r="AG3074">
        <v>3072</v>
      </c>
    </row>
    <row r="3075" spans="33:33" x14ac:dyDescent="0.25">
      <c r="AG3075">
        <v>3073</v>
      </c>
    </row>
    <row r="3076" spans="33:33" x14ac:dyDescent="0.25">
      <c r="AG3076">
        <v>3074</v>
      </c>
    </row>
    <row r="3077" spans="33:33" x14ac:dyDescent="0.25">
      <c r="AG3077">
        <v>3075</v>
      </c>
    </row>
    <row r="3078" spans="33:33" x14ac:dyDescent="0.25">
      <c r="AG3078">
        <v>3076</v>
      </c>
    </row>
    <row r="3079" spans="33:33" x14ac:dyDescent="0.25">
      <c r="AG3079">
        <v>3077</v>
      </c>
    </row>
    <row r="3080" spans="33:33" x14ac:dyDescent="0.25">
      <c r="AG3080">
        <v>3078</v>
      </c>
    </row>
    <row r="3081" spans="33:33" x14ac:dyDescent="0.25">
      <c r="AG3081">
        <v>3079</v>
      </c>
    </row>
    <row r="3082" spans="33:33" x14ac:dyDescent="0.25">
      <c r="AG3082">
        <v>3080</v>
      </c>
    </row>
    <row r="3083" spans="33:33" x14ac:dyDescent="0.25">
      <c r="AG3083">
        <v>3081</v>
      </c>
    </row>
    <row r="3084" spans="33:33" x14ac:dyDescent="0.25">
      <c r="AG3084">
        <v>3082</v>
      </c>
    </row>
    <row r="3085" spans="33:33" x14ac:dyDescent="0.25">
      <c r="AG3085">
        <v>3083</v>
      </c>
    </row>
    <row r="3086" spans="33:33" x14ac:dyDescent="0.25">
      <c r="AG3086">
        <v>3084</v>
      </c>
    </row>
    <row r="3087" spans="33:33" x14ac:dyDescent="0.25">
      <c r="AG3087">
        <v>3085</v>
      </c>
    </row>
    <row r="3088" spans="33:33" x14ac:dyDescent="0.25">
      <c r="AG3088">
        <v>3086</v>
      </c>
    </row>
    <row r="3089" spans="33:33" x14ac:dyDescent="0.25">
      <c r="AG3089">
        <v>3087</v>
      </c>
    </row>
    <row r="3090" spans="33:33" x14ac:dyDescent="0.25">
      <c r="AG3090">
        <v>3088</v>
      </c>
    </row>
    <row r="3091" spans="33:33" x14ac:dyDescent="0.25">
      <c r="AG3091">
        <v>3089</v>
      </c>
    </row>
    <row r="3092" spans="33:33" x14ac:dyDescent="0.25">
      <c r="AG3092">
        <v>3090</v>
      </c>
    </row>
    <row r="3093" spans="33:33" x14ac:dyDescent="0.25">
      <c r="AG3093">
        <v>3091</v>
      </c>
    </row>
    <row r="3094" spans="33:33" x14ac:dyDescent="0.25">
      <c r="AG3094">
        <v>3092</v>
      </c>
    </row>
    <row r="3095" spans="33:33" x14ac:dyDescent="0.25">
      <c r="AG3095">
        <v>3093</v>
      </c>
    </row>
    <row r="3096" spans="33:33" x14ac:dyDescent="0.25">
      <c r="AG3096">
        <v>3094</v>
      </c>
    </row>
    <row r="3097" spans="33:33" x14ac:dyDescent="0.25">
      <c r="AG3097">
        <v>3095</v>
      </c>
    </row>
    <row r="3098" spans="33:33" x14ac:dyDescent="0.25">
      <c r="AG3098">
        <v>3096</v>
      </c>
    </row>
    <row r="3099" spans="33:33" x14ac:dyDescent="0.25">
      <c r="AG3099">
        <v>3097</v>
      </c>
    </row>
    <row r="3100" spans="33:33" x14ac:dyDescent="0.25">
      <c r="AG3100">
        <v>3098</v>
      </c>
    </row>
    <row r="3101" spans="33:33" x14ac:dyDescent="0.25">
      <c r="AG3101">
        <v>3099</v>
      </c>
    </row>
    <row r="3102" spans="33:33" x14ac:dyDescent="0.25">
      <c r="AG3102">
        <v>3100</v>
      </c>
    </row>
    <row r="3103" spans="33:33" x14ac:dyDescent="0.25">
      <c r="AG3103">
        <v>3101</v>
      </c>
    </row>
    <row r="3104" spans="33:33" x14ac:dyDescent="0.25">
      <c r="AG3104">
        <v>3102</v>
      </c>
    </row>
    <row r="3105" spans="33:33" x14ac:dyDescent="0.25">
      <c r="AG3105">
        <v>3103</v>
      </c>
    </row>
    <row r="3106" spans="33:33" x14ac:dyDescent="0.25">
      <c r="AG3106">
        <v>3104</v>
      </c>
    </row>
    <row r="3107" spans="33:33" x14ac:dyDescent="0.25">
      <c r="AG3107">
        <v>3105</v>
      </c>
    </row>
    <row r="3108" spans="33:33" x14ac:dyDescent="0.25">
      <c r="AG3108">
        <v>3106</v>
      </c>
    </row>
    <row r="3109" spans="33:33" x14ac:dyDescent="0.25">
      <c r="AG3109">
        <v>3107</v>
      </c>
    </row>
    <row r="3110" spans="33:33" x14ac:dyDescent="0.25">
      <c r="AG3110">
        <v>3108</v>
      </c>
    </row>
    <row r="3111" spans="33:33" x14ac:dyDescent="0.25">
      <c r="AG3111">
        <v>3109</v>
      </c>
    </row>
    <row r="3112" spans="33:33" x14ac:dyDescent="0.25">
      <c r="AG3112">
        <v>3110</v>
      </c>
    </row>
    <row r="3113" spans="33:33" x14ac:dyDescent="0.25">
      <c r="AG3113">
        <v>3111</v>
      </c>
    </row>
    <row r="3114" spans="33:33" x14ac:dyDescent="0.25">
      <c r="AG3114">
        <v>3112</v>
      </c>
    </row>
    <row r="3115" spans="33:33" x14ac:dyDescent="0.25">
      <c r="AG3115">
        <v>3113</v>
      </c>
    </row>
    <row r="3116" spans="33:33" x14ac:dyDescent="0.25">
      <c r="AG3116">
        <v>3114</v>
      </c>
    </row>
    <row r="3117" spans="33:33" x14ac:dyDescent="0.25">
      <c r="AG3117">
        <v>3115</v>
      </c>
    </row>
    <row r="3118" spans="33:33" x14ac:dyDescent="0.25">
      <c r="AG3118">
        <v>3116</v>
      </c>
    </row>
    <row r="3119" spans="33:33" x14ac:dyDescent="0.25">
      <c r="AG3119">
        <v>3117</v>
      </c>
    </row>
    <row r="3120" spans="33:33" x14ac:dyDescent="0.25">
      <c r="AG3120">
        <v>3118</v>
      </c>
    </row>
    <row r="3121" spans="33:33" x14ac:dyDescent="0.25">
      <c r="AG3121">
        <v>3119</v>
      </c>
    </row>
    <row r="3122" spans="33:33" x14ac:dyDescent="0.25">
      <c r="AG3122">
        <v>3120</v>
      </c>
    </row>
    <row r="3123" spans="33:33" x14ac:dyDescent="0.25">
      <c r="AG3123">
        <v>3121</v>
      </c>
    </row>
    <row r="3124" spans="33:33" x14ac:dyDescent="0.25">
      <c r="AG3124">
        <v>3122</v>
      </c>
    </row>
    <row r="3125" spans="33:33" x14ac:dyDescent="0.25">
      <c r="AG3125">
        <v>3123</v>
      </c>
    </row>
    <row r="3126" spans="33:33" x14ac:dyDescent="0.25">
      <c r="AG3126">
        <v>3124</v>
      </c>
    </row>
    <row r="3127" spans="33:33" x14ac:dyDescent="0.25">
      <c r="AG3127">
        <v>3125</v>
      </c>
    </row>
    <row r="3128" spans="33:33" x14ac:dyDescent="0.25">
      <c r="AG3128">
        <v>3126</v>
      </c>
    </row>
    <row r="3129" spans="33:33" x14ac:dyDescent="0.25">
      <c r="AG3129">
        <v>3127</v>
      </c>
    </row>
    <row r="3130" spans="33:33" x14ac:dyDescent="0.25">
      <c r="AG3130">
        <v>3128</v>
      </c>
    </row>
    <row r="3131" spans="33:33" x14ac:dyDescent="0.25">
      <c r="AG3131">
        <v>3129</v>
      </c>
    </row>
    <row r="3132" spans="33:33" x14ac:dyDescent="0.25">
      <c r="AG3132">
        <v>3130</v>
      </c>
    </row>
    <row r="3133" spans="33:33" x14ac:dyDescent="0.25">
      <c r="AG3133">
        <v>3131</v>
      </c>
    </row>
    <row r="3134" spans="33:33" x14ac:dyDescent="0.25">
      <c r="AG3134">
        <v>3132</v>
      </c>
    </row>
    <row r="3135" spans="33:33" x14ac:dyDescent="0.25">
      <c r="AG3135">
        <v>3133</v>
      </c>
    </row>
    <row r="3136" spans="33:33" x14ac:dyDescent="0.25">
      <c r="AG3136">
        <v>3134</v>
      </c>
    </row>
    <row r="3137" spans="33:33" x14ac:dyDescent="0.25">
      <c r="AG3137">
        <v>3135</v>
      </c>
    </row>
    <row r="3138" spans="33:33" x14ac:dyDescent="0.25">
      <c r="AG3138">
        <v>3136</v>
      </c>
    </row>
    <row r="3139" spans="33:33" x14ac:dyDescent="0.25">
      <c r="AG3139">
        <v>3137</v>
      </c>
    </row>
    <row r="3140" spans="33:33" x14ac:dyDescent="0.25">
      <c r="AG3140">
        <v>3138</v>
      </c>
    </row>
    <row r="3141" spans="33:33" x14ac:dyDescent="0.25">
      <c r="AG3141">
        <v>3139</v>
      </c>
    </row>
    <row r="3142" spans="33:33" x14ac:dyDescent="0.25">
      <c r="AG3142">
        <v>3140</v>
      </c>
    </row>
    <row r="3143" spans="33:33" x14ac:dyDescent="0.25">
      <c r="AG3143">
        <v>3141</v>
      </c>
    </row>
    <row r="3144" spans="33:33" x14ac:dyDescent="0.25">
      <c r="AG3144">
        <v>3142</v>
      </c>
    </row>
    <row r="3145" spans="33:33" x14ac:dyDescent="0.25">
      <c r="AG3145">
        <v>3143</v>
      </c>
    </row>
    <row r="3146" spans="33:33" x14ac:dyDescent="0.25">
      <c r="AG3146">
        <v>3144</v>
      </c>
    </row>
    <row r="3147" spans="33:33" x14ac:dyDescent="0.25">
      <c r="AG3147">
        <v>3145</v>
      </c>
    </row>
    <row r="3148" spans="33:33" x14ac:dyDescent="0.25">
      <c r="AG3148">
        <v>3146</v>
      </c>
    </row>
    <row r="3149" spans="33:33" x14ac:dyDescent="0.25">
      <c r="AG3149">
        <v>3147</v>
      </c>
    </row>
    <row r="3150" spans="33:33" x14ac:dyDescent="0.25">
      <c r="AG3150">
        <v>3148</v>
      </c>
    </row>
    <row r="3151" spans="33:33" x14ac:dyDescent="0.25">
      <c r="AG3151">
        <v>3149</v>
      </c>
    </row>
    <row r="3152" spans="33:33" x14ac:dyDescent="0.25">
      <c r="AG3152">
        <v>3150</v>
      </c>
    </row>
    <row r="3153" spans="33:33" x14ac:dyDescent="0.25">
      <c r="AG3153">
        <v>3151</v>
      </c>
    </row>
    <row r="3154" spans="33:33" x14ac:dyDescent="0.25">
      <c r="AG3154">
        <v>3152</v>
      </c>
    </row>
    <row r="3155" spans="33:33" x14ac:dyDescent="0.25">
      <c r="AG3155">
        <v>3153</v>
      </c>
    </row>
    <row r="3156" spans="33:33" x14ac:dyDescent="0.25">
      <c r="AG3156">
        <v>3154</v>
      </c>
    </row>
    <row r="3157" spans="33:33" x14ac:dyDescent="0.25">
      <c r="AG3157">
        <v>3155</v>
      </c>
    </row>
    <row r="3158" spans="33:33" x14ac:dyDescent="0.25">
      <c r="AG3158">
        <v>3156</v>
      </c>
    </row>
    <row r="3159" spans="33:33" x14ac:dyDescent="0.25">
      <c r="AG3159">
        <v>3157</v>
      </c>
    </row>
    <row r="3160" spans="33:33" x14ac:dyDescent="0.25">
      <c r="AG3160">
        <v>3158</v>
      </c>
    </row>
    <row r="3161" spans="33:33" x14ac:dyDescent="0.25">
      <c r="AG3161">
        <v>3159</v>
      </c>
    </row>
    <row r="3162" spans="33:33" x14ac:dyDescent="0.25">
      <c r="AG3162">
        <v>3160</v>
      </c>
    </row>
    <row r="3163" spans="33:33" x14ac:dyDescent="0.25">
      <c r="AG3163">
        <v>3161</v>
      </c>
    </row>
    <row r="3164" spans="33:33" x14ac:dyDescent="0.25">
      <c r="AG3164">
        <v>3162</v>
      </c>
    </row>
    <row r="3165" spans="33:33" x14ac:dyDescent="0.25">
      <c r="AG3165">
        <v>3163</v>
      </c>
    </row>
    <row r="3166" spans="33:33" x14ac:dyDescent="0.25">
      <c r="AG3166">
        <v>3164</v>
      </c>
    </row>
    <row r="3167" spans="33:33" x14ac:dyDescent="0.25">
      <c r="AG3167">
        <v>3165</v>
      </c>
    </row>
    <row r="3168" spans="33:33" x14ac:dyDescent="0.25">
      <c r="AG3168">
        <v>3166</v>
      </c>
    </row>
    <row r="3169" spans="33:33" x14ac:dyDescent="0.25">
      <c r="AG3169">
        <v>3167</v>
      </c>
    </row>
    <row r="3170" spans="33:33" x14ac:dyDescent="0.25">
      <c r="AG3170">
        <v>3168</v>
      </c>
    </row>
    <row r="3171" spans="33:33" x14ac:dyDescent="0.25">
      <c r="AG3171">
        <v>3169</v>
      </c>
    </row>
    <row r="3172" spans="33:33" x14ac:dyDescent="0.25">
      <c r="AG3172">
        <v>3170</v>
      </c>
    </row>
    <row r="3173" spans="33:33" x14ac:dyDescent="0.25">
      <c r="AG3173">
        <v>3171</v>
      </c>
    </row>
    <row r="3174" spans="33:33" x14ac:dyDescent="0.25">
      <c r="AG3174">
        <v>3172</v>
      </c>
    </row>
    <row r="3175" spans="33:33" x14ac:dyDescent="0.25">
      <c r="AG3175">
        <v>3173</v>
      </c>
    </row>
    <row r="3176" spans="33:33" x14ac:dyDescent="0.25">
      <c r="AG3176">
        <v>3174</v>
      </c>
    </row>
    <row r="3177" spans="33:33" x14ac:dyDescent="0.25">
      <c r="AG3177">
        <v>3175</v>
      </c>
    </row>
    <row r="3178" spans="33:33" x14ac:dyDescent="0.25">
      <c r="AG3178">
        <v>3176</v>
      </c>
    </row>
    <row r="3179" spans="33:33" x14ac:dyDescent="0.25">
      <c r="AG3179">
        <v>3177</v>
      </c>
    </row>
    <row r="3180" spans="33:33" x14ac:dyDescent="0.25">
      <c r="AG3180">
        <v>3178</v>
      </c>
    </row>
    <row r="3181" spans="33:33" x14ac:dyDescent="0.25">
      <c r="AG3181">
        <v>3179</v>
      </c>
    </row>
    <row r="3182" spans="33:33" x14ac:dyDescent="0.25">
      <c r="AG3182">
        <v>3180</v>
      </c>
    </row>
    <row r="3183" spans="33:33" x14ac:dyDescent="0.25">
      <c r="AG3183">
        <v>3181</v>
      </c>
    </row>
    <row r="3184" spans="33:33" x14ac:dyDescent="0.25">
      <c r="AG3184">
        <v>3182</v>
      </c>
    </row>
    <row r="3185" spans="33:33" x14ac:dyDescent="0.25">
      <c r="AG3185">
        <v>3183</v>
      </c>
    </row>
    <row r="3186" spans="33:33" x14ac:dyDescent="0.25">
      <c r="AG3186">
        <v>3184</v>
      </c>
    </row>
    <row r="3187" spans="33:33" x14ac:dyDescent="0.25">
      <c r="AG3187">
        <v>3185</v>
      </c>
    </row>
    <row r="3188" spans="33:33" x14ac:dyDescent="0.25">
      <c r="AG3188">
        <v>3186</v>
      </c>
    </row>
    <row r="3189" spans="33:33" x14ac:dyDescent="0.25">
      <c r="AG3189">
        <v>3187</v>
      </c>
    </row>
    <row r="3190" spans="33:33" x14ac:dyDescent="0.25">
      <c r="AG3190">
        <v>3188</v>
      </c>
    </row>
    <row r="3191" spans="33:33" x14ac:dyDescent="0.25">
      <c r="AG3191">
        <v>3189</v>
      </c>
    </row>
    <row r="3192" spans="33:33" x14ac:dyDescent="0.25">
      <c r="AG3192">
        <v>3190</v>
      </c>
    </row>
    <row r="3193" spans="33:33" x14ac:dyDescent="0.25">
      <c r="AG3193">
        <v>3191</v>
      </c>
    </row>
    <row r="3194" spans="33:33" x14ac:dyDescent="0.25">
      <c r="AG3194">
        <v>3192</v>
      </c>
    </row>
    <row r="3195" spans="33:33" x14ac:dyDescent="0.25">
      <c r="AG3195">
        <v>3193</v>
      </c>
    </row>
    <row r="3196" spans="33:33" x14ac:dyDescent="0.25">
      <c r="AG3196">
        <v>3194</v>
      </c>
    </row>
    <row r="3197" spans="33:33" x14ac:dyDescent="0.25">
      <c r="AG3197">
        <v>3195</v>
      </c>
    </row>
    <row r="3198" spans="33:33" x14ac:dyDescent="0.25">
      <c r="AG3198">
        <v>3196</v>
      </c>
    </row>
    <row r="3199" spans="33:33" x14ac:dyDescent="0.25">
      <c r="AG3199">
        <v>3197</v>
      </c>
    </row>
    <row r="3200" spans="33:33" x14ac:dyDescent="0.25">
      <c r="AG3200">
        <v>3198</v>
      </c>
    </row>
    <row r="3201" spans="33:33" x14ac:dyDescent="0.25">
      <c r="AG3201">
        <v>3199</v>
      </c>
    </row>
    <row r="3202" spans="33:33" x14ac:dyDescent="0.25">
      <c r="AG3202">
        <v>3200</v>
      </c>
    </row>
    <row r="3203" spans="33:33" x14ac:dyDescent="0.25">
      <c r="AG3203">
        <v>3201</v>
      </c>
    </row>
    <row r="3204" spans="33:33" x14ac:dyDescent="0.25">
      <c r="AG3204">
        <v>3202</v>
      </c>
    </row>
    <row r="3205" spans="33:33" x14ac:dyDescent="0.25">
      <c r="AG3205">
        <v>3203</v>
      </c>
    </row>
    <row r="3206" spans="33:33" x14ac:dyDescent="0.25">
      <c r="AG3206">
        <v>3204</v>
      </c>
    </row>
    <row r="3207" spans="33:33" x14ac:dyDescent="0.25">
      <c r="AG3207">
        <v>3205</v>
      </c>
    </row>
    <row r="3208" spans="33:33" x14ac:dyDescent="0.25">
      <c r="AG3208">
        <v>3206</v>
      </c>
    </row>
    <row r="3209" spans="33:33" x14ac:dyDescent="0.25">
      <c r="AG3209">
        <v>3207</v>
      </c>
    </row>
    <row r="3210" spans="33:33" x14ac:dyDescent="0.25">
      <c r="AG3210">
        <v>3208</v>
      </c>
    </row>
    <row r="3211" spans="33:33" x14ac:dyDescent="0.25">
      <c r="AG3211">
        <v>3209</v>
      </c>
    </row>
    <row r="3212" spans="33:33" x14ac:dyDescent="0.25">
      <c r="AG3212">
        <v>3210</v>
      </c>
    </row>
    <row r="3213" spans="33:33" x14ac:dyDescent="0.25">
      <c r="AG3213">
        <v>3211</v>
      </c>
    </row>
    <row r="3214" spans="33:33" x14ac:dyDescent="0.25">
      <c r="AG3214">
        <v>3212</v>
      </c>
    </row>
    <row r="3215" spans="33:33" x14ac:dyDescent="0.25">
      <c r="AG3215">
        <v>3213</v>
      </c>
    </row>
    <row r="3216" spans="33:33" x14ac:dyDescent="0.25">
      <c r="AG3216">
        <v>3214</v>
      </c>
    </row>
    <row r="3217" spans="33:33" x14ac:dyDescent="0.25">
      <c r="AG3217">
        <v>3215</v>
      </c>
    </row>
    <row r="3218" spans="33:33" x14ac:dyDescent="0.25">
      <c r="AG3218">
        <v>3216</v>
      </c>
    </row>
    <row r="3219" spans="33:33" x14ac:dyDescent="0.25">
      <c r="AG3219">
        <v>3217</v>
      </c>
    </row>
    <row r="3220" spans="33:33" x14ac:dyDescent="0.25">
      <c r="AG3220">
        <v>3218</v>
      </c>
    </row>
    <row r="3221" spans="33:33" x14ac:dyDescent="0.25">
      <c r="AG3221">
        <v>3219</v>
      </c>
    </row>
    <row r="3222" spans="33:33" x14ac:dyDescent="0.25">
      <c r="AG3222">
        <v>3220</v>
      </c>
    </row>
    <row r="3223" spans="33:33" x14ac:dyDescent="0.25">
      <c r="AG3223">
        <v>3221</v>
      </c>
    </row>
    <row r="3224" spans="33:33" x14ac:dyDescent="0.25">
      <c r="AG3224">
        <v>3222</v>
      </c>
    </row>
    <row r="3225" spans="33:33" x14ac:dyDescent="0.25">
      <c r="AG3225">
        <v>3223</v>
      </c>
    </row>
    <row r="3226" spans="33:33" x14ac:dyDescent="0.25">
      <c r="AG3226">
        <v>3224</v>
      </c>
    </row>
    <row r="3227" spans="33:33" x14ac:dyDescent="0.25">
      <c r="AG3227">
        <v>3225</v>
      </c>
    </row>
    <row r="3228" spans="33:33" x14ac:dyDescent="0.25">
      <c r="AG3228">
        <v>3226</v>
      </c>
    </row>
    <row r="3229" spans="33:33" x14ac:dyDescent="0.25">
      <c r="AG3229">
        <v>3227</v>
      </c>
    </row>
    <row r="3230" spans="33:33" x14ac:dyDescent="0.25">
      <c r="AG3230">
        <v>3228</v>
      </c>
    </row>
    <row r="3231" spans="33:33" x14ac:dyDescent="0.25">
      <c r="AG3231">
        <v>3229</v>
      </c>
    </row>
    <row r="3232" spans="33:33" x14ac:dyDescent="0.25">
      <c r="AG3232">
        <v>3230</v>
      </c>
    </row>
    <row r="3233" spans="33:33" x14ac:dyDescent="0.25">
      <c r="AG3233">
        <v>3231</v>
      </c>
    </row>
    <row r="3234" spans="33:33" x14ac:dyDescent="0.25">
      <c r="AG3234">
        <v>3232</v>
      </c>
    </row>
    <row r="3235" spans="33:33" x14ac:dyDescent="0.25">
      <c r="AG3235">
        <v>3233</v>
      </c>
    </row>
    <row r="3236" spans="33:33" x14ac:dyDescent="0.25">
      <c r="AG3236">
        <v>3234</v>
      </c>
    </row>
    <row r="3237" spans="33:33" x14ac:dyDescent="0.25">
      <c r="AG3237">
        <v>3235</v>
      </c>
    </row>
    <row r="3238" spans="33:33" x14ac:dyDescent="0.25">
      <c r="AG3238">
        <v>3236</v>
      </c>
    </row>
    <row r="3239" spans="33:33" x14ac:dyDescent="0.25">
      <c r="AG3239">
        <v>3237</v>
      </c>
    </row>
    <row r="3240" spans="33:33" x14ac:dyDescent="0.25">
      <c r="AG3240">
        <v>3238</v>
      </c>
    </row>
    <row r="3241" spans="33:33" x14ac:dyDescent="0.25">
      <c r="AG3241">
        <v>3239</v>
      </c>
    </row>
    <row r="3242" spans="33:33" x14ac:dyDescent="0.25">
      <c r="AG3242">
        <v>3240</v>
      </c>
    </row>
    <row r="3243" spans="33:33" x14ac:dyDescent="0.25">
      <c r="AG3243">
        <v>3241</v>
      </c>
    </row>
    <row r="3244" spans="33:33" x14ac:dyDescent="0.25">
      <c r="AG3244">
        <v>3242</v>
      </c>
    </row>
    <row r="3245" spans="33:33" x14ac:dyDescent="0.25">
      <c r="AG3245">
        <v>3243</v>
      </c>
    </row>
    <row r="3246" spans="33:33" x14ac:dyDescent="0.25">
      <c r="AG3246">
        <v>3244</v>
      </c>
    </row>
    <row r="3247" spans="33:33" x14ac:dyDescent="0.25">
      <c r="AG3247">
        <v>3245</v>
      </c>
    </row>
    <row r="3248" spans="33:33" x14ac:dyDescent="0.25">
      <c r="AG3248">
        <v>3246</v>
      </c>
    </row>
    <row r="3249" spans="33:33" x14ac:dyDescent="0.25">
      <c r="AG3249">
        <v>3247</v>
      </c>
    </row>
    <row r="3250" spans="33:33" x14ac:dyDescent="0.25">
      <c r="AG3250">
        <v>3248</v>
      </c>
    </row>
    <row r="3251" spans="33:33" x14ac:dyDescent="0.25">
      <c r="AG3251">
        <v>3249</v>
      </c>
    </row>
    <row r="3252" spans="33:33" x14ac:dyDescent="0.25">
      <c r="AG3252">
        <v>3250</v>
      </c>
    </row>
    <row r="3253" spans="33:33" x14ac:dyDescent="0.25">
      <c r="AG3253">
        <v>3251</v>
      </c>
    </row>
    <row r="3254" spans="33:33" x14ac:dyDescent="0.25">
      <c r="AG3254">
        <v>3252</v>
      </c>
    </row>
    <row r="3255" spans="33:33" x14ac:dyDescent="0.25">
      <c r="AG3255">
        <v>3253</v>
      </c>
    </row>
    <row r="3256" spans="33:33" x14ac:dyDescent="0.25">
      <c r="AG3256">
        <v>3254</v>
      </c>
    </row>
    <row r="3257" spans="33:33" x14ac:dyDescent="0.25">
      <c r="AG3257">
        <v>3255</v>
      </c>
    </row>
    <row r="3258" spans="33:33" x14ac:dyDescent="0.25">
      <c r="AG3258">
        <v>3256</v>
      </c>
    </row>
    <row r="3259" spans="33:33" x14ac:dyDescent="0.25">
      <c r="AG3259">
        <v>3257</v>
      </c>
    </row>
    <row r="3260" spans="33:33" x14ac:dyDescent="0.25">
      <c r="AG3260">
        <v>3258</v>
      </c>
    </row>
    <row r="3261" spans="33:33" x14ac:dyDescent="0.25">
      <c r="AG3261">
        <v>3259</v>
      </c>
    </row>
    <row r="3262" spans="33:33" x14ac:dyDescent="0.25">
      <c r="AG3262">
        <v>3260</v>
      </c>
    </row>
    <row r="3263" spans="33:33" x14ac:dyDescent="0.25">
      <c r="AG3263">
        <v>3261</v>
      </c>
    </row>
    <row r="3264" spans="33:33" x14ac:dyDescent="0.25">
      <c r="AG3264">
        <v>3262</v>
      </c>
    </row>
    <row r="3265" spans="33:33" x14ac:dyDescent="0.25">
      <c r="AG3265">
        <v>3263</v>
      </c>
    </row>
    <row r="3266" spans="33:33" x14ac:dyDescent="0.25">
      <c r="AG3266">
        <v>3264</v>
      </c>
    </row>
    <row r="3267" spans="33:33" x14ac:dyDescent="0.25">
      <c r="AG3267">
        <v>3265</v>
      </c>
    </row>
    <row r="3268" spans="33:33" x14ac:dyDescent="0.25">
      <c r="AG3268">
        <v>3266</v>
      </c>
    </row>
    <row r="3269" spans="33:33" x14ac:dyDescent="0.25">
      <c r="AG3269">
        <v>3267</v>
      </c>
    </row>
    <row r="3270" spans="33:33" x14ac:dyDescent="0.25">
      <c r="AG3270">
        <v>3268</v>
      </c>
    </row>
    <row r="3271" spans="33:33" x14ac:dyDescent="0.25">
      <c r="AG3271">
        <v>3269</v>
      </c>
    </row>
    <row r="3272" spans="33:33" x14ac:dyDescent="0.25">
      <c r="AG3272">
        <v>3270</v>
      </c>
    </row>
    <row r="3273" spans="33:33" x14ac:dyDescent="0.25">
      <c r="AG3273">
        <v>3271</v>
      </c>
    </row>
    <row r="3274" spans="33:33" x14ac:dyDescent="0.25">
      <c r="AG3274">
        <v>3272</v>
      </c>
    </row>
    <row r="3275" spans="33:33" x14ac:dyDescent="0.25">
      <c r="AG3275">
        <v>3273</v>
      </c>
    </row>
    <row r="3276" spans="33:33" x14ac:dyDescent="0.25">
      <c r="AG3276">
        <v>3274</v>
      </c>
    </row>
    <row r="3277" spans="33:33" x14ac:dyDescent="0.25">
      <c r="AG3277">
        <v>3275</v>
      </c>
    </row>
    <row r="3278" spans="33:33" x14ac:dyDescent="0.25">
      <c r="AG3278">
        <v>3276</v>
      </c>
    </row>
    <row r="3279" spans="33:33" x14ac:dyDescent="0.25">
      <c r="AG3279">
        <v>3277</v>
      </c>
    </row>
    <row r="3280" spans="33:33" x14ac:dyDescent="0.25">
      <c r="AG3280">
        <v>3278</v>
      </c>
    </row>
    <row r="3281" spans="33:33" x14ac:dyDescent="0.25">
      <c r="AG3281">
        <v>3279</v>
      </c>
    </row>
    <row r="3282" spans="33:33" x14ac:dyDescent="0.25">
      <c r="AG3282">
        <v>3280</v>
      </c>
    </row>
    <row r="3283" spans="33:33" x14ac:dyDescent="0.25">
      <c r="AG3283">
        <v>3281</v>
      </c>
    </row>
    <row r="3284" spans="33:33" x14ac:dyDescent="0.25">
      <c r="AG3284">
        <v>3282</v>
      </c>
    </row>
    <row r="3285" spans="33:33" x14ac:dyDescent="0.25">
      <c r="AG3285">
        <v>3283</v>
      </c>
    </row>
    <row r="3286" spans="33:33" x14ac:dyDescent="0.25">
      <c r="AG3286">
        <v>3284</v>
      </c>
    </row>
    <row r="3287" spans="33:33" x14ac:dyDescent="0.25">
      <c r="AG3287">
        <v>3285</v>
      </c>
    </row>
    <row r="3288" spans="33:33" x14ac:dyDescent="0.25">
      <c r="AG3288">
        <v>3286</v>
      </c>
    </row>
    <row r="3289" spans="33:33" x14ac:dyDescent="0.25">
      <c r="AG3289">
        <v>3287</v>
      </c>
    </row>
    <row r="3290" spans="33:33" x14ac:dyDescent="0.25">
      <c r="AG3290">
        <v>3288</v>
      </c>
    </row>
    <row r="3291" spans="33:33" x14ac:dyDescent="0.25">
      <c r="AG3291">
        <v>3289</v>
      </c>
    </row>
    <row r="3292" spans="33:33" x14ac:dyDescent="0.25">
      <c r="AG3292">
        <v>3290</v>
      </c>
    </row>
    <row r="3293" spans="33:33" x14ac:dyDescent="0.25">
      <c r="AG3293">
        <v>3291</v>
      </c>
    </row>
    <row r="3294" spans="33:33" x14ac:dyDescent="0.25">
      <c r="AG3294">
        <v>3292</v>
      </c>
    </row>
    <row r="3295" spans="33:33" x14ac:dyDescent="0.25">
      <c r="AG3295">
        <v>3293</v>
      </c>
    </row>
    <row r="3296" spans="33:33" x14ac:dyDescent="0.25">
      <c r="AG3296">
        <v>3294</v>
      </c>
    </row>
    <row r="3297" spans="33:33" x14ac:dyDescent="0.25">
      <c r="AG3297">
        <v>3295</v>
      </c>
    </row>
    <row r="3298" spans="33:33" x14ac:dyDescent="0.25">
      <c r="AG3298">
        <v>3296</v>
      </c>
    </row>
    <row r="3299" spans="33:33" x14ac:dyDescent="0.25">
      <c r="AG3299">
        <v>3297</v>
      </c>
    </row>
    <row r="3300" spans="33:33" x14ac:dyDescent="0.25">
      <c r="AG3300">
        <v>3298</v>
      </c>
    </row>
    <row r="3301" spans="33:33" x14ac:dyDescent="0.25">
      <c r="AG3301">
        <v>3299</v>
      </c>
    </row>
    <row r="3302" spans="33:33" x14ac:dyDescent="0.25">
      <c r="AG3302">
        <v>3300</v>
      </c>
    </row>
    <row r="3303" spans="33:33" x14ac:dyDescent="0.25">
      <c r="AG3303">
        <v>3301</v>
      </c>
    </row>
    <row r="3304" spans="33:33" x14ac:dyDescent="0.25">
      <c r="AG3304">
        <v>3302</v>
      </c>
    </row>
    <row r="3305" spans="33:33" x14ac:dyDescent="0.25">
      <c r="AG3305">
        <v>3303</v>
      </c>
    </row>
    <row r="3306" spans="33:33" x14ac:dyDescent="0.25">
      <c r="AG3306">
        <v>3304</v>
      </c>
    </row>
    <row r="3307" spans="33:33" x14ac:dyDescent="0.25">
      <c r="AG3307">
        <v>3305</v>
      </c>
    </row>
    <row r="3308" spans="33:33" x14ac:dyDescent="0.25">
      <c r="AG3308">
        <v>3306</v>
      </c>
    </row>
    <row r="3309" spans="33:33" x14ac:dyDescent="0.25">
      <c r="AG3309">
        <v>3307</v>
      </c>
    </row>
    <row r="3310" spans="33:33" x14ac:dyDescent="0.25">
      <c r="AG3310">
        <v>3308</v>
      </c>
    </row>
    <row r="3311" spans="33:33" x14ac:dyDescent="0.25">
      <c r="AG3311">
        <v>3309</v>
      </c>
    </row>
    <row r="3312" spans="33:33" x14ac:dyDescent="0.25">
      <c r="AG3312">
        <v>3310</v>
      </c>
    </row>
    <row r="3313" spans="33:33" x14ac:dyDescent="0.25">
      <c r="AG3313">
        <v>3311</v>
      </c>
    </row>
    <row r="3314" spans="33:33" x14ac:dyDescent="0.25">
      <c r="AG3314">
        <v>3312</v>
      </c>
    </row>
    <row r="3315" spans="33:33" x14ac:dyDescent="0.25">
      <c r="AG3315">
        <v>3313</v>
      </c>
    </row>
    <row r="3316" spans="33:33" x14ac:dyDescent="0.25">
      <c r="AG3316">
        <v>3314</v>
      </c>
    </row>
    <row r="3317" spans="33:33" x14ac:dyDescent="0.25">
      <c r="AG3317">
        <v>3315</v>
      </c>
    </row>
    <row r="3318" spans="33:33" x14ac:dyDescent="0.25">
      <c r="AG3318">
        <v>3316</v>
      </c>
    </row>
    <row r="3319" spans="33:33" x14ac:dyDescent="0.25">
      <c r="AG3319">
        <v>3317</v>
      </c>
    </row>
    <row r="3320" spans="33:33" x14ac:dyDescent="0.25">
      <c r="AG3320">
        <v>3318</v>
      </c>
    </row>
    <row r="3321" spans="33:33" x14ac:dyDescent="0.25">
      <c r="AG3321">
        <v>3319</v>
      </c>
    </row>
    <row r="3322" spans="33:33" x14ac:dyDescent="0.25">
      <c r="AG3322">
        <v>3320</v>
      </c>
    </row>
    <row r="3323" spans="33:33" x14ac:dyDescent="0.25">
      <c r="AG3323">
        <v>3321</v>
      </c>
    </row>
    <row r="3324" spans="33:33" x14ac:dyDescent="0.25">
      <c r="AG3324">
        <v>3322</v>
      </c>
    </row>
    <row r="3325" spans="33:33" x14ac:dyDescent="0.25">
      <c r="AG3325">
        <v>3323</v>
      </c>
    </row>
    <row r="3326" spans="33:33" x14ac:dyDescent="0.25">
      <c r="AG3326">
        <v>3324</v>
      </c>
    </row>
    <row r="3327" spans="33:33" x14ac:dyDescent="0.25">
      <c r="AG3327">
        <v>3325</v>
      </c>
    </row>
    <row r="3328" spans="33:33" x14ac:dyDescent="0.25">
      <c r="AG3328">
        <v>3326</v>
      </c>
    </row>
    <row r="3329" spans="33:33" x14ac:dyDescent="0.25">
      <c r="AG3329">
        <v>3327</v>
      </c>
    </row>
    <row r="3330" spans="33:33" x14ac:dyDescent="0.25">
      <c r="AG3330">
        <v>3328</v>
      </c>
    </row>
    <row r="3331" spans="33:33" x14ac:dyDescent="0.25">
      <c r="AG3331">
        <v>3329</v>
      </c>
    </row>
    <row r="3332" spans="33:33" x14ac:dyDescent="0.25">
      <c r="AG3332">
        <v>3330</v>
      </c>
    </row>
    <row r="3333" spans="33:33" x14ac:dyDescent="0.25">
      <c r="AG3333">
        <v>3331</v>
      </c>
    </row>
    <row r="3334" spans="33:33" x14ac:dyDescent="0.25">
      <c r="AG3334">
        <v>3332</v>
      </c>
    </row>
    <row r="3335" spans="33:33" x14ac:dyDescent="0.25">
      <c r="AG3335">
        <v>3333</v>
      </c>
    </row>
    <row r="3336" spans="33:33" x14ac:dyDescent="0.25">
      <c r="AG3336">
        <v>3334</v>
      </c>
    </row>
    <row r="3337" spans="33:33" x14ac:dyDescent="0.25">
      <c r="AG3337">
        <v>3335</v>
      </c>
    </row>
    <row r="3338" spans="33:33" x14ac:dyDescent="0.25">
      <c r="AG3338">
        <v>3336</v>
      </c>
    </row>
    <row r="3339" spans="33:33" x14ac:dyDescent="0.25">
      <c r="AG3339">
        <v>3337</v>
      </c>
    </row>
    <row r="3340" spans="33:33" x14ac:dyDescent="0.25">
      <c r="AG3340">
        <v>3338</v>
      </c>
    </row>
    <row r="3341" spans="33:33" x14ac:dyDescent="0.25">
      <c r="AG3341">
        <v>3339</v>
      </c>
    </row>
    <row r="3342" spans="33:33" x14ac:dyDescent="0.25">
      <c r="AG3342">
        <v>3340</v>
      </c>
    </row>
    <row r="3343" spans="33:33" x14ac:dyDescent="0.25">
      <c r="AG3343">
        <v>3341</v>
      </c>
    </row>
    <row r="3344" spans="33:33" x14ac:dyDescent="0.25">
      <c r="AG3344">
        <v>3342</v>
      </c>
    </row>
    <row r="3345" spans="33:33" x14ac:dyDescent="0.25">
      <c r="AG3345">
        <v>3343</v>
      </c>
    </row>
    <row r="3346" spans="33:33" x14ac:dyDescent="0.25">
      <c r="AG3346">
        <v>3344</v>
      </c>
    </row>
    <row r="3347" spans="33:33" x14ac:dyDescent="0.25">
      <c r="AG3347">
        <v>3345</v>
      </c>
    </row>
    <row r="3348" spans="33:33" x14ac:dyDescent="0.25">
      <c r="AG3348">
        <v>3346</v>
      </c>
    </row>
    <row r="3349" spans="33:33" x14ac:dyDescent="0.25">
      <c r="AG3349">
        <v>3347</v>
      </c>
    </row>
    <row r="3350" spans="33:33" x14ac:dyDescent="0.25">
      <c r="AG3350">
        <v>3348</v>
      </c>
    </row>
    <row r="3351" spans="33:33" x14ac:dyDescent="0.25">
      <c r="AG3351">
        <v>3349</v>
      </c>
    </row>
    <row r="3352" spans="33:33" x14ac:dyDescent="0.25">
      <c r="AG3352">
        <v>3350</v>
      </c>
    </row>
    <row r="3353" spans="33:33" x14ac:dyDescent="0.25">
      <c r="AG3353">
        <v>3351</v>
      </c>
    </row>
    <row r="3354" spans="33:33" x14ac:dyDescent="0.25">
      <c r="AG3354">
        <v>3352</v>
      </c>
    </row>
    <row r="3355" spans="33:33" x14ac:dyDescent="0.25">
      <c r="AG3355">
        <v>3353</v>
      </c>
    </row>
    <row r="3356" spans="33:33" x14ac:dyDescent="0.25">
      <c r="AG3356">
        <v>3354</v>
      </c>
    </row>
    <row r="3357" spans="33:33" x14ac:dyDescent="0.25">
      <c r="AG3357">
        <v>3355</v>
      </c>
    </row>
    <row r="3358" spans="33:33" x14ac:dyDescent="0.25">
      <c r="AG3358">
        <v>3356</v>
      </c>
    </row>
    <row r="3359" spans="33:33" x14ac:dyDescent="0.25">
      <c r="AG3359">
        <v>3357</v>
      </c>
    </row>
    <row r="3360" spans="33:33" x14ac:dyDescent="0.25">
      <c r="AG3360">
        <v>3358</v>
      </c>
    </row>
    <row r="3361" spans="33:33" x14ac:dyDescent="0.25">
      <c r="AG3361">
        <v>3359</v>
      </c>
    </row>
    <row r="3362" spans="33:33" x14ac:dyDescent="0.25">
      <c r="AG3362">
        <v>3360</v>
      </c>
    </row>
    <row r="3363" spans="33:33" x14ac:dyDescent="0.25">
      <c r="AG3363">
        <v>3361</v>
      </c>
    </row>
    <row r="3364" spans="33:33" x14ac:dyDescent="0.25">
      <c r="AG3364">
        <v>3362</v>
      </c>
    </row>
    <row r="3365" spans="33:33" x14ac:dyDescent="0.25">
      <c r="AG3365">
        <v>3363</v>
      </c>
    </row>
    <row r="3366" spans="33:33" x14ac:dyDescent="0.25">
      <c r="AG3366">
        <v>3364</v>
      </c>
    </row>
    <row r="3367" spans="33:33" x14ac:dyDescent="0.25">
      <c r="AG3367">
        <v>3365</v>
      </c>
    </row>
    <row r="3368" spans="33:33" x14ac:dyDescent="0.25">
      <c r="AG3368">
        <v>3366</v>
      </c>
    </row>
    <row r="3369" spans="33:33" x14ac:dyDescent="0.25">
      <c r="AG3369">
        <v>3367</v>
      </c>
    </row>
    <row r="3370" spans="33:33" x14ac:dyDescent="0.25">
      <c r="AG3370">
        <v>3368</v>
      </c>
    </row>
    <row r="3371" spans="33:33" x14ac:dyDescent="0.25">
      <c r="AG3371">
        <v>3369</v>
      </c>
    </row>
    <row r="3372" spans="33:33" x14ac:dyDescent="0.25">
      <c r="AG3372">
        <v>3370</v>
      </c>
    </row>
    <row r="3373" spans="33:33" x14ac:dyDescent="0.25">
      <c r="AG3373">
        <v>3371</v>
      </c>
    </row>
    <row r="3374" spans="33:33" x14ac:dyDescent="0.25">
      <c r="AG3374">
        <v>3372</v>
      </c>
    </row>
    <row r="3375" spans="33:33" x14ac:dyDescent="0.25">
      <c r="AG3375">
        <v>3373</v>
      </c>
    </row>
    <row r="3376" spans="33:33" x14ac:dyDescent="0.25">
      <c r="AG3376">
        <v>3374</v>
      </c>
    </row>
    <row r="3377" spans="33:33" x14ac:dyDescent="0.25">
      <c r="AG3377">
        <v>3375</v>
      </c>
    </row>
    <row r="3378" spans="33:33" x14ac:dyDescent="0.25">
      <c r="AG3378">
        <v>3376</v>
      </c>
    </row>
    <row r="3379" spans="33:33" x14ac:dyDescent="0.25">
      <c r="AG3379">
        <v>3377</v>
      </c>
    </row>
    <row r="3380" spans="33:33" x14ac:dyDescent="0.25">
      <c r="AG3380">
        <v>3378</v>
      </c>
    </row>
    <row r="3381" spans="33:33" x14ac:dyDescent="0.25">
      <c r="AG3381">
        <v>3379</v>
      </c>
    </row>
    <row r="3382" spans="33:33" x14ac:dyDescent="0.25">
      <c r="AG3382">
        <v>3380</v>
      </c>
    </row>
    <row r="3383" spans="33:33" x14ac:dyDescent="0.25">
      <c r="AG3383">
        <v>3381</v>
      </c>
    </row>
    <row r="3384" spans="33:33" x14ac:dyDescent="0.25">
      <c r="AG3384">
        <v>3382</v>
      </c>
    </row>
    <row r="3385" spans="33:33" x14ac:dyDescent="0.25">
      <c r="AG3385">
        <v>3383</v>
      </c>
    </row>
    <row r="3386" spans="33:33" x14ac:dyDescent="0.25">
      <c r="AG3386">
        <v>3384</v>
      </c>
    </row>
    <row r="3387" spans="33:33" x14ac:dyDescent="0.25">
      <c r="AG3387">
        <v>3385</v>
      </c>
    </row>
    <row r="3388" spans="33:33" x14ac:dyDescent="0.25">
      <c r="AG3388">
        <v>3386</v>
      </c>
    </row>
    <row r="3389" spans="33:33" x14ac:dyDescent="0.25">
      <c r="AG3389">
        <v>3387</v>
      </c>
    </row>
    <row r="3390" spans="33:33" x14ac:dyDescent="0.25">
      <c r="AG3390">
        <v>3388</v>
      </c>
    </row>
    <row r="3391" spans="33:33" x14ac:dyDescent="0.25">
      <c r="AG3391">
        <v>3389</v>
      </c>
    </row>
    <row r="3392" spans="33:33" x14ac:dyDescent="0.25">
      <c r="AG3392">
        <v>3390</v>
      </c>
    </row>
    <row r="3393" spans="33:33" x14ac:dyDescent="0.25">
      <c r="AG3393">
        <v>3391</v>
      </c>
    </row>
    <row r="3394" spans="33:33" x14ac:dyDescent="0.25">
      <c r="AG3394">
        <v>3392</v>
      </c>
    </row>
    <row r="3395" spans="33:33" x14ac:dyDescent="0.25">
      <c r="AG3395">
        <v>3393</v>
      </c>
    </row>
    <row r="3396" spans="33:33" x14ac:dyDescent="0.25">
      <c r="AG3396">
        <v>3394</v>
      </c>
    </row>
    <row r="3397" spans="33:33" x14ac:dyDescent="0.25">
      <c r="AG3397">
        <v>3395</v>
      </c>
    </row>
    <row r="3398" spans="33:33" x14ac:dyDescent="0.25">
      <c r="AG3398">
        <v>3396</v>
      </c>
    </row>
    <row r="3399" spans="33:33" x14ac:dyDescent="0.25">
      <c r="AG3399">
        <v>3397</v>
      </c>
    </row>
    <row r="3400" spans="33:33" x14ac:dyDescent="0.25">
      <c r="AG3400">
        <v>3398</v>
      </c>
    </row>
    <row r="3401" spans="33:33" x14ac:dyDescent="0.25">
      <c r="AG3401">
        <v>3399</v>
      </c>
    </row>
    <row r="3402" spans="33:33" x14ac:dyDescent="0.25">
      <c r="AG3402">
        <v>3400</v>
      </c>
    </row>
    <row r="3403" spans="33:33" x14ac:dyDescent="0.25">
      <c r="AG3403">
        <v>3401</v>
      </c>
    </row>
    <row r="3404" spans="33:33" x14ac:dyDescent="0.25">
      <c r="AG3404">
        <v>3402</v>
      </c>
    </row>
    <row r="3405" spans="33:33" x14ac:dyDescent="0.25">
      <c r="AG3405">
        <v>3403</v>
      </c>
    </row>
    <row r="3406" spans="33:33" x14ac:dyDescent="0.25">
      <c r="AG3406">
        <v>3404</v>
      </c>
    </row>
    <row r="3407" spans="33:33" x14ac:dyDescent="0.25">
      <c r="AG3407">
        <v>3405</v>
      </c>
    </row>
    <row r="3408" spans="33:33" x14ac:dyDescent="0.25">
      <c r="AG3408">
        <v>3406</v>
      </c>
    </row>
    <row r="3409" spans="33:33" x14ac:dyDescent="0.25">
      <c r="AG3409">
        <v>3407</v>
      </c>
    </row>
    <row r="3410" spans="33:33" x14ac:dyDescent="0.25">
      <c r="AG3410">
        <v>3408</v>
      </c>
    </row>
    <row r="3411" spans="33:33" x14ac:dyDescent="0.25">
      <c r="AG3411">
        <v>3409</v>
      </c>
    </row>
    <row r="3412" spans="33:33" x14ac:dyDescent="0.25">
      <c r="AG3412">
        <v>3410</v>
      </c>
    </row>
    <row r="3413" spans="33:33" x14ac:dyDescent="0.25">
      <c r="AG3413">
        <v>3411</v>
      </c>
    </row>
    <row r="3414" spans="33:33" x14ac:dyDescent="0.25">
      <c r="AG3414">
        <v>3412</v>
      </c>
    </row>
    <row r="3415" spans="33:33" x14ac:dyDescent="0.25">
      <c r="AG3415">
        <v>3413</v>
      </c>
    </row>
    <row r="3416" spans="33:33" x14ac:dyDescent="0.25">
      <c r="AG3416">
        <v>3414</v>
      </c>
    </row>
    <row r="3417" spans="33:33" x14ac:dyDescent="0.25">
      <c r="AG3417">
        <v>3415</v>
      </c>
    </row>
    <row r="3418" spans="33:33" x14ac:dyDescent="0.25">
      <c r="AG3418">
        <v>3416</v>
      </c>
    </row>
    <row r="3419" spans="33:33" x14ac:dyDescent="0.25">
      <c r="AG3419">
        <v>3417</v>
      </c>
    </row>
    <row r="3420" spans="33:33" x14ac:dyDescent="0.25">
      <c r="AG3420">
        <v>3418</v>
      </c>
    </row>
    <row r="3421" spans="33:33" x14ac:dyDescent="0.25">
      <c r="AG3421">
        <v>3419</v>
      </c>
    </row>
    <row r="3422" spans="33:33" x14ac:dyDescent="0.25">
      <c r="AG3422">
        <v>3420</v>
      </c>
    </row>
    <row r="3423" spans="33:33" x14ac:dyDescent="0.25">
      <c r="AG3423">
        <v>3421</v>
      </c>
    </row>
    <row r="3424" spans="33:33" x14ac:dyDescent="0.25">
      <c r="AG3424">
        <v>3422</v>
      </c>
    </row>
    <row r="3425" spans="33:33" x14ac:dyDescent="0.25">
      <c r="AG3425">
        <v>3423</v>
      </c>
    </row>
    <row r="3426" spans="33:33" x14ac:dyDescent="0.25">
      <c r="AG3426">
        <v>3424</v>
      </c>
    </row>
    <row r="3427" spans="33:33" x14ac:dyDescent="0.25">
      <c r="AG3427">
        <v>3425</v>
      </c>
    </row>
    <row r="3428" spans="33:33" x14ac:dyDescent="0.25">
      <c r="AG3428">
        <v>3426</v>
      </c>
    </row>
    <row r="3429" spans="33:33" x14ac:dyDescent="0.25">
      <c r="AG3429">
        <v>3427</v>
      </c>
    </row>
    <row r="3430" spans="33:33" x14ac:dyDescent="0.25">
      <c r="AG3430">
        <v>3428</v>
      </c>
    </row>
    <row r="3431" spans="33:33" x14ac:dyDescent="0.25">
      <c r="AG3431">
        <v>3429</v>
      </c>
    </row>
    <row r="3432" spans="33:33" x14ac:dyDescent="0.25">
      <c r="AG3432">
        <v>3430</v>
      </c>
    </row>
    <row r="3433" spans="33:33" x14ac:dyDescent="0.25">
      <c r="AG3433">
        <v>3431</v>
      </c>
    </row>
    <row r="3434" spans="33:33" x14ac:dyDescent="0.25">
      <c r="AG3434">
        <v>3432</v>
      </c>
    </row>
    <row r="3435" spans="33:33" x14ac:dyDescent="0.25">
      <c r="AG3435">
        <v>3433</v>
      </c>
    </row>
    <row r="3436" spans="33:33" x14ac:dyDescent="0.25">
      <c r="AG3436">
        <v>3434</v>
      </c>
    </row>
    <row r="3437" spans="33:33" x14ac:dyDescent="0.25">
      <c r="AG3437">
        <v>3435</v>
      </c>
    </row>
    <row r="3438" spans="33:33" x14ac:dyDescent="0.25">
      <c r="AG3438">
        <v>3436</v>
      </c>
    </row>
    <row r="3439" spans="33:33" x14ac:dyDescent="0.25">
      <c r="AG3439">
        <v>3437</v>
      </c>
    </row>
    <row r="3440" spans="33:33" x14ac:dyDescent="0.25">
      <c r="AG3440">
        <v>3438</v>
      </c>
    </row>
    <row r="3441" spans="33:33" x14ac:dyDescent="0.25">
      <c r="AG3441">
        <v>3439</v>
      </c>
    </row>
    <row r="3442" spans="33:33" x14ac:dyDescent="0.25">
      <c r="AG3442">
        <v>3440</v>
      </c>
    </row>
    <row r="3443" spans="33:33" x14ac:dyDescent="0.25">
      <c r="AG3443">
        <v>3441</v>
      </c>
    </row>
    <row r="3444" spans="33:33" x14ac:dyDescent="0.25">
      <c r="AG3444">
        <v>3442</v>
      </c>
    </row>
    <row r="3445" spans="33:33" x14ac:dyDescent="0.25">
      <c r="AG3445">
        <v>3443</v>
      </c>
    </row>
    <row r="3446" spans="33:33" x14ac:dyDescent="0.25">
      <c r="AG3446">
        <v>3444</v>
      </c>
    </row>
    <row r="3447" spans="33:33" x14ac:dyDescent="0.25">
      <c r="AG3447">
        <v>3445</v>
      </c>
    </row>
    <row r="3448" spans="33:33" x14ac:dyDescent="0.25">
      <c r="AG3448">
        <v>3446</v>
      </c>
    </row>
    <row r="3449" spans="33:33" x14ac:dyDescent="0.25">
      <c r="AG3449">
        <v>3447</v>
      </c>
    </row>
    <row r="3450" spans="33:33" x14ac:dyDescent="0.25">
      <c r="AG3450">
        <v>3448</v>
      </c>
    </row>
    <row r="3451" spans="33:33" x14ac:dyDescent="0.25">
      <c r="AG3451">
        <v>3449</v>
      </c>
    </row>
    <row r="3452" spans="33:33" x14ac:dyDescent="0.25">
      <c r="AG3452">
        <v>3450</v>
      </c>
    </row>
    <row r="3453" spans="33:33" x14ac:dyDescent="0.25">
      <c r="AG3453">
        <v>3451</v>
      </c>
    </row>
    <row r="3454" spans="33:33" x14ac:dyDescent="0.25">
      <c r="AG3454">
        <v>3452</v>
      </c>
    </row>
    <row r="3455" spans="33:33" x14ac:dyDescent="0.25">
      <c r="AG3455">
        <v>3453</v>
      </c>
    </row>
    <row r="3456" spans="33:33" x14ac:dyDescent="0.25">
      <c r="AG3456">
        <v>3454</v>
      </c>
    </row>
    <row r="3457" spans="33:33" x14ac:dyDescent="0.25">
      <c r="AG3457">
        <v>3455</v>
      </c>
    </row>
    <row r="3458" spans="33:33" x14ac:dyDescent="0.25">
      <c r="AG3458">
        <v>3456</v>
      </c>
    </row>
    <row r="3459" spans="33:33" x14ac:dyDescent="0.25">
      <c r="AG3459">
        <v>3457</v>
      </c>
    </row>
    <row r="3460" spans="33:33" x14ac:dyDescent="0.25">
      <c r="AG3460">
        <v>3458</v>
      </c>
    </row>
    <row r="3461" spans="33:33" x14ac:dyDescent="0.25">
      <c r="AG3461">
        <v>3459</v>
      </c>
    </row>
    <row r="3462" spans="33:33" x14ac:dyDescent="0.25">
      <c r="AG3462">
        <v>3460</v>
      </c>
    </row>
    <row r="3463" spans="33:33" x14ac:dyDescent="0.25">
      <c r="AG3463">
        <v>3461</v>
      </c>
    </row>
    <row r="3464" spans="33:33" x14ac:dyDescent="0.25">
      <c r="AG3464">
        <v>3462</v>
      </c>
    </row>
    <row r="3465" spans="33:33" x14ac:dyDescent="0.25">
      <c r="AG3465">
        <v>3463</v>
      </c>
    </row>
    <row r="3466" spans="33:33" x14ac:dyDescent="0.25">
      <c r="AG3466">
        <v>3464</v>
      </c>
    </row>
    <row r="3467" spans="33:33" x14ac:dyDescent="0.25">
      <c r="AG3467">
        <v>3465</v>
      </c>
    </row>
    <row r="3468" spans="33:33" x14ac:dyDescent="0.25">
      <c r="AG3468">
        <v>3466</v>
      </c>
    </row>
    <row r="3469" spans="33:33" x14ac:dyDescent="0.25">
      <c r="AG3469">
        <v>3467</v>
      </c>
    </row>
    <row r="3470" spans="33:33" x14ac:dyDescent="0.25">
      <c r="AG3470">
        <v>3468</v>
      </c>
    </row>
    <row r="3471" spans="33:33" x14ac:dyDescent="0.25">
      <c r="AG3471">
        <v>3469</v>
      </c>
    </row>
    <row r="3472" spans="33:33" x14ac:dyDescent="0.25">
      <c r="AG3472">
        <v>3470</v>
      </c>
    </row>
    <row r="3473" spans="33:33" x14ac:dyDescent="0.25">
      <c r="AG3473">
        <v>3471</v>
      </c>
    </row>
    <row r="3474" spans="33:33" x14ac:dyDescent="0.25">
      <c r="AG3474">
        <v>3472</v>
      </c>
    </row>
    <row r="3475" spans="33:33" x14ac:dyDescent="0.25">
      <c r="AG3475">
        <v>3473</v>
      </c>
    </row>
    <row r="3476" spans="33:33" x14ac:dyDescent="0.25">
      <c r="AG3476">
        <v>3474</v>
      </c>
    </row>
    <row r="3477" spans="33:33" x14ac:dyDescent="0.25">
      <c r="AG3477">
        <v>3475</v>
      </c>
    </row>
    <row r="3478" spans="33:33" x14ac:dyDescent="0.25">
      <c r="AG3478">
        <v>3476</v>
      </c>
    </row>
    <row r="3479" spans="33:33" x14ac:dyDescent="0.25">
      <c r="AG3479">
        <v>3477</v>
      </c>
    </row>
    <row r="3480" spans="33:33" x14ac:dyDescent="0.25">
      <c r="AG3480">
        <v>3478</v>
      </c>
    </row>
    <row r="3481" spans="33:33" x14ac:dyDescent="0.25">
      <c r="AG3481">
        <v>3479</v>
      </c>
    </row>
    <row r="3482" spans="33:33" x14ac:dyDescent="0.25">
      <c r="AG3482">
        <v>3480</v>
      </c>
    </row>
    <row r="3483" spans="33:33" x14ac:dyDescent="0.25">
      <c r="AG3483">
        <v>3481</v>
      </c>
    </row>
    <row r="3484" spans="33:33" x14ac:dyDescent="0.25">
      <c r="AG3484">
        <v>3482</v>
      </c>
    </row>
    <row r="3485" spans="33:33" x14ac:dyDescent="0.25">
      <c r="AG3485">
        <v>3483</v>
      </c>
    </row>
    <row r="3486" spans="33:33" x14ac:dyDescent="0.25">
      <c r="AG3486">
        <v>3484</v>
      </c>
    </row>
    <row r="3487" spans="33:33" x14ac:dyDescent="0.25">
      <c r="AG3487">
        <v>3485</v>
      </c>
    </row>
    <row r="3488" spans="33:33" x14ac:dyDescent="0.25">
      <c r="AG3488">
        <v>3486</v>
      </c>
    </row>
    <row r="3489" spans="33:33" x14ac:dyDescent="0.25">
      <c r="AG3489">
        <v>3487</v>
      </c>
    </row>
    <row r="3490" spans="33:33" x14ac:dyDescent="0.25">
      <c r="AG3490">
        <v>3488</v>
      </c>
    </row>
    <row r="3491" spans="33:33" x14ac:dyDescent="0.25">
      <c r="AG3491">
        <v>3489</v>
      </c>
    </row>
    <row r="3492" spans="33:33" x14ac:dyDescent="0.25">
      <c r="AG3492">
        <v>3490</v>
      </c>
    </row>
    <row r="3493" spans="33:33" x14ac:dyDescent="0.25">
      <c r="AG3493">
        <v>3491</v>
      </c>
    </row>
    <row r="3494" spans="33:33" x14ac:dyDescent="0.25">
      <c r="AG3494">
        <v>3492</v>
      </c>
    </row>
    <row r="3495" spans="33:33" x14ac:dyDescent="0.25">
      <c r="AG3495">
        <v>3493</v>
      </c>
    </row>
    <row r="3496" spans="33:33" x14ac:dyDescent="0.25">
      <c r="AG3496">
        <v>3494</v>
      </c>
    </row>
    <row r="3497" spans="33:33" x14ac:dyDescent="0.25">
      <c r="AG3497">
        <v>3495</v>
      </c>
    </row>
    <row r="3498" spans="33:33" x14ac:dyDescent="0.25">
      <c r="AG3498">
        <v>3496</v>
      </c>
    </row>
    <row r="3499" spans="33:33" x14ac:dyDescent="0.25">
      <c r="AG3499">
        <v>3497</v>
      </c>
    </row>
    <row r="3500" spans="33:33" x14ac:dyDescent="0.25">
      <c r="AG3500">
        <v>3498</v>
      </c>
    </row>
    <row r="3501" spans="33:33" x14ac:dyDescent="0.25">
      <c r="AG3501">
        <v>3499</v>
      </c>
    </row>
    <row r="3502" spans="33:33" x14ac:dyDescent="0.25">
      <c r="AG3502">
        <v>3500</v>
      </c>
    </row>
    <row r="3503" spans="33:33" x14ac:dyDescent="0.25">
      <c r="AG3503">
        <v>3501</v>
      </c>
    </row>
    <row r="3504" spans="33:33" x14ac:dyDescent="0.25">
      <c r="AG3504">
        <v>3502</v>
      </c>
    </row>
    <row r="3505" spans="33:33" x14ac:dyDescent="0.25">
      <c r="AG3505">
        <v>3503</v>
      </c>
    </row>
    <row r="3506" spans="33:33" x14ac:dyDescent="0.25">
      <c r="AG3506">
        <v>3504</v>
      </c>
    </row>
    <row r="3507" spans="33:33" x14ac:dyDescent="0.25">
      <c r="AG3507">
        <v>3505</v>
      </c>
    </row>
    <row r="3508" spans="33:33" x14ac:dyDescent="0.25">
      <c r="AG3508">
        <v>3506</v>
      </c>
    </row>
    <row r="3509" spans="33:33" x14ac:dyDescent="0.25">
      <c r="AG3509">
        <v>3507</v>
      </c>
    </row>
    <row r="3510" spans="33:33" x14ac:dyDescent="0.25">
      <c r="AG3510">
        <v>3508</v>
      </c>
    </row>
    <row r="3511" spans="33:33" x14ac:dyDescent="0.25">
      <c r="AG3511">
        <v>3509</v>
      </c>
    </row>
    <row r="3512" spans="33:33" x14ac:dyDescent="0.25">
      <c r="AG3512">
        <v>3510</v>
      </c>
    </row>
    <row r="3513" spans="33:33" x14ac:dyDescent="0.25">
      <c r="AG3513">
        <v>3511</v>
      </c>
    </row>
    <row r="3514" spans="33:33" x14ac:dyDescent="0.25">
      <c r="AG3514">
        <v>3512</v>
      </c>
    </row>
    <row r="3515" spans="33:33" x14ac:dyDescent="0.25">
      <c r="AG3515">
        <v>3513</v>
      </c>
    </row>
    <row r="3516" spans="33:33" x14ac:dyDescent="0.25">
      <c r="AG3516">
        <v>3514</v>
      </c>
    </row>
    <row r="3517" spans="33:33" x14ac:dyDescent="0.25">
      <c r="AG3517">
        <v>3515</v>
      </c>
    </row>
    <row r="3518" spans="33:33" x14ac:dyDescent="0.25">
      <c r="AG3518">
        <v>3516</v>
      </c>
    </row>
    <row r="3519" spans="33:33" x14ac:dyDescent="0.25">
      <c r="AG3519">
        <v>3517</v>
      </c>
    </row>
    <row r="3520" spans="33:33" x14ac:dyDescent="0.25">
      <c r="AG3520">
        <v>3518</v>
      </c>
    </row>
    <row r="3521" spans="33:33" x14ac:dyDescent="0.25">
      <c r="AG3521">
        <v>3519</v>
      </c>
    </row>
    <row r="3522" spans="33:33" x14ac:dyDescent="0.25">
      <c r="AG3522">
        <v>3520</v>
      </c>
    </row>
    <row r="3523" spans="33:33" x14ac:dyDescent="0.25">
      <c r="AG3523">
        <v>3521</v>
      </c>
    </row>
    <row r="3524" spans="33:33" x14ac:dyDescent="0.25">
      <c r="AG3524">
        <v>3522</v>
      </c>
    </row>
    <row r="3525" spans="33:33" x14ac:dyDescent="0.25">
      <c r="AG3525">
        <v>3523</v>
      </c>
    </row>
    <row r="3526" spans="33:33" x14ac:dyDescent="0.25">
      <c r="AG3526">
        <v>3524</v>
      </c>
    </row>
    <row r="3527" spans="33:33" x14ac:dyDescent="0.25">
      <c r="AG3527">
        <v>3525</v>
      </c>
    </row>
    <row r="3528" spans="33:33" x14ac:dyDescent="0.25">
      <c r="AG3528">
        <v>3526</v>
      </c>
    </row>
    <row r="3529" spans="33:33" x14ac:dyDescent="0.25">
      <c r="AG3529">
        <v>3527</v>
      </c>
    </row>
    <row r="3530" spans="33:33" x14ac:dyDescent="0.25">
      <c r="AG3530">
        <v>3528</v>
      </c>
    </row>
    <row r="3531" spans="33:33" x14ac:dyDescent="0.25">
      <c r="AG3531">
        <v>3529</v>
      </c>
    </row>
    <row r="3532" spans="33:33" x14ac:dyDescent="0.25">
      <c r="AG3532">
        <v>3530</v>
      </c>
    </row>
    <row r="3533" spans="33:33" x14ac:dyDescent="0.25">
      <c r="AG3533">
        <v>3531</v>
      </c>
    </row>
    <row r="3534" spans="33:33" x14ac:dyDescent="0.25">
      <c r="AG3534">
        <v>3532</v>
      </c>
    </row>
    <row r="3535" spans="33:33" x14ac:dyDescent="0.25">
      <c r="AG3535">
        <v>3533</v>
      </c>
    </row>
    <row r="3536" spans="33:33" x14ac:dyDescent="0.25">
      <c r="AG3536">
        <v>3534</v>
      </c>
    </row>
    <row r="3537" spans="33:33" x14ac:dyDescent="0.25">
      <c r="AG3537">
        <v>3535</v>
      </c>
    </row>
    <row r="3538" spans="33:33" x14ac:dyDescent="0.25">
      <c r="AG3538">
        <v>3536</v>
      </c>
    </row>
    <row r="3539" spans="33:33" x14ac:dyDescent="0.25">
      <c r="AG3539">
        <v>3537</v>
      </c>
    </row>
    <row r="3540" spans="33:33" x14ac:dyDescent="0.25">
      <c r="AG3540">
        <v>3538</v>
      </c>
    </row>
    <row r="3541" spans="33:33" x14ac:dyDescent="0.25">
      <c r="AG3541">
        <v>3539</v>
      </c>
    </row>
    <row r="3542" spans="33:33" x14ac:dyDescent="0.25">
      <c r="AG3542">
        <v>3540</v>
      </c>
    </row>
    <row r="3543" spans="33:33" x14ac:dyDescent="0.25">
      <c r="AG3543">
        <v>3541</v>
      </c>
    </row>
    <row r="3544" spans="33:33" x14ac:dyDescent="0.25">
      <c r="AG3544">
        <v>3542</v>
      </c>
    </row>
    <row r="3545" spans="33:33" x14ac:dyDescent="0.25">
      <c r="AG3545">
        <v>3543</v>
      </c>
    </row>
    <row r="3546" spans="33:33" x14ac:dyDescent="0.25">
      <c r="AG3546">
        <v>3544</v>
      </c>
    </row>
    <row r="3547" spans="33:33" x14ac:dyDescent="0.25">
      <c r="AG3547">
        <v>3545</v>
      </c>
    </row>
    <row r="3548" spans="33:33" x14ac:dyDescent="0.25">
      <c r="AG3548">
        <v>3546</v>
      </c>
    </row>
    <row r="3549" spans="33:33" x14ac:dyDescent="0.25">
      <c r="AG3549">
        <v>3547</v>
      </c>
    </row>
    <row r="3550" spans="33:33" x14ac:dyDescent="0.25">
      <c r="AG3550">
        <v>3548</v>
      </c>
    </row>
    <row r="3551" spans="33:33" x14ac:dyDescent="0.25">
      <c r="AG3551">
        <v>3549</v>
      </c>
    </row>
    <row r="3552" spans="33:33" x14ac:dyDescent="0.25">
      <c r="AG3552">
        <v>3550</v>
      </c>
    </row>
    <row r="3553" spans="33:33" x14ac:dyDescent="0.25">
      <c r="AG3553">
        <v>3551</v>
      </c>
    </row>
    <row r="3554" spans="33:33" x14ac:dyDescent="0.25">
      <c r="AG3554">
        <v>3552</v>
      </c>
    </row>
    <row r="3555" spans="33:33" x14ac:dyDescent="0.25">
      <c r="AG3555">
        <v>3553</v>
      </c>
    </row>
    <row r="3556" spans="33:33" x14ac:dyDescent="0.25">
      <c r="AG3556">
        <v>3554</v>
      </c>
    </row>
    <row r="3557" spans="33:33" x14ac:dyDescent="0.25">
      <c r="AG3557">
        <v>3555</v>
      </c>
    </row>
    <row r="3558" spans="33:33" x14ac:dyDescent="0.25">
      <c r="AG3558">
        <v>3556</v>
      </c>
    </row>
    <row r="3559" spans="33:33" x14ac:dyDescent="0.25">
      <c r="AG3559">
        <v>3557</v>
      </c>
    </row>
    <row r="3560" spans="33:33" x14ac:dyDescent="0.25">
      <c r="AG3560">
        <v>3558</v>
      </c>
    </row>
    <row r="3561" spans="33:33" x14ac:dyDescent="0.25">
      <c r="AG3561">
        <v>3559</v>
      </c>
    </row>
    <row r="3562" spans="33:33" x14ac:dyDescent="0.25">
      <c r="AG3562">
        <v>3560</v>
      </c>
    </row>
    <row r="3563" spans="33:33" x14ac:dyDescent="0.25">
      <c r="AG3563">
        <v>3561</v>
      </c>
    </row>
    <row r="3564" spans="33:33" x14ac:dyDescent="0.25">
      <c r="AG3564">
        <v>3562</v>
      </c>
    </row>
    <row r="3565" spans="33:33" x14ac:dyDescent="0.25">
      <c r="AG3565">
        <v>3563</v>
      </c>
    </row>
    <row r="3566" spans="33:33" x14ac:dyDescent="0.25">
      <c r="AG3566">
        <v>3564</v>
      </c>
    </row>
    <row r="3567" spans="33:33" x14ac:dyDescent="0.25">
      <c r="AG3567">
        <v>3565</v>
      </c>
    </row>
    <row r="3568" spans="33:33" x14ac:dyDescent="0.25">
      <c r="AG3568">
        <v>3566</v>
      </c>
    </row>
    <row r="3569" spans="33:33" x14ac:dyDescent="0.25">
      <c r="AG3569">
        <v>3567</v>
      </c>
    </row>
    <row r="3570" spans="33:33" x14ac:dyDescent="0.25">
      <c r="AG3570">
        <v>3568</v>
      </c>
    </row>
    <row r="3571" spans="33:33" x14ac:dyDescent="0.25">
      <c r="AG3571">
        <v>3569</v>
      </c>
    </row>
    <row r="3572" spans="33:33" x14ac:dyDescent="0.25">
      <c r="AG3572">
        <v>3570</v>
      </c>
    </row>
    <row r="3573" spans="33:33" x14ac:dyDescent="0.25">
      <c r="AG3573">
        <v>3571</v>
      </c>
    </row>
    <row r="3574" spans="33:33" x14ac:dyDescent="0.25">
      <c r="AG3574">
        <v>3572</v>
      </c>
    </row>
    <row r="3575" spans="33:33" x14ac:dyDescent="0.25">
      <c r="AG3575">
        <v>3573</v>
      </c>
    </row>
    <row r="3576" spans="33:33" x14ac:dyDescent="0.25">
      <c r="AG3576">
        <v>3574</v>
      </c>
    </row>
    <row r="3577" spans="33:33" x14ac:dyDescent="0.25">
      <c r="AG3577">
        <v>3575</v>
      </c>
    </row>
    <row r="3578" spans="33:33" x14ac:dyDescent="0.25">
      <c r="AG3578">
        <v>3576</v>
      </c>
    </row>
    <row r="3579" spans="33:33" x14ac:dyDescent="0.25">
      <c r="AG3579">
        <v>3577</v>
      </c>
    </row>
    <row r="3580" spans="33:33" x14ac:dyDescent="0.25">
      <c r="AG3580">
        <v>3578</v>
      </c>
    </row>
    <row r="3581" spans="33:33" x14ac:dyDescent="0.25">
      <c r="AG3581">
        <v>3579</v>
      </c>
    </row>
    <row r="3582" spans="33:33" x14ac:dyDescent="0.25">
      <c r="AG3582">
        <v>3580</v>
      </c>
    </row>
    <row r="3583" spans="33:33" x14ac:dyDescent="0.25">
      <c r="AG3583">
        <v>3581</v>
      </c>
    </row>
    <row r="3584" spans="33:33" x14ac:dyDescent="0.25">
      <c r="AG3584">
        <v>3582</v>
      </c>
    </row>
    <row r="3585" spans="33:33" x14ac:dyDescent="0.25">
      <c r="AG3585">
        <v>3583</v>
      </c>
    </row>
    <row r="3586" spans="33:33" x14ac:dyDescent="0.25">
      <c r="AG3586">
        <v>3584</v>
      </c>
    </row>
    <row r="3587" spans="33:33" x14ac:dyDescent="0.25">
      <c r="AG3587">
        <v>3585</v>
      </c>
    </row>
    <row r="3588" spans="33:33" x14ac:dyDescent="0.25">
      <c r="AG3588">
        <v>3586</v>
      </c>
    </row>
    <row r="3589" spans="33:33" x14ac:dyDescent="0.25">
      <c r="AG3589">
        <v>3587</v>
      </c>
    </row>
    <row r="3590" spans="33:33" x14ac:dyDescent="0.25">
      <c r="AG3590">
        <v>3588</v>
      </c>
    </row>
    <row r="3591" spans="33:33" x14ac:dyDescent="0.25">
      <c r="AG3591">
        <v>3589</v>
      </c>
    </row>
    <row r="3592" spans="33:33" x14ac:dyDescent="0.25">
      <c r="AG3592">
        <v>3590</v>
      </c>
    </row>
    <row r="3593" spans="33:33" x14ac:dyDescent="0.25">
      <c r="AG3593">
        <v>3591</v>
      </c>
    </row>
    <row r="3594" spans="33:33" x14ac:dyDescent="0.25">
      <c r="AG3594">
        <v>3592</v>
      </c>
    </row>
    <row r="3595" spans="33:33" x14ac:dyDescent="0.25">
      <c r="AG3595">
        <v>3593</v>
      </c>
    </row>
    <row r="3596" spans="33:33" x14ac:dyDescent="0.25">
      <c r="AG3596">
        <v>3594</v>
      </c>
    </row>
    <row r="3597" spans="33:33" x14ac:dyDescent="0.25">
      <c r="AG3597">
        <v>3595</v>
      </c>
    </row>
    <row r="3598" spans="33:33" x14ac:dyDescent="0.25">
      <c r="AG3598">
        <v>3596</v>
      </c>
    </row>
    <row r="3599" spans="33:33" x14ac:dyDescent="0.25">
      <c r="AG3599">
        <v>3597</v>
      </c>
    </row>
    <row r="3600" spans="33:33" x14ac:dyDescent="0.25">
      <c r="AG3600">
        <v>3598</v>
      </c>
    </row>
    <row r="3601" spans="33:33" x14ac:dyDescent="0.25">
      <c r="AG3601">
        <v>3599</v>
      </c>
    </row>
    <row r="3602" spans="33:33" x14ac:dyDescent="0.25">
      <c r="AG3602">
        <v>3600</v>
      </c>
    </row>
    <row r="3603" spans="33:33" x14ac:dyDescent="0.25">
      <c r="AG3603">
        <v>3601</v>
      </c>
    </row>
    <row r="3604" spans="33:33" x14ac:dyDescent="0.25">
      <c r="AG3604">
        <v>3602</v>
      </c>
    </row>
    <row r="3605" spans="33:33" x14ac:dyDescent="0.25">
      <c r="AG3605">
        <v>3603</v>
      </c>
    </row>
    <row r="3606" spans="33:33" x14ac:dyDescent="0.25">
      <c r="AG3606">
        <v>3604</v>
      </c>
    </row>
    <row r="3607" spans="33:33" x14ac:dyDescent="0.25">
      <c r="AG3607">
        <v>3605</v>
      </c>
    </row>
    <row r="3608" spans="33:33" x14ac:dyDescent="0.25">
      <c r="AG3608">
        <v>3606</v>
      </c>
    </row>
    <row r="3609" spans="33:33" x14ac:dyDescent="0.25">
      <c r="AG3609">
        <v>3607</v>
      </c>
    </row>
    <row r="3610" spans="33:33" x14ac:dyDescent="0.25">
      <c r="AG3610">
        <v>3608</v>
      </c>
    </row>
    <row r="3611" spans="33:33" x14ac:dyDescent="0.25">
      <c r="AG3611">
        <v>3609</v>
      </c>
    </row>
    <row r="3612" spans="33:33" x14ac:dyDescent="0.25">
      <c r="AG3612">
        <v>3610</v>
      </c>
    </row>
    <row r="3613" spans="33:33" x14ac:dyDescent="0.25">
      <c r="AG3613">
        <v>3611</v>
      </c>
    </row>
    <row r="3614" spans="33:33" x14ac:dyDescent="0.25">
      <c r="AG3614">
        <v>3612</v>
      </c>
    </row>
    <row r="3615" spans="33:33" x14ac:dyDescent="0.25">
      <c r="AG3615">
        <v>3613</v>
      </c>
    </row>
    <row r="3616" spans="33:33" x14ac:dyDescent="0.25">
      <c r="AG3616">
        <v>3614</v>
      </c>
    </row>
    <row r="3617" spans="33:33" x14ac:dyDescent="0.25">
      <c r="AG3617">
        <v>3615</v>
      </c>
    </row>
    <row r="3618" spans="33:33" x14ac:dyDescent="0.25">
      <c r="AG3618">
        <v>3616</v>
      </c>
    </row>
    <row r="3619" spans="33:33" x14ac:dyDescent="0.25">
      <c r="AG3619">
        <v>3617</v>
      </c>
    </row>
    <row r="3620" spans="33:33" x14ac:dyDescent="0.25">
      <c r="AG3620">
        <v>3618</v>
      </c>
    </row>
    <row r="3621" spans="33:33" x14ac:dyDescent="0.25">
      <c r="AG3621">
        <v>3619</v>
      </c>
    </row>
    <row r="3622" spans="33:33" x14ac:dyDescent="0.25">
      <c r="AG3622">
        <v>3620</v>
      </c>
    </row>
    <row r="3623" spans="33:33" x14ac:dyDescent="0.25">
      <c r="AG3623">
        <v>3621</v>
      </c>
    </row>
    <row r="3624" spans="33:33" x14ac:dyDescent="0.25">
      <c r="AG3624">
        <v>3622</v>
      </c>
    </row>
    <row r="3625" spans="33:33" x14ac:dyDescent="0.25">
      <c r="AG3625">
        <v>3623</v>
      </c>
    </row>
    <row r="3626" spans="33:33" x14ac:dyDescent="0.25">
      <c r="AG3626">
        <v>3624</v>
      </c>
    </row>
    <row r="3627" spans="33:33" x14ac:dyDescent="0.25">
      <c r="AG3627">
        <v>3625</v>
      </c>
    </row>
    <row r="3628" spans="33:33" x14ac:dyDescent="0.25">
      <c r="AG3628">
        <v>3626</v>
      </c>
    </row>
    <row r="3629" spans="33:33" x14ac:dyDescent="0.25">
      <c r="AG3629">
        <v>3627</v>
      </c>
    </row>
    <row r="3630" spans="33:33" x14ac:dyDescent="0.25">
      <c r="AG3630">
        <v>3628</v>
      </c>
    </row>
    <row r="3631" spans="33:33" x14ac:dyDescent="0.25">
      <c r="AG3631">
        <v>3629</v>
      </c>
    </row>
    <row r="3632" spans="33:33" x14ac:dyDescent="0.25">
      <c r="AG3632">
        <v>3630</v>
      </c>
    </row>
    <row r="3633" spans="33:33" x14ac:dyDescent="0.25">
      <c r="AG3633">
        <v>3631</v>
      </c>
    </row>
    <row r="3634" spans="33:33" x14ac:dyDescent="0.25">
      <c r="AG3634">
        <v>3632</v>
      </c>
    </row>
    <row r="3635" spans="33:33" x14ac:dyDescent="0.25">
      <c r="AG3635">
        <v>3633</v>
      </c>
    </row>
    <row r="3636" spans="33:33" x14ac:dyDescent="0.25">
      <c r="AG3636">
        <v>3634</v>
      </c>
    </row>
    <row r="3637" spans="33:33" x14ac:dyDescent="0.25">
      <c r="AG3637">
        <v>3635</v>
      </c>
    </row>
    <row r="3638" spans="33:33" x14ac:dyDescent="0.25">
      <c r="AG3638">
        <v>3636</v>
      </c>
    </row>
    <row r="3639" spans="33:33" x14ac:dyDescent="0.25">
      <c r="AG3639">
        <v>3637</v>
      </c>
    </row>
    <row r="3640" spans="33:33" x14ac:dyDescent="0.25">
      <c r="AG3640">
        <v>3638</v>
      </c>
    </row>
    <row r="3641" spans="33:33" x14ac:dyDescent="0.25">
      <c r="AG3641">
        <v>3639</v>
      </c>
    </row>
    <row r="3642" spans="33:33" x14ac:dyDescent="0.25">
      <c r="AG3642">
        <v>3640</v>
      </c>
    </row>
    <row r="3643" spans="33:33" x14ac:dyDescent="0.25">
      <c r="AG3643">
        <v>3641</v>
      </c>
    </row>
    <row r="3644" spans="33:33" x14ac:dyDescent="0.25">
      <c r="AG3644">
        <v>3642</v>
      </c>
    </row>
    <row r="3645" spans="33:33" x14ac:dyDescent="0.25">
      <c r="AG3645">
        <v>3643</v>
      </c>
    </row>
    <row r="3646" spans="33:33" x14ac:dyDescent="0.25">
      <c r="AG3646">
        <v>3644</v>
      </c>
    </row>
    <row r="3647" spans="33:33" x14ac:dyDescent="0.25">
      <c r="AG3647">
        <v>3645</v>
      </c>
    </row>
    <row r="3648" spans="33:33" x14ac:dyDescent="0.25">
      <c r="AG3648">
        <v>3646</v>
      </c>
    </row>
    <row r="3649" spans="33:33" x14ac:dyDescent="0.25">
      <c r="AG3649">
        <v>3647</v>
      </c>
    </row>
    <row r="3650" spans="33:33" x14ac:dyDescent="0.25">
      <c r="AG3650">
        <v>3648</v>
      </c>
    </row>
    <row r="3651" spans="33:33" x14ac:dyDescent="0.25">
      <c r="AG3651">
        <v>3649</v>
      </c>
    </row>
    <row r="3652" spans="33:33" x14ac:dyDescent="0.25">
      <c r="AG3652">
        <v>3650</v>
      </c>
    </row>
    <row r="3653" spans="33:33" x14ac:dyDescent="0.25">
      <c r="AG3653">
        <v>3651</v>
      </c>
    </row>
    <row r="3654" spans="33:33" x14ac:dyDescent="0.25">
      <c r="AG3654">
        <v>3652</v>
      </c>
    </row>
    <row r="3655" spans="33:33" x14ac:dyDescent="0.25">
      <c r="AG3655">
        <v>3653</v>
      </c>
    </row>
    <row r="3656" spans="33:33" x14ac:dyDescent="0.25">
      <c r="AG3656">
        <v>3654</v>
      </c>
    </row>
    <row r="3657" spans="33:33" x14ac:dyDescent="0.25">
      <c r="AG3657">
        <v>3655</v>
      </c>
    </row>
    <row r="3658" spans="33:33" x14ac:dyDescent="0.25">
      <c r="AG3658">
        <v>3656</v>
      </c>
    </row>
    <row r="3659" spans="33:33" x14ac:dyDescent="0.25">
      <c r="AG3659">
        <v>3657</v>
      </c>
    </row>
    <row r="3660" spans="33:33" x14ac:dyDescent="0.25">
      <c r="AG3660">
        <v>3658</v>
      </c>
    </row>
    <row r="3661" spans="33:33" x14ac:dyDescent="0.25">
      <c r="AG3661">
        <v>3659</v>
      </c>
    </row>
    <row r="3662" spans="33:33" x14ac:dyDescent="0.25">
      <c r="AG3662">
        <v>3660</v>
      </c>
    </row>
    <row r="3663" spans="33:33" x14ac:dyDescent="0.25">
      <c r="AG3663">
        <v>3661</v>
      </c>
    </row>
    <row r="3664" spans="33:33" x14ac:dyDescent="0.25">
      <c r="AG3664">
        <v>3662</v>
      </c>
    </row>
    <row r="3665" spans="33:33" x14ac:dyDescent="0.25">
      <c r="AG3665">
        <v>3663</v>
      </c>
    </row>
    <row r="3666" spans="33:33" x14ac:dyDescent="0.25">
      <c r="AG3666">
        <v>3664</v>
      </c>
    </row>
    <row r="3667" spans="33:33" x14ac:dyDescent="0.25">
      <c r="AG3667">
        <v>3665</v>
      </c>
    </row>
    <row r="3668" spans="33:33" x14ac:dyDescent="0.25">
      <c r="AG3668">
        <v>3666</v>
      </c>
    </row>
    <row r="3669" spans="33:33" x14ac:dyDescent="0.25">
      <c r="AG3669">
        <v>3667</v>
      </c>
    </row>
    <row r="3670" spans="33:33" x14ac:dyDescent="0.25">
      <c r="AG3670">
        <v>3668</v>
      </c>
    </row>
    <row r="3671" spans="33:33" x14ac:dyDescent="0.25">
      <c r="AG3671">
        <v>3669</v>
      </c>
    </row>
    <row r="3672" spans="33:33" x14ac:dyDescent="0.25">
      <c r="AG3672">
        <v>3670</v>
      </c>
    </row>
    <row r="3673" spans="33:33" x14ac:dyDescent="0.25">
      <c r="AG3673">
        <v>3671</v>
      </c>
    </row>
    <row r="3674" spans="33:33" x14ac:dyDescent="0.25">
      <c r="AG3674">
        <v>3672</v>
      </c>
    </row>
    <row r="3675" spans="33:33" x14ac:dyDescent="0.25">
      <c r="AG3675">
        <v>3673</v>
      </c>
    </row>
    <row r="3676" spans="33:33" x14ac:dyDescent="0.25">
      <c r="AG3676">
        <v>3674</v>
      </c>
    </row>
    <row r="3677" spans="33:33" x14ac:dyDescent="0.25">
      <c r="AG3677">
        <v>3675</v>
      </c>
    </row>
    <row r="3678" spans="33:33" x14ac:dyDescent="0.25">
      <c r="AG3678">
        <v>3676</v>
      </c>
    </row>
    <row r="3679" spans="33:33" x14ac:dyDescent="0.25">
      <c r="AG3679">
        <v>3677</v>
      </c>
    </row>
    <row r="3680" spans="33:33" x14ac:dyDescent="0.25">
      <c r="AG3680">
        <v>3678</v>
      </c>
    </row>
    <row r="3681" spans="33:33" x14ac:dyDescent="0.25">
      <c r="AG3681">
        <v>3679</v>
      </c>
    </row>
    <row r="3682" spans="33:33" x14ac:dyDescent="0.25">
      <c r="AG3682">
        <v>3680</v>
      </c>
    </row>
    <row r="3683" spans="33:33" x14ac:dyDescent="0.25">
      <c r="AG3683">
        <v>3681</v>
      </c>
    </row>
    <row r="3684" spans="33:33" x14ac:dyDescent="0.25">
      <c r="AG3684">
        <v>3682</v>
      </c>
    </row>
    <row r="3685" spans="33:33" x14ac:dyDescent="0.25">
      <c r="AG3685">
        <v>3683</v>
      </c>
    </row>
    <row r="3686" spans="33:33" x14ac:dyDescent="0.25">
      <c r="AG3686">
        <v>3684</v>
      </c>
    </row>
    <row r="3687" spans="33:33" x14ac:dyDescent="0.25">
      <c r="AG3687">
        <v>3685</v>
      </c>
    </row>
    <row r="3688" spans="33:33" x14ac:dyDescent="0.25">
      <c r="AG3688">
        <v>3686</v>
      </c>
    </row>
    <row r="3689" spans="33:33" x14ac:dyDescent="0.25">
      <c r="AG3689">
        <v>3687</v>
      </c>
    </row>
    <row r="3690" spans="33:33" x14ac:dyDescent="0.25">
      <c r="AG3690">
        <v>3688</v>
      </c>
    </row>
    <row r="3691" spans="33:33" x14ac:dyDescent="0.25">
      <c r="AG3691">
        <v>3689</v>
      </c>
    </row>
    <row r="3692" spans="33:33" x14ac:dyDescent="0.25">
      <c r="AG3692">
        <v>3690</v>
      </c>
    </row>
    <row r="3693" spans="33:33" x14ac:dyDescent="0.25">
      <c r="AG3693">
        <v>3691</v>
      </c>
    </row>
    <row r="3694" spans="33:33" x14ac:dyDescent="0.25">
      <c r="AG3694">
        <v>3692</v>
      </c>
    </row>
    <row r="3695" spans="33:33" x14ac:dyDescent="0.25">
      <c r="AG3695">
        <v>3693</v>
      </c>
    </row>
    <row r="3696" spans="33:33" x14ac:dyDescent="0.25">
      <c r="AG3696">
        <v>3694</v>
      </c>
    </row>
    <row r="3697" spans="33:33" x14ac:dyDescent="0.25">
      <c r="AG3697">
        <v>3695</v>
      </c>
    </row>
    <row r="3698" spans="33:33" x14ac:dyDescent="0.25">
      <c r="AG3698">
        <v>3696</v>
      </c>
    </row>
    <row r="3699" spans="33:33" x14ac:dyDescent="0.25">
      <c r="AG3699">
        <v>3697</v>
      </c>
    </row>
    <row r="3700" spans="33:33" x14ac:dyDescent="0.25">
      <c r="AG3700">
        <v>3698</v>
      </c>
    </row>
    <row r="3701" spans="33:33" x14ac:dyDescent="0.25">
      <c r="AG3701">
        <v>3699</v>
      </c>
    </row>
    <row r="3702" spans="33:33" x14ac:dyDescent="0.25">
      <c r="AG3702">
        <v>3700</v>
      </c>
    </row>
    <row r="3703" spans="33:33" x14ac:dyDescent="0.25">
      <c r="AG3703">
        <v>3701</v>
      </c>
    </row>
    <row r="3704" spans="33:33" x14ac:dyDescent="0.25">
      <c r="AG3704">
        <v>3702</v>
      </c>
    </row>
    <row r="3705" spans="33:33" x14ac:dyDescent="0.25">
      <c r="AG3705">
        <v>3703</v>
      </c>
    </row>
    <row r="3706" spans="33:33" x14ac:dyDescent="0.25">
      <c r="AG3706">
        <v>3704</v>
      </c>
    </row>
    <row r="3707" spans="33:33" x14ac:dyDescent="0.25">
      <c r="AG3707">
        <v>3705</v>
      </c>
    </row>
    <row r="3708" spans="33:33" x14ac:dyDescent="0.25">
      <c r="AG3708">
        <v>3706</v>
      </c>
    </row>
    <row r="3709" spans="33:33" x14ac:dyDescent="0.25">
      <c r="AG3709">
        <v>3707</v>
      </c>
    </row>
    <row r="3710" spans="33:33" x14ac:dyDescent="0.25">
      <c r="AG3710">
        <v>3708</v>
      </c>
    </row>
    <row r="3711" spans="33:33" x14ac:dyDescent="0.25">
      <c r="AG3711">
        <v>3709</v>
      </c>
    </row>
    <row r="3712" spans="33:33" x14ac:dyDescent="0.25">
      <c r="AG3712">
        <v>3710</v>
      </c>
    </row>
    <row r="3713" spans="33:33" x14ac:dyDescent="0.25">
      <c r="AG3713">
        <v>3711</v>
      </c>
    </row>
    <row r="3714" spans="33:33" x14ac:dyDescent="0.25">
      <c r="AG3714">
        <v>3712</v>
      </c>
    </row>
    <row r="3715" spans="33:33" x14ac:dyDescent="0.25">
      <c r="AG3715">
        <v>3713</v>
      </c>
    </row>
    <row r="3716" spans="33:33" x14ac:dyDescent="0.25">
      <c r="AG3716">
        <v>3714</v>
      </c>
    </row>
    <row r="3717" spans="33:33" x14ac:dyDescent="0.25">
      <c r="AG3717">
        <v>3715</v>
      </c>
    </row>
    <row r="3718" spans="33:33" x14ac:dyDescent="0.25">
      <c r="AG3718">
        <v>3716</v>
      </c>
    </row>
    <row r="3719" spans="33:33" x14ac:dyDescent="0.25">
      <c r="AG3719">
        <v>3717</v>
      </c>
    </row>
    <row r="3720" spans="33:33" x14ac:dyDescent="0.25">
      <c r="AG3720">
        <v>3718</v>
      </c>
    </row>
    <row r="3721" spans="33:33" x14ac:dyDescent="0.25">
      <c r="AG3721">
        <v>3719</v>
      </c>
    </row>
    <row r="3722" spans="33:33" x14ac:dyDescent="0.25">
      <c r="AG3722">
        <v>3720</v>
      </c>
    </row>
    <row r="3723" spans="33:33" x14ac:dyDescent="0.25">
      <c r="AG3723">
        <v>3721</v>
      </c>
    </row>
    <row r="3724" spans="33:33" x14ac:dyDescent="0.25">
      <c r="AG3724">
        <v>3722</v>
      </c>
    </row>
    <row r="3725" spans="33:33" x14ac:dyDescent="0.25">
      <c r="AG3725">
        <v>3723</v>
      </c>
    </row>
    <row r="3726" spans="33:33" x14ac:dyDescent="0.25">
      <c r="AG3726">
        <v>3724</v>
      </c>
    </row>
    <row r="3727" spans="33:33" x14ac:dyDescent="0.25">
      <c r="AG3727">
        <v>3725</v>
      </c>
    </row>
    <row r="3728" spans="33:33" x14ac:dyDescent="0.25">
      <c r="AG3728">
        <v>3726</v>
      </c>
    </row>
    <row r="3729" spans="33:33" x14ac:dyDescent="0.25">
      <c r="AG3729">
        <v>3727</v>
      </c>
    </row>
    <row r="3730" spans="33:33" x14ac:dyDescent="0.25">
      <c r="AG3730">
        <v>3728</v>
      </c>
    </row>
    <row r="3731" spans="33:33" x14ac:dyDescent="0.25">
      <c r="AG3731">
        <v>3729</v>
      </c>
    </row>
    <row r="3732" spans="33:33" x14ac:dyDescent="0.25">
      <c r="AG3732">
        <v>3730</v>
      </c>
    </row>
    <row r="3733" spans="33:33" x14ac:dyDescent="0.25">
      <c r="AG3733">
        <v>3731</v>
      </c>
    </row>
    <row r="3734" spans="33:33" x14ac:dyDescent="0.25">
      <c r="AG3734">
        <v>3732</v>
      </c>
    </row>
    <row r="3735" spans="33:33" x14ac:dyDescent="0.25">
      <c r="AG3735">
        <v>3733</v>
      </c>
    </row>
    <row r="3736" spans="33:33" x14ac:dyDescent="0.25">
      <c r="AG3736">
        <v>3734</v>
      </c>
    </row>
    <row r="3737" spans="33:33" x14ac:dyDescent="0.25">
      <c r="AG3737">
        <v>3735</v>
      </c>
    </row>
    <row r="3738" spans="33:33" x14ac:dyDescent="0.25">
      <c r="AG3738">
        <v>3736</v>
      </c>
    </row>
    <row r="3739" spans="33:33" x14ac:dyDescent="0.25">
      <c r="AG3739">
        <v>3737</v>
      </c>
    </row>
    <row r="3740" spans="33:33" x14ac:dyDescent="0.25">
      <c r="AG3740">
        <v>3738</v>
      </c>
    </row>
    <row r="3741" spans="33:33" x14ac:dyDescent="0.25">
      <c r="AG3741">
        <v>3739</v>
      </c>
    </row>
    <row r="3742" spans="33:33" x14ac:dyDescent="0.25">
      <c r="AG3742">
        <v>3740</v>
      </c>
    </row>
    <row r="3743" spans="33:33" x14ac:dyDescent="0.25">
      <c r="AG3743">
        <v>3741</v>
      </c>
    </row>
    <row r="3744" spans="33:33" x14ac:dyDescent="0.25">
      <c r="AG3744">
        <v>3742</v>
      </c>
    </row>
    <row r="3745" spans="33:33" x14ac:dyDescent="0.25">
      <c r="AG3745">
        <v>3743</v>
      </c>
    </row>
    <row r="3746" spans="33:33" x14ac:dyDescent="0.25">
      <c r="AG3746">
        <v>3744</v>
      </c>
    </row>
    <row r="3747" spans="33:33" x14ac:dyDescent="0.25">
      <c r="AG3747">
        <v>3745</v>
      </c>
    </row>
    <row r="3748" spans="33:33" x14ac:dyDescent="0.25">
      <c r="AG3748">
        <v>3746</v>
      </c>
    </row>
    <row r="3749" spans="33:33" x14ac:dyDescent="0.25">
      <c r="AG3749">
        <v>3747</v>
      </c>
    </row>
    <row r="3750" spans="33:33" x14ac:dyDescent="0.25">
      <c r="AG3750">
        <v>3748</v>
      </c>
    </row>
    <row r="3751" spans="33:33" x14ac:dyDescent="0.25">
      <c r="AG3751">
        <v>3749</v>
      </c>
    </row>
    <row r="3752" spans="33:33" x14ac:dyDescent="0.25">
      <c r="AG3752">
        <v>3750</v>
      </c>
    </row>
    <row r="3753" spans="33:33" x14ac:dyDescent="0.25">
      <c r="AG3753">
        <v>3751</v>
      </c>
    </row>
    <row r="3754" spans="33:33" x14ac:dyDescent="0.25">
      <c r="AG3754">
        <v>3752</v>
      </c>
    </row>
    <row r="3755" spans="33:33" x14ac:dyDescent="0.25">
      <c r="AG3755">
        <v>3753</v>
      </c>
    </row>
    <row r="3756" spans="33:33" x14ac:dyDescent="0.25">
      <c r="AG3756">
        <v>3754</v>
      </c>
    </row>
    <row r="3757" spans="33:33" x14ac:dyDescent="0.25">
      <c r="AG3757">
        <v>3755</v>
      </c>
    </row>
    <row r="3758" spans="33:33" x14ac:dyDescent="0.25">
      <c r="AG3758">
        <v>3756</v>
      </c>
    </row>
    <row r="3759" spans="33:33" x14ac:dyDescent="0.25">
      <c r="AG3759">
        <v>3757</v>
      </c>
    </row>
    <row r="3760" spans="33:33" x14ac:dyDescent="0.25">
      <c r="AG3760">
        <v>3758</v>
      </c>
    </row>
    <row r="3761" spans="33:33" x14ac:dyDescent="0.25">
      <c r="AG3761">
        <v>3759</v>
      </c>
    </row>
    <row r="3762" spans="33:33" x14ac:dyDescent="0.25">
      <c r="AG3762">
        <v>3760</v>
      </c>
    </row>
    <row r="3763" spans="33:33" x14ac:dyDescent="0.25">
      <c r="AG3763">
        <v>3761</v>
      </c>
    </row>
    <row r="3764" spans="33:33" x14ac:dyDescent="0.25">
      <c r="AG3764">
        <v>3762</v>
      </c>
    </row>
    <row r="3765" spans="33:33" x14ac:dyDescent="0.25">
      <c r="AG3765">
        <v>3763</v>
      </c>
    </row>
    <row r="3766" spans="33:33" x14ac:dyDescent="0.25">
      <c r="AG3766">
        <v>3764</v>
      </c>
    </row>
    <row r="3767" spans="33:33" x14ac:dyDescent="0.25">
      <c r="AG3767">
        <v>3765</v>
      </c>
    </row>
    <row r="3768" spans="33:33" x14ac:dyDescent="0.25">
      <c r="AG3768">
        <v>3766</v>
      </c>
    </row>
    <row r="3769" spans="33:33" x14ac:dyDescent="0.25">
      <c r="AG3769">
        <v>3767</v>
      </c>
    </row>
    <row r="3770" spans="33:33" x14ac:dyDescent="0.25">
      <c r="AG3770">
        <v>3768</v>
      </c>
    </row>
    <row r="3771" spans="33:33" x14ac:dyDescent="0.25">
      <c r="AG3771">
        <v>3769</v>
      </c>
    </row>
    <row r="3772" spans="33:33" x14ac:dyDescent="0.25">
      <c r="AG3772">
        <v>3770</v>
      </c>
    </row>
    <row r="3773" spans="33:33" x14ac:dyDescent="0.25">
      <c r="AG3773">
        <v>3771</v>
      </c>
    </row>
    <row r="3774" spans="33:33" x14ac:dyDescent="0.25">
      <c r="AG3774">
        <v>3772</v>
      </c>
    </row>
    <row r="3775" spans="33:33" x14ac:dyDescent="0.25">
      <c r="AG3775">
        <v>3773</v>
      </c>
    </row>
    <row r="3776" spans="33:33" x14ac:dyDescent="0.25">
      <c r="AG3776">
        <v>3774</v>
      </c>
    </row>
    <row r="3777" spans="33:33" x14ac:dyDescent="0.25">
      <c r="AG3777">
        <v>3775</v>
      </c>
    </row>
    <row r="3778" spans="33:33" x14ac:dyDescent="0.25">
      <c r="AG3778">
        <v>3776</v>
      </c>
    </row>
    <row r="3779" spans="33:33" x14ac:dyDescent="0.25">
      <c r="AG3779">
        <v>3777</v>
      </c>
    </row>
    <row r="3780" spans="33:33" x14ac:dyDescent="0.25">
      <c r="AG3780">
        <v>3778</v>
      </c>
    </row>
    <row r="3781" spans="33:33" x14ac:dyDescent="0.25">
      <c r="AG3781">
        <v>3779</v>
      </c>
    </row>
    <row r="3782" spans="33:33" x14ac:dyDescent="0.25">
      <c r="AG3782">
        <v>3780</v>
      </c>
    </row>
    <row r="3783" spans="33:33" x14ac:dyDescent="0.25">
      <c r="AG3783">
        <v>3781</v>
      </c>
    </row>
    <row r="3784" spans="33:33" x14ac:dyDescent="0.25">
      <c r="AG3784">
        <v>3782</v>
      </c>
    </row>
    <row r="3785" spans="33:33" x14ac:dyDescent="0.25">
      <c r="AG3785">
        <v>3783</v>
      </c>
    </row>
    <row r="3786" spans="33:33" x14ac:dyDescent="0.25">
      <c r="AG3786">
        <v>3784</v>
      </c>
    </row>
    <row r="3787" spans="33:33" x14ac:dyDescent="0.25">
      <c r="AG3787">
        <v>3785</v>
      </c>
    </row>
    <row r="3788" spans="33:33" x14ac:dyDescent="0.25">
      <c r="AG3788">
        <v>3786</v>
      </c>
    </row>
    <row r="3789" spans="33:33" x14ac:dyDescent="0.25">
      <c r="AG3789">
        <v>3787</v>
      </c>
    </row>
    <row r="3790" spans="33:33" x14ac:dyDescent="0.25">
      <c r="AG3790">
        <v>3788</v>
      </c>
    </row>
    <row r="3791" spans="33:33" x14ac:dyDescent="0.25">
      <c r="AG3791">
        <v>3789</v>
      </c>
    </row>
    <row r="3792" spans="33:33" x14ac:dyDescent="0.25">
      <c r="AG3792">
        <v>3790</v>
      </c>
    </row>
    <row r="3793" spans="33:33" x14ac:dyDescent="0.25">
      <c r="AG3793">
        <v>3791</v>
      </c>
    </row>
    <row r="3794" spans="33:33" x14ac:dyDescent="0.25">
      <c r="AG3794">
        <v>3792</v>
      </c>
    </row>
    <row r="3795" spans="33:33" x14ac:dyDescent="0.25">
      <c r="AG3795">
        <v>3793</v>
      </c>
    </row>
    <row r="3796" spans="33:33" x14ac:dyDescent="0.25">
      <c r="AG3796">
        <v>3794</v>
      </c>
    </row>
    <row r="3797" spans="33:33" x14ac:dyDescent="0.25">
      <c r="AG3797">
        <v>3795</v>
      </c>
    </row>
    <row r="3798" spans="33:33" x14ac:dyDescent="0.25">
      <c r="AG3798">
        <v>3796</v>
      </c>
    </row>
    <row r="3799" spans="33:33" x14ac:dyDescent="0.25">
      <c r="AG3799">
        <v>3797</v>
      </c>
    </row>
    <row r="3800" spans="33:33" x14ac:dyDescent="0.25">
      <c r="AG3800">
        <v>3798</v>
      </c>
    </row>
    <row r="3801" spans="33:33" x14ac:dyDescent="0.25">
      <c r="AG3801">
        <v>3799</v>
      </c>
    </row>
    <row r="3802" spans="33:33" x14ac:dyDescent="0.25">
      <c r="AG3802">
        <v>3800</v>
      </c>
    </row>
    <row r="3803" spans="33:33" x14ac:dyDescent="0.25">
      <c r="AG3803">
        <v>3801</v>
      </c>
    </row>
    <row r="3804" spans="33:33" x14ac:dyDescent="0.25">
      <c r="AG3804">
        <v>3802</v>
      </c>
    </row>
    <row r="3805" spans="33:33" x14ac:dyDescent="0.25">
      <c r="AG3805">
        <v>3803</v>
      </c>
    </row>
    <row r="3806" spans="33:33" x14ac:dyDescent="0.25">
      <c r="AG3806">
        <v>3804</v>
      </c>
    </row>
    <row r="3807" spans="33:33" x14ac:dyDescent="0.25">
      <c r="AG3807">
        <v>3805</v>
      </c>
    </row>
    <row r="3808" spans="33:33" x14ac:dyDescent="0.25">
      <c r="AG3808">
        <v>3806</v>
      </c>
    </row>
    <row r="3809" spans="33:33" x14ac:dyDescent="0.25">
      <c r="AG3809">
        <v>3807</v>
      </c>
    </row>
    <row r="3810" spans="33:33" x14ac:dyDescent="0.25">
      <c r="AG3810">
        <v>3808</v>
      </c>
    </row>
    <row r="3811" spans="33:33" x14ac:dyDescent="0.25">
      <c r="AG3811">
        <v>3809</v>
      </c>
    </row>
    <row r="3812" spans="33:33" x14ac:dyDescent="0.25">
      <c r="AG3812">
        <v>3810</v>
      </c>
    </row>
    <row r="3813" spans="33:33" x14ac:dyDescent="0.25">
      <c r="AG3813">
        <v>3811</v>
      </c>
    </row>
    <row r="3814" spans="33:33" x14ac:dyDescent="0.25">
      <c r="AG3814">
        <v>3812</v>
      </c>
    </row>
    <row r="3815" spans="33:33" x14ac:dyDescent="0.25">
      <c r="AG3815">
        <v>3813</v>
      </c>
    </row>
    <row r="3816" spans="33:33" x14ac:dyDescent="0.25">
      <c r="AG3816">
        <v>3814</v>
      </c>
    </row>
    <row r="3817" spans="33:33" x14ac:dyDescent="0.25">
      <c r="AG3817">
        <v>3815</v>
      </c>
    </row>
    <row r="3818" spans="33:33" x14ac:dyDescent="0.25">
      <c r="AG3818">
        <v>3816</v>
      </c>
    </row>
    <row r="3819" spans="33:33" x14ac:dyDescent="0.25">
      <c r="AG3819">
        <v>3817</v>
      </c>
    </row>
    <row r="3820" spans="33:33" x14ac:dyDescent="0.25">
      <c r="AG3820">
        <v>3818</v>
      </c>
    </row>
    <row r="3821" spans="33:33" x14ac:dyDescent="0.25">
      <c r="AG3821">
        <v>3819</v>
      </c>
    </row>
    <row r="3822" spans="33:33" x14ac:dyDescent="0.25">
      <c r="AG3822">
        <v>3820</v>
      </c>
    </row>
    <row r="3823" spans="33:33" x14ac:dyDescent="0.25">
      <c r="AG3823">
        <v>3821</v>
      </c>
    </row>
    <row r="3824" spans="33:33" x14ac:dyDescent="0.25">
      <c r="AG3824">
        <v>3822</v>
      </c>
    </row>
    <row r="3825" spans="33:33" x14ac:dyDescent="0.25">
      <c r="AG3825">
        <v>3823</v>
      </c>
    </row>
    <row r="3826" spans="33:33" x14ac:dyDescent="0.25">
      <c r="AG3826">
        <v>3824</v>
      </c>
    </row>
    <row r="3827" spans="33:33" x14ac:dyDescent="0.25">
      <c r="AG3827">
        <v>3825</v>
      </c>
    </row>
    <row r="3828" spans="33:33" x14ac:dyDescent="0.25">
      <c r="AG3828">
        <v>3826</v>
      </c>
    </row>
    <row r="3829" spans="33:33" x14ac:dyDescent="0.25">
      <c r="AG3829">
        <v>3827</v>
      </c>
    </row>
    <row r="3830" spans="33:33" x14ac:dyDescent="0.25">
      <c r="AG3830">
        <v>3828</v>
      </c>
    </row>
    <row r="3831" spans="33:33" x14ac:dyDescent="0.25">
      <c r="AG3831">
        <v>3829</v>
      </c>
    </row>
    <row r="3832" spans="33:33" x14ac:dyDescent="0.25">
      <c r="AG3832">
        <v>3830</v>
      </c>
    </row>
    <row r="3833" spans="33:33" x14ac:dyDescent="0.25">
      <c r="AG3833">
        <v>3831</v>
      </c>
    </row>
    <row r="3834" spans="33:33" x14ac:dyDescent="0.25">
      <c r="AG3834">
        <v>3832</v>
      </c>
    </row>
    <row r="3835" spans="33:33" x14ac:dyDescent="0.25">
      <c r="AG3835">
        <v>3833</v>
      </c>
    </row>
    <row r="3836" spans="33:33" x14ac:dyDescent="0.25">
      <c r="AG3836">
        <v>3834</v>
      </c>
    </row>
    <row r="3837" spans="33:33" x14ac:dyDescent="0.25">
      <c r="AG3837">
        <v>3835</v>
      </c>
    </row>
    <row r="3838" spans="33:33" x14ac:dyDescent="0.25">
      <c r="AG3838">
        <v>3836</v>
      </c>
    </row>
    <row r="3839" spans="33:33" x14ac:dyDescent="0.25">
      <c r="AG3839">
        <v>3837</v>
      </c>
    </row>
    <row r="3840" spans="33:33" x14ac:dyDescent="0.25">
      <c r="AG3840">
        <v>3838</v>
      </c>
    </row>
    <row r="3841" spans="33:33" x14ac:dyDescent="0.25">
      <c r="AG3841">
        <v>3839</v>
      </c>
    </row>
    <row r="3842" spans="33:33" x14ac:dyDescent="0.25">
      <c r="AG3842">
        <v>3840</v>
      </c>
    </row>
    <row r="3843" spans="33:33" x14ac:dyDescent="0.25">
      <c r="AG3843">
        <v>3841</v>
      </c>
    </row>
    <row r="3844" spans="33:33" x14ac:dyDescent="0.25">
      <c r="AG3844">
        <v>3842</v>
      </c>
    </row>
    <row r="3845" spans="33:33" x14ac:dyDescent="0.25">
      <c r="AG3845">
        <v>3843</v>
      </c>
    </row>
    <row r="3846" spans="33:33" x14ac:dyDescent="0.25">
      <c r="AG3846">
        <v>3844</v>
      </c>
    </row>
    <row r="3847" spans="33:33" x14ac:dyDescent="0.25">
      <c r="AG3847">
        <v>3845</v>
      </c>
    </row>
    <row r="3848" spans="33:33" x14ac:dyDescent="0.25">
      <c r="AG3848">
        <v>3846</v>
      </c>
    </row>
    <row r="3849" spans="33:33" x14ac:dyDescent="0.25">
      <c r="AG3849">
        <v>3847</v>
      </c>
    </row>
    <row r="3850" spans="33:33" x14ac:dyDescent="0.25">
      <c r="AG3850">
        <v>3848</v>
      </c>
    </row>
    <row r="3851" spans="33:33" x14ac:dyDescent="0.25">
      <c r="AG3851">
        <v>3849</v>
      </c>
    </row>
    <row r="3852" spans="33:33" x14ac:dyDescent="0.25">
      <c r="AG3852">
        <v>3850</v>
      </c>
    </row>
    <row r="3853" spans="33:33" x14ac:dyDescent="0.25">
      <c r="AG3853">
        <v>3851</v>
      </c>
    </row>
    <row r="3854" spans="33:33" x14ac:dyDescent="0.25">
      <c r="AG3854">
        <v>3852</v>
      </c>
    </row>
    <row r="3855" spans="33:33" x14ac:dyDescent="0.25">
      <c r="AG3855">
        <v>3853</v>
      </c>
    </row>
    <row r="3856" spans="33:33" x14ac:dyDescent="0.25">
      <c r="AG3856">
        <v>3854</v>
      </c>
    </row>
    <row r="3857" spans="33:33" x14ac:dyDescent="0.25">
      <c r="AG3857">
        <v>3855</v>
      </c>
    </row>
    <row r="3858" spans="33:33" x14ac:dyDescent="0.25">
      <c r="AG3858">
        <v>3856</v>
      </c>
    </row>
    <row r="3859" spans="33:33" x14ac:dyDescent="0.25">
      <c r="AG3859">
        <v>3857</v>
      </c>
    </row>
    <row r="3860" spans="33:33" x14ac:dyDescent="0.25">
      <c r="AG3860">
        <v>3858</v>
      </c>
    </row>
    <row r="3861" spans="33:33" x14ac:dyDescent="0.25">
      <c r="AG3861">
        <v>3859</v>
      </c>
    </row>
    <row r="3862" spans="33:33" x14ac:dyDescent="0.25">
      <c r="AG3862">
        <v>3860</v>
      </c>
    </row>
    <row r="3863" spans="33:33" x14ac:dyDescent="0.25">
      <c r="AG3863">
        <v>3861</v>
      </c>
    </row>
    <row r="3864" spans="33:33" x14ac:dyDescent="0.25">
      <c r="AG3864">
        <v>3862</v>
      </c>
    </row>
    <row r="3865" spans="33:33" x14ac:dyDescent="0.25">
      <c r="AG3865">
        <v>3863</v>
      </c>
    </row>
    <row r="3866" spans="33:33" x14ac:dyDescent="0.25">
      <c r="AG3866">
        <v>3864</v>
      </c>
    </row>
    <row r="3867" spans="33:33" x14ac:dyDescent="0.25">
      <c r="AG3867">
        <v>3865</v>
      </c>
    </row>
    <row r="3868" spans="33:33" x14ac:dyDescent="0.25">
      <c r="AG3868">
        <v>3866</v>
      </c>
    </row>
    <row r="3869" spans="33:33" x14ac:dyDescent="0.25">
      <c r="AG3869">
        <v>3867</v>
      </c>
    </row>
    <row r="3870" spans="33:33" x14ac:dyDescent="0.25">
      <c r="AG3870">
        <v>3868</v>
      </c>
    </row>
    <row r="3871" spans="33:33" x14ac:dyDescent="0.25">
      <c r="AG3871">
        <v>3869</v>
      </c>
    </row>
    <row r="3872" spans="33:33" x14ac:dyDescent="0.25">
      <c r="AG3872">
        <v>3870</v>
      </c>
    </row>
    <row r="3873" spans="33:33" x14ac:dyDescent="0.25">
      <c r="AG3873">
        <v>3871</v>
      </c>
    </row>
    <row r="3874" spans="33:33" x14ac:dyDescent="0.25">
      <c r="AG3874">
        <v>3872</v>
      </c>
    </row>
    <row r="3875" spans="33:33" x14ac:dyDescent="0.25">
      <c r="AG3875">
        <v>3873</v>
      </c>
    </row>
    <row r="3876" spans="33:33" x14ac:dyDescent="0.25">
      <c r="AG3876">
        <v>3874</v>
      </c>
    </row>
    <row r="3877" spans="33:33" x14ac:dyDescent="0.25">
      <c r="AG3877">
        <v>3875</v>
      </c>
    </row>
    <row r="3878" spans="33:33" x14ac:dyDescent="0.25">
      <c r="AG3878">
        <v>3876</v>
      </c>
    </row>
    <row r="3879" spans="33:33" x14ac:dyDescent="0.25">
      <c r="AG3879">
        <v>3877</v>
      </c>
    </row>
    <row r="3880" spans="33:33" x14ac:dyDescent="0.25">
      <c r="AG3880">
        <v>3878</v>
      </c>
    </row>
    <row r="3881" spans="33:33" x14ac:dyDescent="0.25">
      <c r="AG3881">
        <v>3879</v>
      </c>
    </row>
    <row r="3882" spans="33:33" x14ac:dyDescent="0.25">
      <c r="AG3882">
        <v>3880</v>
      </c>
    </row>
    <row r="3883" spans="33:33" x14ac:dyDescent="0.25">
      <c r="AG3883">
        <v>3881</v>
      </c>
    </row>
    <row r="3884" spans="33:33" x14ac:dyDescent="0.25">
      <c r="AG3884">
        <v>3882</v>
      </c>
    </row>
    <row r="3885" spans="33:33" x14ac:dyDescent="0.25">
      <c r="AG3885">
        <v>3883</v>
      </c>
    </row>
    <row r="3886" spans="33:33" x14ac:dyDescent="0.25">
      <c r="AG3886">
        <v>3884</v>
      </c>
    </row>
    <row r="3887" spans="33:33" x14ac:dyDescent="0.25">
      <c r="AG3887">
        <v>3885</v>
      </c>
    </row>
    <row r="3888" spans="33:33" x14ac:dyDescent="0.25">
      <c r="AG3888">
        <v>3886</v>
      </c>
    </row>
    <row r="3889" spans="33:33" x14ac:dyDescent="0.25">
      <c r="AG3889">
        <v>3887</v>
      </c>
    </row>
    <row r="3890" spans="33:33" x14ac:dyDescent="0.25">
      <c r="AG3890">
        <v>3888</v>
      </c>
    </row>
    <row r="3891" spans="33:33" x14ac:dyDescent="0.25">
      <c r="AG3891">
        <v>3889</v>
      </c>
    </row>
    <row r="3892" spans="33:33" x14ac:dyDescent="0.25">
      <c r="AG3892">
        <v>3890</v>
      </c>
    </row>
    <row r="3893" spans="33:33" x14ac:dyDescent="0.25">
      <c r="AG3893">
        <v>3891</v>
      </c>
    </row>
    <row r="3894" spans="33:33" x14ac:dyDescent="0.25">
      <c r="AG3894">
        <v>3892</v>
      </c>
    </row>
    <row r="3895" spans="33:33" x14ac:dyDescent="0.25">
      <c r="AG3895">
        <v>3893</v>
      </c>
    </row>
    <row r="3896" spans="33:33" x14ac:dyDescent="0.25">
      <c r="AG3896">
        <v>3894</v>
      </c>
    </row>
    <row r="3897" spans="33:33" x14ac:dyDescent="0.25">
      <c r="AG3897">
        <v>3895</v>
      </c>
    </row>
    <row r="3898" spans="33:33" x14ac:dyDescent="0.25">
      <c r="AG3898">
        <v>3896</v>
      </c>
    </row>
    <row r="3899" spans="33:33" x14ac:dyDescent="0.25">
      <c r="AG3899">
        <v>3897</v>
      </c>
    </row>
    <row r="3900" spans="33:33" x14ac:dyDescent="0.25">
      <c r="AG3900">
        <v>3898</v>
      </c>
    </row>
    <row r="3901" spans="33:33" x14ac:dyDescent="0.25">
      <c r="AG3901">
        <v>3899</v>
      </c>
    </row>
    <row r="3902" spans="33:33" x14ac:dyDescent="0.25">
      <c r="AG3902">
        <v>3900</v>
      </c>
    </row>
    <row r="3903" spans="33:33" x14ac:dyDescent="0.25">
      <c r="AG3903">
        <v>3901</v>
      </c>
    </row>
    <row r="3904" spans="33:33" x14ac:dyDescent="0.25">
      <c r="AG3904">
        <v>3902</v>
      </c>
    </row>
    <row r="3905" spans="33:33" x14ac:dyDescent="0.25">
      <c r="AG3905">
        <v>3903</v>
      </c>
    </row>
    <row r="3906" spans="33:33" x14ac:dyDescent="0.25">
      <c r="AG3906">
        <v>3904</v>
      </c>
    </row>
    <row r="3907" spans="33:33" x14ac:dyDescent="0.25">
      <c r="AG3907">
        <v>3905</v>
      </c>
    </row>
    <row r="3908" spans="33:33" x14ac:dyDescent="0.25">
      <c r="AG3908">
        <v>3906</v>
      </c>
    </row>
    <row r="3909" spans="33:33" x14ac:dyDescent="0.25">
      <c r="AG3909">
        <v>3907</v>
      </c>
    </row>
    <row r="3910" spans="33:33" x14ac:dyDescent="0.25">
      <c r="AG3910">
        <v>3908</v>
      </c>
    </row>
    <row r="3911" spans="33:33" x14ac:dyDescent="0.25">
      <c r="AG3911">
        <v>3909</v>
      </c>
    </row>
    <row r="3912" spans="33:33" x14ac:dyDescent="0.25">
      <c r="AG3912">
        <v>3910</v>
      </c>
    </row>
    <row r="3913" spans="33:33" x14ac:dyDescent="0.25">
      <c r="AG3913">
        <v>3911</v>
      </c>
    </row>
    <row r="3914" spans="33:33" x14ac:dyDescent="0.25">
      <c r="AG3914">
        <v>3912</v>
      </c>
    </row>
    <row r="3915" spans="33:33" x14ac:dyDescent="0.25">
      <c r="AG3915">
        <v>3913</v>
      </c>
    </row>
    <row r="3916" spans="33:33" x14ac:dyDescent="0.25">
      <c r="AG3916">
        <v>3914</v>
      </c>
    </row>
    <row r="3917" spans="33:33" x14ac:dyDescent="0.25">
      <c r="AG3917">
        <v>3915</v>
      </c>
    </row>
    <row r="3918" spans="33:33" x14ac:dyDescent="0.25">
      <c r="AG3918">
        <v>3916</v>
      </c>
    </row>
    <row r="3919" spans="33:33" x14ac:dyDescent="0.25">
      <c r="AG3919">
        <v>3917</v>
      </c>
    </row>
    <row r="3920" spans="33:33" x14ac:dyDescent="0.25">
      <c r="AG3920">
        <v>3918</v>
      </c>
    </row>
    <row r="3921" spans="33:33" x14ac:dyDescent="0.25">
      <c r="AG3921">
        <v>3919</v>
      </c>
    </row>
    <row r="3922" spans="33:33" x14ac:dyDescent="0.25">
      <c r="AG3922">
        <v>3920</v>
      </c>
    </row>
    <row r="3923" spans="33:33" x14ac:dyDescent="0.25">
      <c r="AG3923">
        <v>3921</v>
      </c>
    </row>
    <row r="3924" spans="33:33" x14ac:dyDescent="0.25">
      <c r="AG3924">
        <v>3922</v>
      </c>
    </row>
    <row r="3925" spans="33:33" x14ac:dyDescent="0.25">
      <c r="AG3925">
        <v>3923</v>
      </c>
    </row>
    <row r="3926" spans="33:33" x14ac:dyDescent="0.25">
      <c r="AG3926">
        <v>3924</v>
      </c>
    </row>
    <row r="3927" spans="33:33" x14ac:dyDescent="0.25">
      <c r="AG3927">
        <v>3925</v>
      </c>
    </row>
    <row r="3928" spans="33:33" x14ac:dyDescent="0.25">
      <c r="AG3928">
        <v>3926</v>
      </c>
    </row>
    <row r="3929" spans="33:33" x14ac:dyDescent="0.25">
      <c r="AG3929">
        <v>3927</v>
      </c>
    </row>
    <row r="3930" spans="33:33" x14ac:dyDescent="0.25">
      <c r="AG3930">
        <v>3928</v>
      </c>
    </row>
    <row r="3931" spans="33:33" x14ac:dyDescent="0.25">
      <c r="AG3931">
        <v>3929</v>
      </c>
    </row>
    <row r="3932" spans="33:33" x14ac:dyDescent="0.25">
      <c r="AG3932">
        <v>3930</v>
      </c>
    </row>
    <row r="3933" spans="33:33" x14ac:dyDescent="0.25">
      <c r="AG3933">
        <v>3931</v>
      </c>
    </row>
    <row r="3934" spans="33:33" x14ac:dyDescent="0.25">
      <c r="AG3934">
        <v>3932</v>
      </c>
    </row>
    <row r="3935" spans="33:33" x14ac:dyDescent="0.25">
      <c r="AG3935">
        <v>3933</v>
      </c>
    </row>
    <row r="3936" spans="33:33" x14ac:dyDescent="0.25">
      <c r="AG3936">
        <v>3934</v>
      </c>
    </row>
    <row r="3937" spans="33:33" x14ac:dyDescent="0.25">
      <c r="AG3937">
        <v>3935</v>
      </c>
    </row>
    <row r="3938" spans="33:33" x14ac:dyDescent="0.25">
      <c r="AG3938">
        <v>3936</v>
      </c>
    </row>
    <row r="3939" spans="33:33" x14ac:dyDescent="0.25">
      <c r="AG3939">
        <v>3937</v>
      </c>
    </row>
    <row r="3940" spans="33:33" x14ac:dyDescent="0.25">
      <c r="AG3940">
        <v>3938</v>
      </c>
    </row>
    <row r="3941" spans="33:33" x14ac:dyDescent="0.25">
      <c r="AG3941">
        <v>3939</v>
      </c>
    </row>
    <row r="3942" spans="33:33" x14ac:dyDescent="0.25">
      <c r="AG3942">
        <v>3940</v>
      </c>
    </row>
    <row r="3943" spans="33:33" x14ac:dyDescent="0.25">
      <c r="AG3943">
        <v>3941</v>
      </c>
    </row>
    <row r="3944" spans="33:33" x14ac:dyDescent="0.25">
      <c r="AG3944">
        <v>3942</v>
      </c>
    </row>
    <row r="3945" spans="33:33" x14ac:dyDescent="0.25">
      <c r="AG3945">
        <v>3943</v>
      </c>
    </row>
    <row r="3946" spans="33:33" x14ac:dyDescent="0.25">
      <c r="AG3946">
        <v>3944</v>
      </c>
    </row>
    <row r="3947" spans="33:33" x14ac:dyDescent="0.25">
      <c r="AG3947">
        <v>3945</v>
      </c>
    </row>
    <row r="3948" spans="33:33" x14ac:dyDescent="0.25">
      <c r="AG3948">
        <v>3946</v>
      </c>
    </row>
    <row r="3949" spans="33:33" x14ac:dyDescent="0.25">
      <c r="AG3949">
        <v>3947</v>
      </c>
    </row>
    <row r="3950" spans="33:33" x14ac:dyDescent="0.25">
      <c r="AG3950">
        <v>3948</v>
      </c>
    </row>
    <row r="3951" spans="33:33" x14ac:dyDescent="0.25">
      <c r="AG3951">
        <v>3949</v>
      </c>
    </row>
    <row r="3952" spans="33:33" x14ac:dyDescent="0.25">
      <c r="AG3952">
        <v>3950</v>
      </c>
    </row>
    <row r="3953" spans="33:33" x14ac:dyDescent="0.25">
      <c r="AG3953">
        <v>3951</v>
      </c>
    </row>
    <row r="3954" spans="33:33" x14ac:dyDescent="0.25">
      <c r="AG3954">
        <v>3952</v>
      </c>
    </row>
    <row r="3955" spans="33:33" x14ac:dyDescent="0.25">
      <c r="AG3955">
        <v>3953</v>
      </c>
    </row>
    <row r="3956" spans="33:33" x14ac:dyDescent="0.25">
      <c r="AG3956">
        <v>3954</v>
      </c>
    </row>
    <row r="3957" spans="33:33" x14ac:dyDescent="0.25">
      <c r="AG3957">
        <v>3955</v>
      </c>
    </row>
    <row r="3958" spans="33:33" x14ac:dyDescent="0.25">
      <c r="AG3958">
        <v>3956</v>
      </c>
    </row>
    <row r="3959" spans="33:33" x14ac:dyDescent="0.25">
      <c r="AG3959">
        <v>3957</v>
      </c>
    </row>
    <row r="3960" spans="33:33" x14ac:dyDescent="0.25">
      <c r="AG3960">
        <v>3958</v>
      </c>
    </row>
    <row r="3961" spans="33:33" x14ac:dyDescent="0.25">
      <c r="AG3961">
        <v>3959</v>
      </c>
    </row>
    <row r="3962" spans="33:33" x14ac:dyDescent="0.25">
      <c r="AG3962">
        <v>3960</v>
      </c>
    </row>
    <row r="3963" spans="33:33" x14ac:dyDescent="0.25">
      <c r="AG3963">
        <v>3961</v>
      </c>
    </row>
    <row r="3964" spans="33:33" x14ac:dyDescent="0.25">
      <c r="AG3964">
        <v>3962</v>
      </c>
    </row>
    <row r="3965" spans="33:33" x14ac:dyDescent="0.25">
      <c r="AG3965">
        <v>3963</v>
      </c>
    </row>
    <row r="3966" spans="33:33" x14ac:dyDescent="0.25">
      <c r="AG3966">
        <v>3964</v>
      </c>
    </row>
    <row r="3967" spans="33:33" x14ac:dyDescent="0.25">
      <c r="AG3967">
        <v>3965</v>
      </c>
    </row>
    <row r="3968" spans="33:33" x14ac:dyDescent="0.25">
      <c r="AG3968">
        <v>3966</v>
      </c>
    </row>
    <row r="3969" spans="33:33" x14ac:dyDescent="0.25">
      <c r="AG3969">
        <v>3967</v>
      </c>
    </row>
    <row r="3970" spans="33:33" x14ac:dyDescent="0.25">
      <c r="AG3970">
        <v>3968</v>
      </c>
    </row>
    <row r="3971" spans="33:33" x14ac:dyDescent="0.25">
      <c r="AG3971">
        <v>3969</v>
      </c>
    </row>
    <row r="3972" spans="33:33" x14ac:dyDescent="0.25">
      <c r="AG3972">
        <v>3970</v>
      </c>
    </row>
    <row r="3973" spans="33:33" x14ac:dyDescent="0.25">
      <c r="AG3973">
        <v>3971</v>
      </c>
    </row>
    <row r="3974" spans="33:33" x14ac:dyDescent="0.25">
      <c r="AG3974">
        <v>3972</v>
      </c>
    </row>
    <row r="3975" spans="33:33" x14ac:dyDescent="0.25">
      <c r="AG3975">
        <v>3973</v>
      </c>
    </row>
    <row r="3976" spans="33:33" x14ac:dyDescent="0.25">
      <c r="AG3976">
        <v>3974</v>
      </c>
    </row>
    <row r="3977" spans="33:33" x14ac:dyDescent="0.25">
      <c r="AG3977">
        <v>3975</v>
      </c>
    </row>
    <row r="3978" spans="33:33" x14ac:dyDescent="0.25">
      <c r="AG3978">
        <v>3976</v>
      </c>
    </row>
    <row r="3979" spans="33:33" x14ac:dyDescent="0.25">
      <c r="AG3979">
        <v>3977</v>
      </c>
    </row>
    <row r="3980" spans="33:33" x14ac:dyDescent="0.25">
      <c r="AG3980">
        <v>3978</v>
      </c>
    </row>
    <row r="3981" spans="33:33" x14ac:dyDescent="0.25">
      <c r="AG3981">
        <v>3979</v>
      </c>
    </row>
    <row r="3982" spans="33:33" x14ac:dyDescent="0.25">
      <c r="AG3982">
        <v>3980</v>
      </c>
    </row>
    <row r="3983" spans="33:33" x14ac:dyDescent="0.25">
      <c r="AG3983">
        <v>3981</v>
      </c>
    </row>
    <row r="3984" spans="33:33" x14ac:dyDescent="0.25">
      <c r="AG3984">
        <v>3982</v>
      </c>
    </row>
    <row r="3985" spans="33:33" x14ac:dyDescent="0.25">
      <c r="AG3985">
        <v>3983</v>
      </c>
    </row>
    <row r="3986" spans="33:33" x14ac:dyDescent="0.25">
      <c r="AG3986">
        <v>3984</v>
      </c>
    </row>
    <row r="3987" spans="33:33" x14ac:dyDescent="0.25">
      <c r="AG3987">
        <v>3985</v>
      </c>
    </row>
    <row r="3988" spans="33:33" x14ac:dyDescent="0.25">
      <c r="AG3988">
        <v>3986</v>
      </c>
    </row>
    <row r="3989" spans="33:33" x14ac:dyDescent="0.25">
      <c r="AG3989">
        <v>3987</v>
      </c>
    </row>
    <row r="3990" spans="33:33" x14ac:dyDescent="0.25">
      <c r="AG3990">
        <v>3988</v>
      </c>
    </row>
    <row r="3991" spans="33:33" x14ac:dyDescent="0.25">
      <c r="AG3991">
        <v>3989</v>
      </c>
    </row>
    <row r="3992" spans="33:33" x14ac:dyDescent="0.25">
      <c r="AG3992">
        <v>3990</v>
      </c>
    </row>
    <row r="3993" spans="33:33" x14ac:dyDescent="0.25">
      <c r="AG3993">
        <v>3991</v>
      </c>
    </row>
    <row r="3994" spans="33:33" x14ac:dyDescent="0.25">
      <c r="AG3994">
        <v>3992</v>
      </c>
    </row>
    <row r="3995" spans="33:33" x14ac:dyDescent="0.25">
      <c r="AG3995">
        <v>3993</v>
      </c>
    </row>
    <row r="3996" spans="33:33" x14ac:dyDescent="0.25">
      <c r="AG3996">
        <v>3994</v>
      </c>
    </row>
    <row r="3997" spans="33:33" x14ac:dyDescent="0.25">
      <c r="AG3997">
        <v>3995</v>
      </c>
    </row>
    <row r="3998" spans="33:33" x14ac:dyDescent="0.25">
      <c r="AG3998">
        <v>3996</v>
      </c>
    </row>
    <row r="3999" spans="33:33" x14ac:dyDescent="0.25">
      <c r="AG3999">
        <v>3997</v>
      </c>
    </row>
    <row r="4000" spans="33:33" x14ac:dyDescent="0.25">
      <c r="AG4000">
        <v>3998</v>
      </c>
    </row>
    <row r="4001" spans="33:33" x14ac:dyDescent="0.25">
      <c r="AG4001">
        <v>3999</v>
      </c>
    </row>
    <row r="4002" spans="33:33" x14ac:dyDescent="0.25">
      <c r="AG4002">
        <v>4000</v>
      </c>
    </row>
    <row r="4003" spans="33:33" x14ac:dyDescent="0.25">
      <c r="AG4003">
        <v>4001</v>
      </c>
    </row>
    <row r="4004" spans="33:33" x14ac:dyDescent="0.25">
      <c r="AG4004">
        <v>4002</v>
      </c>
    </row>
    <row r="4005" spans="33:33" x14ac:dyDescent="0.25">
      <c r="AG4005">
        <v>4003</v>
      </c>
    </row>
    <row r="4006" spans="33:33" x14ac:dyDescent="0.25">
      <c r="AG4006">
        <v>4004</v>
      </c>
    </row>
    <row r="4007" spans="33:33" x14ac:dyDescent="0.25">
      <c r="AG4007">
        <v>4005</v>
      </c>
    </row>
    <row r="4008" spans="33:33" x14ac:dyDescent="0.25">
      <c r="AG4008">
        <v>4006</v>
      </c>
    </row>
    <row r="4009" spans="33:33" x14ac:dyDescent="0.25">
      <c r="AG4009">
        <v>4007</v>
      </c>
    </row>
    <row r="4010" spans="33:33" x14ac:dyDescent="0.25">
      <c r="AG4010">
        <v>4008</v>
      </c>
    </row>
    <row r="4011" spans="33:33" x14ac:dyDescent="0.25">
      <c r="AG4011">
        <v>4009</v>
      </c>
    </row>
    <row r="4012" spans="33:33" x14ac:dyDescent="0.25">
      <c r="AG4012">
        <v>4010</v>
      </c>
    </row>
    <row r="4013" spans="33:33" x14ac:dyDescent="0.25">
      <c r="AG4013">
        <v>4011</v>
      </c>
    </row>
    <row r="4014" spans="33:33" x14ac:dyDescent="0.25">
      <c r="AG4014">
        <v>4012</v>
      </c>
    </row>
    <row r="4015" spans="33:33" x14ac:dyDescent="0.25">
      <c r="AG4015">
        <v>4013</v>
      </c>
    </row>
    <row r="4016" spans="33:33" x14ac:dyDescent="0.25">
      <c r="AG4016">
        <v>4014</v>
      </c>
    </row>
    <row r="4017" spans="33:33" x14ac:dyDescent="0.25">
      <c r="AG4017">
        <v>4015</v>
      </c>
    </row>
    <row r="4018" spans="33:33" x14ac:dyDescent="0.25">
      <c r="AG4018">
        <v>4016</v>
      </c>
    </row>
    <row r="4019" spans="33:33" x14ac:dyDescent="0.25">
      <c r="AG4019">
        <v>4017</v>
      </c>
    </row>
    <row r="4020" spans="33:33" x14ac:dyDescent="0.25">
      <c r="AG4020">
        <v>4018</v>
      </c>
    </row>
    <row r="4021" spans="33:33" x14ac:dyDescent="0.25">
      <c r="AG4021">
        <v>4019</v>
      </c>
    </row>
    <row r="4022" spans="33:33" x14ac:dyDescent="0.25">
      <c r="AG4022">
        <v>4020</v>
      </c>
    </row>
    <row r="4023" spans="33:33" x14ac:dyDescent="0.25">
      <c r="AG4023">
        <v>4021</v>
      </c>
    </row>
    <row r="4024" spans="33:33" x14ac:dyDescent="0.25">
      <c r="AG4024">
        <v>4022</v>
      </c>
    </row>
    <row r="4025" spans="33:33" x14ac:dyDescent="0.25">
      <c r="AG4025">
        <v>4023</v>
      </c>
    </row>
    <row r="4026" spans="33:33" x14ac:dyDescent="0.25">
      <c r="AG4026">
        <v>4024</v>
      </c>
    </row>
    <row r="4027" spans="33:33" x14ac:dyDescent="0.25">
      <c r="AG4027">
        <v>4025</v>
      </c>
    </row>
    <row r="4028" spans="33:33" x14ac:dyDescent="0.25">
      <c r="AG4028">
        <v>4026</v>
      </c>
    </row>
    <row r="4029" spans="33:33" x14ac:dyDescent="0.25">
      <c r="AG4029">
        <v>4027</v>
      </c>
    </row>
    <row r="4030" spans="33:33" x14ac:dyDescent="0.25">
      <c r="AG4030">
        <v>4028</v>
      </c>
    </row>
    <row r="4031" spans="33:33" x14ac:dyDescent="0.25">
      <c r="AG4031">
        <v>4029</v>
      </c>
    </row>
    <row r="4032" spans="33:33" x14ac:dyDescent="0.25">
      <c r="AG4032">
        <v>4030</v>
      </c>
    </row>
    <row r="4033" spans="33:33" x14ac:dyDescent="0.25">
      <c r="AG4033">
        <v>4031</v>
      </c>
    </row>
    <row r="4034" spans="33:33" x14ac:dyDescent="0.25">
      <c r="AG4034">
        <v>4032</v>
      </c>
    </row>
    <row r="4035" spans="33:33" x14ac:dyDescent="0.25">
      <c r="AG4035">
        <v>4033</v>
      </c>
    </row>
    <row r="4036" spans="33:33" x14ac:dyDescent="0.25">
      <c r="AG4036">
        <v>4034</v>
      </c>
    </row>
    <row r="4037" spans="33:33" x14ac:dyDescent="0.25">
      <c r="AG4037">
        <v>4035</v>
      </c>
    </row>
    <row r="4038" spans="33:33" x14ac:dyDescent="0.25">
      <c r="AG4038">
        <v>4036</v>
      </c>
    </row>
    <row r="4039" spans="33:33" x14ac:dyDescent="0.25">
      <c r="AG4039">
        <v>4037</v>
      </c>
    </row>
    <row r="4040" spans="33:33" x14ac:dyDescent="0.25">
      <c r="AG4040">
        <v>4038</v>
      </c>
    </row>
    <row r="4041" spans="33:33" x14ac:dyDescent="0.25">
      <c r="AG4041">
        <v>4039</v>
      </c>
    </row>
    <row r="4042" spans="33:33" x14ac:dyDescent="0.25">
      <c r="AG4042">
        <v>4040</v>
      </c>
    </row>
    <row r="4043" spans="33:33" x14ac:dyDescent="0.25">
      <c r="AG4043">
        <v>4041</v>
      </c>
    </row>
    <row r="4044" spans="33:33" x14ac:dyDescent="0.25">
      <c r="AG4044">
        <v>4042</v>
      </c>
    </row>
    <row r="4045" spans="33:33" x14ac:dyDescent="0.25">
      <c r="AG4045">
        <v>4043</v>
      </c>
    </row>
    <row r="4046" spans="33:33" x14ac:dyDescent="0.25">
      <c r="AG4046">
        <v>4044</v>
      </c>
    </row>
    <row r="4047" spans="33:33" x14ac:dyDescent="0.25">
      <c r="AG4047">
        <v>4045</v>
      </c>
    </row>
    <row r="4048" spans="33:33" x14ac:dyDescent="0.25">
      <c r="AG4048">
        <v>4046</v>
      </c>
    </row>
    <row r="4049" spans="33:33" x14ac:dyDescent="0.25">
      <c r="AG4049">
        <v>4047</v>
      </c>
    </row>
    <row r="4050" spans="33:33" x14ac:dyDescent="0.25">
      <c r="AG4050">
        <v>4048</v>
      </c>
    </row>
    <row r="4051" spans="33:33" x14ac:dyDescent="0.25">
      <c r="AG4051">
        <v>4049</v>
      </c>
    </row>
    <row r="4052" spans="33:33" x14ac:dyDescent="0.25">
      <c r="AG4052">
        <v>4050</v>
      </c>
    </row>
    <row r="4053" spans="33:33" x14ac:dyDescent="0.25">
      <c r="AG4053">
        <v>4051</v>
      </c>
    </row>
    <row r="4054" spans="33:33" x14ac:dyDescent="0.25">
      <c r="AG4054">
        <v>4052</v>
      </c>
    </row>
    <row r="4055" spans="33:33" x14ac:dyDescent="0.25">
      <c r="AG4055">
        <v>4053</v>
      </c>
    </row>
    <row r="4056" spans="33:33" x14ac:dyDescent="0.25">
      <c r="AG4056">
        <v>4054</v>
      </c>
    </row>
    <row r="4057" spans="33:33" x14ac:dyDescent="0.25">
      <c r="AG4057">
        <v>4055</v>
      </c>
    </row>
    <row r="4058" spans="33:33" x14ac:dyDescent="0.25">
      <c r="AG4058">
        <v>4056</v>
      </c>
    </row>
    <row r="4059" spans="33:33" x14ac:dyDescent="0.25">
      <c r="AG4059">
        <v>4057</v>
      </c>
    </row>
    <row r="4060" spans="33:33" x14ac:dyDescent="0.25">
      <c r="AG4060">
        <v>4058</v>
      </c>
    </row>
    <row r="4061" spans="33:33" x14ac:dyDescent="0.25">
      <c r="AG4061">
        <v>4059</v>
      </c>
    </row>
    <row r="4062" spans="33:33" x14ac:dyDescent="0.25">
      <c r="AG4062">
        <v>4060</v>
      </c>
    </row>
    <row r="4063" spans="33:33" x14ac:dyDescent="0.25">
      <c r="AG4063">
        <v>4061</v>
      </c>
    </row>
    <row r="4064" spans="33:33" x14ac:dyDescent="0.25">
      <c r="AG4064">
        <v>4062</v>
      </c>
    </row>
    <row r="4065" spans="33:33" x14ac:dyDescent="0.25">
      <c r="AG4065">
        <v>4063</v>
      </c>
    </row>
    <row r="4066" spans="33:33" x14ac:dyDescent="0.25">
      <c r="AG4066">
        <v>4064</v>
      </c>
    </row>
    <row r="4067" spans="33:33" x14ac:dyDescent="0.25">
      <c r="AG4067">
        <v>4065</v>
      </c>
    </row>
    <row r="4068" spans="33:33" x14ac:dyDescent="0.25">
      <c r="AG4068">
        <v>4066</v>
      </c>
    </row>
    <row r="4069" spans="33:33" x14ac:dyDescent="0.25">
      <c r="AG4069">
        <v>4067</v>
      </c>
    </row>
    <row r="4070" spans="33:33" x14ac:dyDescent="0.25">
      <c r="AG4070">
        <v>4068</v>
      </c>
    </row>
    <row r="4071" spans="33:33" x14ac:dyDescent="0.25">
      <c r="AG4071">
        <v>4069</v>
      </c>
    </row>
    <row r="4072" spans="33:33" x14ac:dyDescent="0.25">
      <c r="AG4072">
        <v>4070</v>
      </c>
    </row>
    <row r="4073" spans="33:33" x14ac:dyDescent="0.25">
      <c r="AG4073">
        <v>4071</v>
      </c>
    </row>
    <row r="4074" spans="33:33" x14ac:dyDescent="0.25">
      <c r="AG4074">
        <v>4072</v>
      </c>
    </row>
    <row r="4075" spans="33:33" x14ac:dyDescent="0.25">
      <c r="AG4075">
        <v>4073</v>
      </c>
    </row>
    <row r="4076" spans="33:33" x14ac:dyDescent="0.25">
      <c r="AG4076">
        <v>4074</v>
      </c>
    </row>
    <row r="4077" spans="33:33" x14ac:dyDescent="0.25">
      <c r="AG4077">
        <v>4075</v>
      </c>
    </row>
    <row r="4078" spans="33:33" x14ac:dyDescent="0.25">
      <c r="AG4078">
        <v>4076</v>
      </c>
    </row>
    <row r="4079" spans="33:33" x14ac:dyDescent="0.25">
      <c r="AG4079">
        <v>4077</v>
      </c>
    </row>
    <row r="4080" spans="33:33" x14ac:dyDescent="0.25">
      <c r="AG4080">
        <v>4078</v>
      </c>
    </row>
    <row r="4081" spans="33:33" x14ac:dyDescent="0.25">
      <c r="AG4081">
        <v>4079</v>
      </c>
    </row>
    <row r="4082" spans="33:33" x14ac:dyDescent="0.25">
      <c r="AG4082">
        <v>4080</v>
      </c>
    </row>
    <row r="4083" spans="33:33" x14ac:dyDescent="0.25">
      <c r="AG4083">
        <v>4081</v>
      </c>
    </row>
    <row r="4084" spans="33:33" x14ac:dyDescent="0.25">
      <c r="AG4084">
        <v>4082</v>
      </c>
    </row>
    <row r="4085" spans="33:33" x14ac:dyDescent="0.25">
      <c r="AG4085">
        <v>4083</v>
      </c>
    </row>
    <row r="4086" spans="33:33" x14ac:dyDescent="0.25">
      <c r="AG4086">
        <v>4084</v>
      </c>
    </row>
    <row r="4087" spans="33:33" x14ac:dyDescent="0.25">
      <c r="AG4087">
        <v>4085</v>
      </c>
    </row>
    <row r="4088" spans="33:33" x14ac:dyDescent="0.25">
      <c r="AG4088">
        <v>4086</v>
      </c>
    </row>
    <row r="4089" spans="33:33" x14ac:dyDescent="0.25">
      <c r="AG4089">
        <v>4087</v>
      </c>
    </row>
    <row r="4090" spans="33:33" x14ac:dyDescent="0.25">
      <c r="AG4090">
        <v>4088</v>
      </c>
    </row>
    <row r="4091" spans="33:33" x14ac:dyDescent="0.25">
      <c r="AG4091">
        <v>4089</v>
      </c>
    </row>
    <row r="4092" spans="33:33" x14ac:dyDescent="0.25">
      <c r="AG4092">
        <v>4090</v>
      </c>
    </row>
    <row r="4093" spans="33:33" x14ac:dyDescent="0.25">
      <c r="AG4093">
        <v>4091</v>
      </c>
    </row>
    <row r="4094" spans="33:33" x14ac:dyDescent="0.25">
      <c r="AG4094">
        <v>4092</v>
      </c>
    </row>
    <row r="4095" spans="33:33" x14ac:dyDescent="0.25">
      <c r="AG4095">
        <v>4093</v>
      </c>
    </row>
    <row r="4096" spans="33:33" x14ac:dyDescent="0.25">
      <c r="AG4096">
        <v>4094</v>
      </c>
    </row>
    <row r="4097" spans="33:33" x14ac:dyDescent="0.25">
      <c r="AG4097">
        <v>4095</v>
      </c>
    </row>
    <row r="4098" spans="33:33" x14ac:dyDescent="0.25">
      <c r="AG4098">
        <v>4096</v>
      </c>
    </row>
    <row r="4099" spans="33:33" x14ac:dyDescent="0.25">
      <c r="AG4099">
        <v>4097</v>
      </c>
    </row>
    <row r="4100" spans="33:33" x14ac:dyDescent="0.25">
      <c r="AG4100">
        <v>4098</v>
      </c>
    </row>
    <row r="4101" spans="33:33" x14ac:dyDescent="0.25">
      <c r="AG4101">
        <v>4099</v>
      </c>
    </row>
    <row r="4102" spans="33:33" x14ac:dyDescent="0.25">
      <c r="AG4102">
        <v>4100</v>
      </c>
    </row>
    <row r="4103" spans="33:33" x14ac:dyDescent="0.25">
      <c r="AG4103">
        <v>4101</v>
      </c>
    </row>
    <row r="4104" spans="33:33" x14ac:dyDescent="0.25">
      <c r="AG4104">
        <v>4102</v>
      </c>
    </row>
    <row r="4105" spans="33:33" x14ac:dyDescent="0.25">
      <c r="AG4105">
        <v>4103</v>
      </c>
    </row>
    <row r="4106" spans="33:33" x14ac:dyDescent="0.25">
      <c r="AG4106">
        <v>4104</v>
      </c>
    </row>
    <row r="4107" spans="33:33" x14ac:dyDescent="0.25">
      <c r="AG4107">
        <v>4105</v>
      </c>
    </row>
    <row r="4108" spans="33:33" x14ac:dyDescent="0.25">
      <c r="AG4108">
        <v>4106</v>
      </c>
    </row>
    <row r="4109" spans="33:33" x14ac:dyDescent="0.25">
      <c r="AG4109">
        <v>4107</v>
      </c>
    </row>
    <row r="4110" spans="33:33" x14ac:dyDescent="0.25">
      <c r="AG4110">
        <v>4108</v>
      </c>
    </row>
    <row r="4111" spans="33:33" x14ac:dyDescent="0.25">
      <c r="AG4111">
        <v>4109</v>
      </c>
    </row>
    <row r="4112" spans="33:33" x14ac:dyDescent="0.25">
      <c r="AG4112">
        <v>4110</v>
      </c>
    </row>
    <row r="4113" spans="33:33" x14ac:dyDescent="0.25">
      <c r="AG4113">
        <v>4111</v>
      </c>
    </row>
    <row r="4114" spans="33:33" x14ac:dyDescent="0.25">
      <c r="AG4114">
        <v>4112</v>
      </c>
    </row>
    <row r="4115" spans="33:33" x14ac:dyDescent="0.25">
      <c r="AG4115">
        <v>4113</v>
      </c>
    </row>
    <row r="4116" spans="33:33" x14ac:dyDescent="0.25">
      <c r="AG4116">
        <v>4114</v>
      </c>
    </row>
    <row r="4117" spans="33:33" x14ac:dyDescent="0.25">
      <c r="AG4117">
        <v>4115</v>
      </c>
    </row>
    <row r="4118" spans="33:33" x14ac:dyDescent="0.25">
      <c r="AG4118">
        <v>4116</v>
      </c>
    </row>
    <row r="4119" spans="33:33" x14ac:dyDescent="0.25">
      <c r="AG4119">
        <v>4117</v>
      </c>
    </row>
    <row r="4120" spans="33:33" x14ac:dyDescent="0.25">
      <c r="AG4120">
        <v>4118</v>
      </c>
    </row>
    <row r="4121" spans="33:33" x14ac:dyDescent="0.25">
      <c r="AG4121">
        <v>4119</v>
      </c>
    </row>
    <row r="4122" spans="33:33" x14ac:dyDescent="0.25">
      <c r="AG4122">
        <v>4120</v>
      </c>
    </row>
    <row r="4123" spans="33:33" x14ac:dyDescent="0.25">
      <c r="AG4123">
        <v>4121</v>
      </c>
    </row>
    <row r="4124" spans="33:33" x14ac:dyDescent="0.25">
      <c r="AG4124">
        <v>4122</v>
      </c>
    </row>
    <row r="4125" spans="33:33" x14ac:dyDescent="0.25">
      <c r="AG4125">
        <v>4123</v>
      </c>
    </row>
    <row r="4126" spans="33:33" x14ac:dyDescent="0.25">
      <c r="AG4126">
        <v>4124</v>
      </c>
    </row>
    <row r="4127" spans="33:33" x14ac:dyDescent="0.25">
      <c r="AG4127">
        <v>4125</v>
      </c>
    </row>
    <row r="4128" spans="33:33" x14ac:dyDescent="0.25">
      <c r="AG4128">
        <v>4126</v>
      </c>
    </row>
    <row r="4129" spans="33:33" x14ac:dyDescent="0.25">
      <c r="AG4129">
        <v>4127</v>
      </c>
    </row>
    <row r="4130" spans="33:33" x14ac:dyDescent="0.25">
      <c r="AG4130">
        <v>4128</v>
      </c>
    </row>
    <row r="4131" spans="33:33" x14ac:dyDescent="0.25">
      <c r="AG4131">
        <v>4129</v>
      </c>
    </row>
    <row r="4132" spans="33:33" x14ac:dyDescent="0.25">
      <c r="AG4132">
        <v>4130</v>
      </c>
    </row>
    <row r="4133" spans="33:33" x14ac:dyDescent="0.25">
      <c r="AG4133">
        <v>4131</v>
      </c>
    </row>
    <row r="4134" spans="33:33" x14ac:dyDescent="0.25">
      <c r="AG4134">
        <v>4132</v>
      </c>
    </row>
    <row r="4135" spans="33:33" x14ac:dyDescent="0.25">
      <c r="AG4135">
        <v>4133</v>
      </c>
    </row>
    <row r="4136" spans="33:33" x14ac:dyDescent="0.25">
      <c r="AG4136">
        <v>4134</v>
      </c>
    </row>
    <row r="4137" spans="33:33" x14ac:dyDescent="0.25">
      <c r="AG4137">
        <v>4135</v>
      </c>
    </row>
    <row r="4138" spans="33:33" x14ac:dyDescent="0.25">
      <c r="AG4138">
        <v>4136</v>
      </c>
    </row>
    <row r="4139" spans="33:33" x14ac:dyDescent="0.25">
      <c r="AG4139">
        <v>4137</v>
      </c>
    </row>
    <row r="4140" spans="33:33" x14ac:dyDescent="0.25">
      <c r="AG4140">
        <v>4138</v>
      </c>
    </row>
    <row r="4141" spans="33:33" x14ac:dyDescent="0.25">
      <c r="AG4141">
        <v>4139</v>
      </c>
    </row>
    <row r="4142" spans="33:33" x14ac:dyDescent="0.25">
      <c r="AG4142">
        <v>4140</v>
      </c>
    </row>
    <row r="4143" spans="33:33" x14ac:dyDescent="0.25">
      <c r="AG4143">
        <v>4141</v>
      </c>
    </row>
    <row r="4144" spans="33:33" x14ac:dyDescent="0.25">
      <c r="AG4144">
        <v>4142</v>
      </c>
    </row>
    <row r="4145" spans="33:33" x14ac:dyDescent="0.25">
      <c r="AG4145">
        <v>4143</v>
      </c>
    </row>
    <row r="4146" spans="33:33" x14ac:dyDescent="0.25">
      <c r="AG4146">
        <v>4144</v>
      </c>
    </row>
    <row r="4147" spans="33:33" x14ac:dyDescent="0.25">
      <c r="AG4147">
        <v>4145</v>
      </c>
    </row>
    <row r="4148" spans="33:33" x14ac:dyDescent="0.25">
      <c r="AG4148">
        <v>4146</v>
      </c>
    </row>
    <row r="4149" spans="33:33" x14ac:dyDescent="0.25">
      <c r="AG4149">
        <v>4147</v>
      </c>
    </row>
    <row r="4150" spans="33:33" x14ac:dyDescent="0.25">
      <c r="AG4150">
        <v>4148</v>
      </c>
    </row>
    <row r="4151" spans="33:33" x14ac:dyDescent="0.25">
      <c r="AG4151">
        <v>4149</v>
      </c>
    </row>
    <row r="4152" spans="33:33" x14ac:dyDescent="0.25">
      <c r="AG4152">
        <v>4150</v>
      </c>
    </row>
    <row r="4153" spans="33:33" x14ac:dyDescent="0.25">
      <c r="AG4153">
        <v>4151</v>
      </c>
    </row>
    <row r="4154" spans="33:33" x14ac:dyDescent="0.25">
      <c r="AG4154">
        <v>4152</v>
      </c>
    </row>
    <row r="4155" spans="33:33" x14ac:dyDescent="0.25">
      <c r="AG4155">
        <v>4153</v>
      </c>
    </row>
    <row r="4156" spans="33:33" x14ac:dyDescent="0.25">
      <c r="AG4156">
        <v>4154</v>
      </c>
    </row>
    <row r="4157" spans="33:33" x14ac:dyDescent="0.25">
      <c r="AG4157">
        <v>4155</v>
      </c>
    </row>
    <row r="4158" spans="33:33" x14ac:dyDescent="0.25">
      <c r="AG4158">
        <v>4156</v>
      </c>
    </row>
    <row r="4159" spans="33:33" x14ac:dyDescent="0.25">
      <c r="AG4159">
        <v>4157</v>
      </c>
    </row>
    <row r="4160" spans="33:33" x14ac:dyDescent="0.25">
      <c r="AG4160">
        <v>4158</v>
      </c>
    </row>
    <row r="4161" spans="33:33" x14ac:dyDescent="0.25">
      <c r="AG4161">
        <v>4159</v>
      </c>
    </row>
    <row r="4162" spans="33:33" x14ac:dyDescent="0.25">
      <c r="AG4162">
        <v>4160</v>
      </c>
    </row>
    <row r="4163" spans="33:33" x14ac:dyDescent="0.25">
      <c r="AG4163">
        <v>4161</v>
      </c>
    </row>
    <row r="4164" spans="33:33" x14ac:dyDescent="0.25">
      <c r="AG4164">
        <v>4162</v>
      </c>
    </row>
    <row r="4165" spans="33:33" x14ac:dyDescent="0.25">
      <c r="AG4165">
        <v>4163</v>
      </c>
    </row>
    <row r="4166" spans="33:33" x14ac:dyDescent="0.25">
      <c r="AG4166">
        <v>4164</v>
      </c>
    </row>
    <row r="4167" spans="33:33" x14ac:dyDescent="0.25">
      <c r="AG4167">
        <v>4165</v>
      </c>
    </row>
    <row r="4168" spans="33:33" x14ac:dyDescent="0.25">
      <c r="AG4168">
        <v>4166</v>
      </c>
    </row>
    <row r="4169" spans="33:33" x14ac:dyDescent="0.25">
      <c r="AG4169">
        <v>4167</v>
      </c>
    </row>
    <row r="4170" spans="33:33" x14ac:dyDescent="0.25">
      <c r="AG4170">
        <v>4168</v>
      </c>
    </row>
    <row r="4171" spans="33:33" x14ac:dyDescent="0.25">
      <c r="AG4171">
        <v>4169</v>
      </c>
    </row>
    <row r="4172" spans="33:33" x14ac:dyDescent="0.25">
      <c r="AG4172">
        <v>4170</v>
      </c>
    </row>
    <row r="4173" spans="33:33" x14ac:dyDescent="0.25">
      <c r="AG4173">
        <v>4171</v>
      </c>
    </row>
    <row r="4174" spans="33:33" x14ac:dyDescent="0.25">
      <c r="AG4174">
        <v>4172</v>
      </c>
    </row>
    <row r="4175" spans="33:33" x14ac:dyDescent="0.25">
      <c r="AG4175">
        <v>4173</v>
      </c>
    </row>
    <row r="4176" spans="33:33" x14ac:dyDescent="0.25">
      <c r="AG4176">
        <v>4174</v>
      </c>
    </row>
    <row r="4177" spans="33:33" x14ac:dyDescent="0.25">
      <c r="AG4177">
        <v>4175</v>
      </c>
    </row>
    <row r="4178" spans="33:33" x14ac:dyDescent="0.25">
      <c r="AG4178">
        <v>4176</v>
      </c>
    </row>
    <row r="4179" spans="33:33" x14ac:dyDescent="0.25">
      <c r="AG4179">
        <v>4177</v>
      </c>
    </row>
    <row r="4180" spans="33:33" x14ac:dyDescent="0.25">
      <c r="AG4180">
        <v>4178</v>
      </c>
    </row>
    <row r="4181" spans="33:33" x14ac:dyDescent="0.25">
      <c r="AG4181">
        <v>4179</v>
      </c>
    </row>
    <row r="4182" spans="33:33" x14ac:dyDescent="0.25">
      <c r="AG4182">
        <v>4180</v>
      </c>
    </row>
    <row r="4183" spans="33:33" x14ac:dyDescent="0.25">
      <c r="AG4183">
        <v>4181</v>
      </c>
    </row>
    <row r="4184" spans="33:33" x14ac:dyDescent="0.25">
      <c r="AG4184">
        <v>4182</v>
      </c>
    </row>
    <row r="4185" spans="33:33" x14ac:dyDescent="0.25">
      <c r="AG4185">
        <v>4183</v>
      </c>
    </row>
    <row r="4186" spans="33:33" x14ac:dyDescent="0.25">
      <c r="AG4186">
        <v>4184</v>
      </c>
    </row>
    <row r="4187" spans="33:33" x14ac:dyDescent="0.25">
      <c r="AG4187">
        <v>4185</v>
      </c>
    </row>
    <row r="4188" spans="33:33" x14ac:dyDescent="0.25">
      <c r="AG4188">
        <v>4186</v>
      </c>
    </row>
    <row r="4189" spans="33:33" x14ac:dyDescent="0.25">
      <c r="AG4189">
        <v>4187</v>
      </c>
    </row>
    <row r="4190" spans="33:33" x14ac:dyDescent="0.25">
      <c r="AG4190">
        <v>4188</v>
      </c>
    </row>
    <row r="4191" spans="33:33" x14ac:dyDescent="0.25">
      <c r="AG4191">
        <v>4189</v>
      </c>
    </row>
    <row r="4192" spans="33:33" x14ac:dyDescent="0.25">
      <c r="AG4192">
        <v>4190</v>
      </c>
    </row>
    <row r="4193" spans="33:33" x14ac:dyDescent="0.25">
      <c r="AG4193">
        <v>4191</v>
      </c>
    </row>
    <row r="4194" spans="33:33" x14ac:dyDescent="0.25">
      <c r="AG4194">
        <v>4192</v>
      </c>
    </row>
    <row r="4195" spans="33:33" x14ac:dyDescent="0.25">
      <c r="AG4195">
        <v>4193</v>
      </c>
    </row>
    <row r="4196" spans="33:33" x14ac:dyDescent="0.25">
      <c r="AG4196">
        <v>4194</v>
      </c>
    </row>
    <row r="4197" spans="33:33" x14ac:dyDescent="0.25">
      <c r="AG4197">
        <v>4195</v>
      </c>
    </row>
    <row r="4198" spans="33:33" x14ac:dyDescent="0.25">
      <c r="AG4198">
        <v>4196</v>
      </c>
    </row>
    <row r="4199" spans="33:33" x14ac:dyDescent="0.25">
      <c r="AG4199">
        <v>4197</v>
      </c>
    </row>
    <row r="4200" spans="33:33" x14ac:dyDescent="0.25">
      <c r="AG4200">
        <v>4198</v>
      </c>
    </row>
    <row r="4201" spans="33:33" x14ac:dyDescent="0.25">
      <c r="AG4201">
        <v>4199</v>
      </c>
    </row>
    <row r="4202" spans="33:33" x14ac:dyDescent="0.25">
      <c r="AG4202">
        <v>4200</v>
      </c>
    </row>
    <row r="4203" spans="33:33" x14ac:dyDescent="0.25">
      <c r="AG4203">
        <v>4201</v>
      </c>
    </row>
    <row r="4204" spans="33:33" x14ac:dyDescent="0.25">
      <c r="AG4204">
        <v>4202</v>
      </c>
    </row>
    <row r="4205" spans="33:33" x14ac:dyDescent="0.25">
      <c r="AG4205">
        <v>4203</v>
      </c>
    </row>
    <row r="4206" spans="33:33" x14ac:dyDescent="0.25">
      <c r="AG4206">
        <v>4204</v>
      </c>
    </row>
    <row r="4207" spans="33:33" x14ac:dyDescent="0.25">
      <c r="AG4207">
        <v>4205</v>
      </c>
    </row>
    <row r="4208" spans="33:33" x14ac:dyDescent="0.25">
      <c r="AG4208">
        <v>4206</v>
      </c>
    </row>
    <row r="4209" spans="33:33" x14ac:dyDescent="0.25">
      <c r="AG4209">
        <v>4207</v>
      </c>
    </row>
    <row r="4210" spans="33:33" x14ac:dyDescent="0.25">
      <c r="AG4210">
        <v>4208</v>
      </c>
    </row>
    <row r="4211" spans="33:33" x14ac:dyDescent="0.25">
      <c r="AG4211">
        <v>4209</v>
      </c>
    </row>
    <row r="4212" spans="33:33" x14ac:dyDescent="0.25">
      <c r="AG4212">
        <v>4210</v>
      </c>
    </row>
    <row r="4213" spans="33:33" x14ac:dyDescent="0.25">
      <c r="AG4213">
        <v>4211</v>
      </c>
    </row>
    <row r="4214" spans="33:33" x14ac:dyDescent="0.25">
      <c r="AG4214">
        <v>4212</v>
      </c>
    </row>
    <row r="4215" spans="33:33" x14ac:dyDescent="0.25">
      <c r="AG4215">
        <v>4213</v>
      </c>
    </row>
    <row r="4216" spans="33:33" x14ac:dyDescent="0.25">
      <c r="AG4216">
        <v>4214</v>
      </c>
    </row>
    <row r="4217" spans="33:33" x14ac:dyDescent="0.25">
      <c r="AG4217">
        <v>4215</v>
      </c>
    </row>
    <row r="4218" spans="33:33" x14ac:dyDescent="0.25">
      <c r="AG4218">
        <v>4216</v>
      </c>
    </row>
    <row r="4219" spans="33:33" x14ac:dyDescent="0.25">
      <c r="AG4219">
        <v>4217</v>
      </c>
    </row>
    <row r="4220" spans="33:33" x14ac:dyDescent="0.25">
      <c r="AG4220">
        <v>4218</v>
      </c>
    </row>
    <row r="4221" spans="33:33" x14ac:dyDescent="0.25">
      <c r="AG4221">
        <v>4219</v>
      </c>
    </row>
    <row r="4222" spans="33:33" x14ac:dyDescent="0.25">
      <c r="AG4222">
        <v>4220</v>
      </c>
    </row>
    <row r="4223" spans="33:33" x14ac:dyDescent="0.25">
      <c r="AG4223">
        <v>4221</v>
      </c>
    </row>
    <row r="4224" spans="33:33" x14ac:dyDescent="0.25">
      <c r="AG4224">
        <v>4222</v>
      </c>
    </row>
    <row r="4225" spans="33:33" x14ac:dyDescent="0.25">
      <c r="AG4225">
        <v>4223</v>
      </c>
    </row>
    <row r="4226" spans="33:33" x14ac:dyDescent="0.25">
      <c r="AG4226">
        <v>4224</v>
      </c>
    </row>
    <row r="4227" spans="33:33" x14ac:dyDescent="0.25">
      <c r="AG4227">
        <v>4225</v>
      </c>
    </row>
    <row r="4228" spans="33:33" x14ac:dyDescent="0.25">
      <c r="AG4228">
        <v>4226</v>
      </c>
    </row>
    <row r="4229" spans="33:33" x14ac:dyDescent="0.25">
      <c r="AG4229">
        <v>4227</v>
      </c>
    </row>
    <row r="4230" spans="33:33" x14ac:dyDescent="0.25">
      <c r="AG4230">
        <v>4228</v>
      </c>
    </row>
    <row r="4231" spans="33:33" x14ac:dyDescent="0.25">
      <c r="AG4231">
        <v>4229</v>
      </c>
    </row>
    <row r="4232" spans="33:33" x14ac:dyDescent="0.25">
      <c r="AG4232">
        <v>4230</v>
      </c>
    </row>
    <row r="4233" spans="33:33" x14ac:dyDescent="0.25">
      <c r="AG4233">
        <v>4231</v>
      </c>
    </row>
    <row r="4234" spans="33:33" x14ac:dyDescent="0.25">
      <c r="AG4234">
        <v>4232</v>
      </c>
    </row>
    <row r="4235" spans="33:33" x14ac:dyDescent="0.25">
      <c r="AG4235">
        <v>4233</v>
      </c>
    </row>
    <row r="4236" spans="33:33" x14ac:dyDescent="0.25">
      <c r="AG4236">
        <v>4234</v>
      </c>
    </row>
    <row r="4237" spans="33:33" x14ac:dyDescent="0.25">
      <c r="AG4237">
        <v>4235</v>
      </c>
    </row>
    <row r="4238" spans="33:33" x14ac:dyDescent="0.25">
      <c r="AG4238">
        <v>4236</v>
      </c>
    </row>
    <row r="4239" spans="33:33" x14ac:dyDescent="0.25">
      <c r="AG4239">
        <v>4237</v>
      </c>
    </row>
    <row r="4240" spans="33:33" x14ac:dyDescent="0.25">
      <c r="AG4240">
        <v>4238</v>
      </c>
    </row>
    <row r="4241" spans="33:33" x14ac:dyDescent="0.25">
      <c r="AG4241">
        <v>4239</v>
      </c>
    </row>
    <row r="4242" spans="33:33" x14ac:dyDescent="0.25">
      <c r="AG4242">
        <v>4240</v>
      </c>
    </row>
    <row r="4243" spans="33:33" x14ac:dyDescent="0.25">
      <c r="AG4243">
        <v>4241</v>
      </c>
    </row>
    <row r="4244" spans="33:33" x14ac:dyDescent="0.25">
      <c r="AG4244">
        <v>4242</v>
      </c>
    </row>
    <row r="4245" spans="33:33" x14ac:dyDescent="0.25">
      <c r="AG4245">
        <v>4243</v>
      </c>
    </row>
    <row r="4246" spans="33:33" x14ac:dyDescent="0.25">
      <c r="AG4246">
        <v>4244</v>
      </c>
    </row>
    <row r="4247" spans="33:33" x14ac:dyDescent="0.25">
      <c r="AG4247">
        <v>4245</v>
      </c>
    </row>
    <row r="4248" spans="33:33" x14ac:dyDescent="0.25">
      <c r="AG4248">
        <v>4246</v>
      </c>
    </row>
    <row r="4249" spans="33:33" x14ac:dyDescent="0.25">
      <c r="AG4249">
        <v>4247</v>
      </c>
    </row>
    <row r="4250" spans="33:33" x14ac:dyDescent="0.25">
      <c r="AG4250">
        <v>4248</v>
      </c>
    </row>
    <row r="4251" spans="33:33" x14ac:dyDescent="0.25">
      <c r="AG4251">
        <v>4249</v>
      </c>
    </row>
    <row r="4252" spans="33:33" x14ac:dyDescent="0.25">
      <c r="AG4252">
        <v>4250</v>
      </c>
    </row>
    <row r="4253" spans="33:33" x14ac:dyDescent="0.25">
      <c r="AG4253">
        <v>4251</v>
      </c>
    </row>
    <row r="4254" spans="33:33" x14ac:dyDescent="0.25">
      <c r="AG4254">
        <v>4252</v>
      </c>
    </row>
    <row r="4255" spans="33:33" x14ac:dyDescent="0.25">
      <c r="AG4255">
        <v>4253</v>
      </c>
    </row>
    <row r="4256" spans="33:33" x14ac:dyDescent="0.25">
      <c r="AG4256">
        <v>4254</v>
      </c>
    </row>
    <row r="4257" spans="33:33" x14ac:dyDescent="0.25">
      <c r="AG4257">
        <v>4255</v>
      </c>
    </row>
    <row r="4258" spans="33:33" x14ac:dyDescent="0.25">
      <c r="AG4258">
        <v>4256</v>
      </c>
    </row>
    <row r="4259" spans="33:33" x14ac:dyDescent="0.25">
      <c r="AG4259">
        <v>4257</v>
      </c>
    </row>
    <row r="4260" spans="33:33" x14ac:dyDescent="0.25">
      <c r="AG4260">
        <v>4258</v>
      </c>
    </row>
    <row r="4261" spans="33:33" x14ac:dyDescent="0.25">
      <c r="AG4261">
        <v>4259</v>
      </c>
    </row>
    <row r="4262" spans="33:33" x14ac:dyDescent="0.25">
      <c r="AG4262">
        <v>4260</v>
      </c>
    </row>
    <row r="4263" spans="33:33" x14ac:dyDescent="0.25">
      <c r="AG4263">
        <v>4261</v>
      </c>
    </row>
    <row r="4264" spans="33:33" x14ac:dyDescent="0.25">
      <c r="AG4264">
        <v>4262</v>
      </c>
    </row>
    <row r="4265" spans="33:33" x14ac:dyDescent="0.25">
      <c r="AG4265">
        <v>4263</v>
      </c>
    </row>
    <row r="4266" spans="33:33" x14ac:dyDescent="0.25">
      <c r="AG4266">
        <v>4264</v>
      </c>
    </row>
    <row r="4267" spans="33:33" x14ac:dyDescent="0.25">
      <c r="AG4267">
        <v>4265</v>
      </c>
    </row>
    <row r="4268" spans="33:33" x14ac:dyDescent="0.25">
      <c r="AG4268">
        <v>4266</v>
      </c>
    </row>
    <row r="4269" spans="33:33" x14ac:dyDescent="0.25">
      <c r="AG4269">
        <v>4267</v>
      </c>
    </row>
    <row r="4270" spans="33:33" x14ac:dyDescent="0.25">
      <c r="AG4270">
        <v>4268</v>
      </c>
    </row>
    <row r="4271" spans="33:33" x14ac:dyDescent="0.25">
      <c r="AG4271">
        <v>4269</v>
      </c>
    </row>
    <row r="4272" spans="33:33" x14ac:dyDescent="0.25">
      <c r="AG4272">
        <v>4270</v>
      </c>
    </row>
    <row r="4273" spans="33:33" x14ac:dyDescent="0.25">
      <c r="AG4273">
        <v>4271</v>
      </c>
    </row>
    <row r="4274" spans="33:33" x14ac:dyDescent="0.25">
      <c r="AG4274">
        <v>4272</v>
      </c>
    </row>
    <row r="4275" spans="33:33" x14ac:dyDescent="0.25">
      <c r="AG4275">
        <v>4273</v>
      </c>
    </row>
    <row r="4276" spans="33:33" x14ac:dyDescent="0.25">
      <c r="AG4276">
        <v>4274</v>
      </c>
    </row>
    <row r="4277" spans="33:33" x14ac:dyDescent="0.25">
      <c r="AG4277">
        <v>4275</v>
      </c>
    </row>
    <row r="4278" spans="33:33" x14ac:dyDescent="0.25">
      <c r="AG4278">
        <v>4276</v>
      </c>
    </row>
    <row r="4279" spans="33:33" x14ac:dyDescent="0.25">
      <c r="AG4279">
        <v>4277</v>
      </c>
    </row>
    <row r="4280" spans="33:33" x14ac:dyDescent="0.25">
      <c r="AG4280">
        <v>4278</v>
      </c>
    </row>
    <row r="4281" spans="33:33" x14ac:dyDescent="0.25">
      <c r="AG4281">
        <v>4279</v>
      </c>
    </row>
    <row r="4282" spans="33:33" x14ac:dyDescent="0.25">
      <c r="AG4282">
        <v>4280</v>
      </c>
    </row>
    <row r="4283" spans="33:33" x14ac:dyDescent="0.25">
      <c r="AG4283">
        <v>4281</v>
      </c>
    </row>
    <row r="4284" spans="33:33" x14ac:dyDescent="0.25">
      <c r="AG4284">
        <v>4282</v>
      </c>
    </row>
    <row r="4285" spans="33:33" x14ac:dyDescent="0.25">
      <c r="AG4285">
        <v>4283</v>
      </c>
    </row>
    <row r="4286" spans="33:33" x14ac:dyDescent="0.25">
      <c r="AG4286">
        <v>4284</v>
      </c>
    </row>
    <row r="4287" spans="33:33" x14ac:dyDescent="0.25">
      <c r="AG4287">
        <v>4285</v>
      </c>
    </row>
    <row r="4288" spans="33:33" x14ac:dyDescent="0.25">
      <c r="AG4288">
        <v>4286</v>
      </c>
    </row>
    <row r="4289" spans="33:33" x14ac:dyDescent="0.25">
      <c r="AG4289">
        <v>4287</v>
      </c>
    </row>
    <row r="4290" spans="33:33" x14ac:dyDescent="0.25">
      <c r="AG4290">
        <v>4288</v>
      </c>
    </row>
    <row r="4291" spans="33:33" x14ac:dyDescent="0.25">
      <c r="AG4291">
        <v>4289</v>
      </c>
    </row>
    <row r="4292" spans="33:33" x14ac:dyDescent="0.25">
      <c r="AG4292">
        <v>4290</v>
      </c>
    </row>
    <row r="4293" spans="33:33" x14ac:dyDescent="0.25">
      <c r="AG4293">
        <v>4291</v>
      </c>
    </row>
    <row r="4294" spans="33:33" x14ac:dyDescent="0.25">
      <c r="AG4294">
        <v>4292</v>
      </c>
    </row>
    <row r="4295" spans="33:33" x14ac:dyDescent="0.25">
      <c r="AG4295">
        <v>4293</v>
      </c>
    </row>
    <row r="4296" spans="33:33" x14ac:dyDescent="0.25">
      <c r="AG4296">
        <v>4294</v>
      </c>
    </row>
    <row r="4297" spans="33:33" x14ac:dyDescent="0.25">
      <c r="AG4297">
        <v>4295</v>
      </c>
    </row>
    <row r="4298" spans="33:33" x14ac:dyDescent="0.25">
      <c r="AG4298">
        <v>4296</v>
      </c>
    </row>
    <row r="4299" spans="33:33" x14ac:dyDescent="0.25">
      <c r="AG4299">
        <v>4297</v>
      </c>
    </row>
    <row r="4300" spans="33:33" x14ac:dyDescent="0.25">
      <c r="AG4300">
        <v>4298</v>
      </c>
    </row>
    <row r="4301" spans="33:33" x14ac:dyDescent="0.25">
      <c r="AG4301">
        <v>4299</v>
      </c>
    </row>
    <row r="4302" spans="33:33" x14ac:dyDescent="0.25">
      <c r="AG4302">
        <v>4300</v>
      </c>
    </row>
    <row r="4303" spans="33:33" x14ac:dyDescent="0.25">
      <c r="AG4303">
        <v>4301</v>
      </c>
    </row>
    <row r="4304" spans="33:33" x14ac:dyDescent="0.25">
      <c r="AG4304">
        <v>4302</v>
      </c>
    </row>
    <row r="4305" spans="33:33" x14ac:dyDescent="0.25">
      <c r="AG4305">
        <v>4303</v>
      </c>
    </row>
    <row r="4306" spans="33:33" x14ac:dyDescent="0.25">
      <c r="AG4306">
        <v>4304</v>
      </c>
    </row>
    <row r="4307" spans="33:33" x14ac:dyDescent="0.25">
      <c r="AG4307">
        <v>4305</v>
      </c>
    </row>
    <row r="4308" spans="33:33" x14ac:dyDescent="0.25">
      <c r="AG4308">
        <v>4306</v>
      </c>
    </row>
    <row r="4309" spans="33:33" x14ac:dyDescent="0.25">
      <c r="AG4309">
        <v>4307</v>
      </c>
    </row>
    <row r="4310" spans="33:33" x14ac:dyDescent="0.25">
      <c r="AG4310">
        <v>4308</v>
      </c>
    </row>
    <row r="4311" spans="33:33" x14ac:dyDescent="0.25">
      <c r="AG4311">
        <v>4309</v>
      </c>
    </row>
    <row r="4312" spans="33:33" x14ac:dyDescent="0.25">
      <c r="AG4312">
        <v>4310</v>
      </c>
    </row>
    <row r="4313" spans="33:33" x14ac:dyDescent="0.25">
      <c r="AG4313">
        <v>4311</v>
      </c>
    </row>
    <row r="4314" spans="33:33" x14ac:dyDescent="0.25">
      <c r="AG4314">
        <v>4312</v>
      </c>
    </row>
    <row r="4315" spans="33:33" x14ac:dyDescent="0.25">
      <c r="AG4315">
        <v>4313</v>
      </c>
    </row>
    <row r="4316" spans="33:33" x14ac:dyDescent="0.25">
      <c r="AG4316">
        <v>4314</v>
      </c>
    </row>
    <row r="4317" spans="33:33" x14ac:dyDescent="0.25">
      <c r="AG4317">
        <v>4315</v>
      </c>
    </row>
    <row r="4318" spans="33:33" x14ac:dyDescent="0.25">
      <c r="AG4318">
        <v>4316</v>
      </c>
    </row>
    <row r="4319" spans="33:33" x14ac:dyDescent="0.25">
      <c r="AG4319">
        <v>4317</v>
      </c>
    </row>
    <row r="4320" spans="33:33" x14ac:dyDescent="0.25">
      <c r="AG4320">
        <v>4318</v>
      </c>
    </row>
    <row r="4321" spans="33:33" x14ac:dyDescent="0.25">
      <c r="AG4321">
        <v>4319</v>
      </c>
    </row>
    <row r="4322" spans="33:33" x14ac:dyDescent="0.25">
      <c r="AG4322">
        <v>4320</v>
      </c>
    </row>
    <row r="4323" spans="33:33" x14ac:dyDescent="0.25">
      <c r="AG4323">
        <v>4321</v>
      </c>
    </row>
    <row r="4324" spans="33:33" x14ac:dyDescent="0.25">
      <c r="AG4324">
        <v>4322</v>
      </c>
    </row>
    <row r="4325" spans="33:33" x14ac:dyDescent="0.25">
      <c r="AG4325">
        <v>4323</v>
      </c>
    </row>
    <row r="4326" spans="33:33" x14ac:dyDescent="0.25">
      <c r="AG4326">
        <v>4324</v>
      </c>
    </row>
    <row r="4327" spans="33:33" x14ac:dyDescent="0.25">
      <c r="AG4327">
        <v>4325</v>
      </c>
    </row>
    <row r="4328" spans="33:33" x14ac:dyDescent="0.25">
      <c r="AG4328">
        <v>4326</v>
      </c>
    </row>
    <row r="4329" spans="33:33" x14ac:dyDescent="0.25">
      <c r="AG4329">
        <v>4327</v>
      </c>
    </row>
    <row r="4330" spans="33:33" x14ac:dyDescent="0.25">
      <c r="AG4330">
        <v>4328</v>
      </c>
    </row>
    <row r="4331" spans="33:33" x14ac:dyDescent="0.25">
      <c r="AG4331">
        <v>4329</v>
      </c>
    </row>
    <row r="4332" spans="33:33" x14ac:dyDescent="0.25">
      <c r="AG4332">
        <v>4330</v>
      </c>
    </row>
    <row r="4333" spans="33:33" x14ac:dyDescent="0.25">
      <c r="AG4333">
        <v>4331</v>
      </c>
    </row>
    <row r="4334" spans="33:33" x14ac:dyDescent="0.25">
      <c r="AG4334">
        <v>4332</v>
      </c>
    </row>
    <row r="4335" spans="33:33" x14ac:dyDescent="0.25">
      <c r="AG4335">
        <v>4333</v>
      </c>
    </row>
    <row r="4336" spans="33:33" x14ac:dyDescent="0.25">
      <c r="AG4336">
        <v>4334</v>
      </c>
    </row>
    <row r="4337" spans="33:33" x14ac:dyDescent="0.25">
      <c r="AG4337">
        <v>4335</v>
      </c>
    </row>
    <row r="4338" spans="33:33" x14ac:dyDescent="0.25">
      <c r="AG4338">
        <v>4336</v>
      </c>
    </row>
    <row r="4339" spans="33:33" x14ac:dyDescent="0.25">
      <c r="AG4339">
        <v>4337</v>
      </c>
    </row>
    <row r="4340" spans="33:33" x14ac:dyDescent="0.25">
      <c r="AG4340">
        <v>4338</v>
      </c>
    </row>
    <row r="4341" spans="33:33" x14ac:dyDescent="0.25">
      <c r="AG4341">
        <v>4339</v>
      </c>
    </row>
    <row r="4342" spans="33:33" x14ac:dyDescent="0.25">
      <c r="AG4342">
        <v>4340</v>
      </c>
    </row>
    <row r="4343" spans="33:33" x14ac:dyDescent="0.25">
      <c r="AG4343">
        <v>4341</v>
      </c>
    </row>
    <row r="4344" spans="33:33" x14ac:dyDescent="0.25">
      <c r="AG4344">
        <v>4342</v>
      </c>
    </row>
    <row r="4345" spans="33:33" x14ac:dyDescent="0.25">
      <c r="AG4345">
        <v>4343</v>
      </c>
    </row>
    <row r="4346" spans="33:33" x14ac:dyDescent="0.25">
      <c r="AG4346">
        <v>4344</v>
      </c>
    </row>
    <row r="4347" spans="33:33" x14ac:dyDescent="0.25">
      <c r="AG4347">
        <v>4345</v>
      </c>
    </row>
    <row r="4348" spans="33:33" x14ac:dyDescent="0.25">
      <c r="AG4348">
        <v>4346</v>
      </c>
    </row>
    <row r="4349" spans="33:33" x14ac:dyDescent="0.25">
      <c r="AG4349">
        <v>4347</v>
      </c>
    </row>
    <row r="4350" spans="33:33" x14ac:dyDescent="0.25">
      <c r="AG4350">
        <v>4348</v>
      </c>
    </row>
    <row r="4351" spans="33:33" x14ac:dyDescent="0.25">
      <c r="AG4351">
        <v>4349</v>
      </c>
    </row>
    <row r="4352" spans="33:33" x14ac:dyDescent="0.25">
      <c r="AG4352">
        <v>4350</v>
      </c>
    </row>
    <row r="4353" spans="33:33" x14ac:dyDescent="0.25">
      <c r="AG4353">
        <v>4351</v>
      </c>
    </row>
    <row r="4354" spans="33:33" x14ac:dyDescent="0.25">
      <c r="AG4354">
        <v>4352</v>
      </c>
    </row>
    <row r="4355" spans="33:33" x14ac:dyDescent="0.25">
      <c r="AG4355">
        <v>4353</v>
      </c>
    </row>
    <row r="4356" spans="33:33" x14ac:dyDescent="0.25">
      <c r="AG4356">
        <v>4354</v>
      </c>
    </row>
    <row r="4357" spans="33:33" x14ac:dyDescent="0.25">
      <c r="AG4357">
        <v>4355</v>
      </c>
    </row>
    <row r="4358" spans="33:33" x14ac:dyDescent="0.25">
      <c r="AG4358">
        <v>4356</v>
      </c>
    </row>
    <row r="4359" spans="33:33" x14ac:dyDescent="0.25">
      <c r="AG4359">
        <v>4357</v>
      </c>
    </row>
    <row r="4360" spans="33:33" x14ac:dyDescent="0.25">
      <c r="AG4360">
        <v>4358</v>
      </c>
    </row>
    <row r="4361" spans="33:33" x14ac:dyDescent="0.25">
      <c r="AG4361">
        <v>4359</v>
      </c>
    </row>
    <row r="4362" spans="33:33" x14ac:dyDescent="0.25">
      <c r="AG4362">
        <v>4360</v>
      </c>
    </row>
    <row r="4363" spans="33:33" x14ac:dyDescent="0.25">
      <c r="AG4363">
        <v>4361</v>
      </c>
    </row>
    <row r="4364" spans="33:33" x14ac:dyDescent="0.25">
      <c r="AG4364">
        <v>4362</v>
      </c>
    </row>
    <row r="4365" spans="33:33" x14ac:dyDescent="0.25">
      <c r="AG4365">
        <v>4363</v>
      </c>
    </row>
    <row r="4366" spans="33:33" x14ac:dyDescent="0.25">
      <c r="AG4366">
        <v>4364</v>
      </c>
    </row>
    <row r="4367" spans="33:33" x14ac:dyDescent="0.25">
      <c r="AG4367">
        <v>4365</v>
      </c>
    </row>
    <row r="4368" spans="33:33" x14ac:dyDescent="0.25">
      <c r="AG4368">
        <v>4366</v>
      </c>
    </row>
    <row r="4369" spans="33:33" x14ac:dyDescent="0.25">
      <c r="AG4369">
        <v>4367</v>
      </c>
    </row>
    <row r="4370" spans="33:33" x14ac:dyDescent="0.25">
      <c r="AG4370">
        <v>4368</v>
      </c>
    </row>
    <row r="4371" spans="33:33" x14ac:dyDescent="0.25">
      <c r="AG4371">
        <v>4369</v>
      </c>
    </row>
    <row r="4372" spans="33:33" x14ac:dyDescent="0.25">
      <c r="AG4372">
        <v>4370</v>
      </c>
    </row>
    <row r="4373" spans="33:33" x14ac:dyDescent="0.25">
      <c r="AG4373">
        <v>4371</v>
      </c>
    </row>
    <row r="4374" spans="33:33" x14ac:dyDescent="0.25">
      <c r="AG4374">
        <v>4372</v>
      </c>
    </row>
    <row r="4375" spans="33:33" x14ac:dyDescent="0.25">
      <c r="AG4375">
        <v>4373</v>
      </c>
    </row>
    <row r="4376" spans="33:33" x14ac:dyDescent="0.25">
      <c r="AG4376">
        <v>4374</v>
      </c>
    </row>
    <row r="4377" spans="33:33" x14ac:dyDescent="0.25">
      <c r="AG4377">
        <v>4375</v>
      </c>
    </row>
    <row r="4378" spans="33:33" x14ac:dyDescent="0.25">
      <c r="AG4378">
        <v>4376</v>
      </c>
    </row>
    <row r="4379" spans="33:33" x14ac:dyDescent="0.25">
      <c r="AG4379">
        <v>4377</v>
      </c>
    </row>
    <row r="4380" spans="33:33" x14ac:dyDescent="0.25">
      <c r="AG4380">
        <v>4378</v>
      </c>
    </row>
    <row r="4381" spans="33:33" x14ac:dyDescent="0.25">
      <c r="AG4381">
        <v>4379</v>
      </c>
    </row>
    <row r="4382" spans="33:33" x14ac:dyDescent="0.25">
      <c r="AG4382">
        <v>4380</v>
      </c>
    </row>
    <row r="4383" spans="33:33" x14ac:dyDescent="0.25">
      <c r="AG4383">
        <v>4381</v>
      </c>
    </row>
    <row r="4384" spans="33:33" x14ac:dyDescent="0.25">
      <c r="AG4384">
        <v>4382</v>
      </c>
    </row>
    <row r="4385" spans="33:33" x14ac:dyDescent="0.25">
      <c r="AG4385">
        <v>4383</v>
      </c>
    </row>
    <row r="4386" spans="33:33" x14ac:dyDescent="0.25">
      <c r="AG4386">
        <v>4384</v>
      </c>
    </row>
    <row r="4387" spans="33:33" x14ac:dyDescent="0.25">
      <c r="AG4387">
        <v>4385</v>
      </c>
    </row>
    <row r="4388" spans="33:33" x14ac:dyDescent="0.25">
      <c r="AG4388">
        <v>4386</v>
      </c>
    </row>
    <row r="4389" spans="33:33" x14ac:dyDescent="0.25">
      <c r="AG4389">
        <v>4387</v>
      </c>
    </row>
    <row r="4390" spans="33:33" x14ac:dyDescent="0.25">
      <c r="AG4390">
        <v>4388</v>
      </c>
    </row>
    <row r="4391" spans="33:33" x14ac:dyDescent="0.25">
      <c r="AG4391">
        <v>4389</v>
      </c>
    </row>
    <row r="4392" spans="33:33" x14ac:dyDescent="0.25">
      <c r="AG4392">
        <v>4390</v>
      </c>
    </row>
    <row r="4393" spans="33:33" x14ac:dyDescent="0.25">
      <c r="AG4393">
        <v>4391</v>
      </c>
    </row>
    <row r="4394" spans="33:33" x14ac:dyDescent="0.25">
      <c r="AG4394">
        <v>4392</v>
      </c>
    </row>
    <row r="4395" spans="33:33" x14ac:dyDescent="0.25">
      <c r="AG4395">
        <v>4393</v>
      </c>
    </row>
    <row r="4396" spans="33:33" x14ac:dyDescent="0.25">
      <c r="AG4396">
        <v>4394</v>
      </c>
    </row>
    <row r="4397" spans="33:33" x14ac:dyDescent="0.25">
      <c r="AG4397">
        <v>4395</v>
      </c>
    </row>
    <row r="4398" spans="33:33" x14ac:dyDescent="0.25">
      <c r="AG4398">
        <v>4396</v>
      </c>
    </row>
    <row r="4399" spans="33:33" x14ac:dyDescent="0.25">
      <c r="AG4399">
        <v>4397</v>
      </c>
    </row>
    <row r="4400" spans="33:33" x14ac:dyDescent="0.25">
      <c r="AG4400">
        <v>4398</v>
      </c>
    </row>
    <row r="4401" spans="33:33" x14ac:dyDescent="0.25">
      <c r="AG4401">
        <v>4399</v>
      </c>
    </row>
    <row r="4402" spans="33:33" x14ac:dyDescent="0.25">
      <c r="AG4402">
        <v>4400</v>
      </c>
    </row>
    <row r="4403" spans="33:33" x14ac:dyDescent="0.25">
      <c r="AG4403">
        <v>4401</v>
      </c>
    </row>
    <row r="4404" spans="33:33" x14ac:dyDescent="0.25">
      <c r="AG4404">
        <v>4402</v>
      </c>
    </row>
    <row r="4405" spans="33:33" x14ac:dyDescent="0.25">
      <c r="AG4405">
        <v>4403</v>
      </c>
    </row>
    <row r="4406" spans="33:33" x14ac:dyDescent="0.25">
      <c r="AG4406">
        <v>4404</v>
      </c>
    </row>
    <row r="4407" spans="33:33" x14ac:dyDescent="0.25">
      <c r="AG4407">
        <v>4405</v>
      </c>
    </row>
    <row r="4408" spans="33:33" x14ac:dyDescent="0.25">
      <c r="AG4408">
        <v>4406</v>
      </c>
    </row>
    <row r="4409" spans="33:33" x14ac:dyDescent="0.25">
      <c r="AG4409">
        <v>4407</v>
      </c>
    </row>
    <row r="4410" spans="33:33" x14ac:dyDescent="0.25">
      <c r="AG4410">
        <v>4408</v>
      </c>
    </row>
    <row r="4411" spans="33:33" x14ac:dyDescent="0.25">
      <c r="AG4411">
        <v>4409</v>
      </c>
    </row>
    <row r="4412" spans="33:33" x14ac:dyDescent="0.25">
      <c r="AG4412">
        <v>4410</v>
      </c>
    </row>
    <row r="4413" spans="33:33" x14ac:dyDescent="0.25">
      <c r="AG4413">
        <v>4411</v>
      </c>
    </row>
    <row r="4414" spans="33:33" x14ac:dyDescent="0.25">
      <c r="AG4414">
        <v>4412</v>
      </c>
    </row>
    <row r="4415" spans="33:33" x14ac:dyDescent="0.25">
      <c r="AG4415">
        <v>4413</v>
      </c>
    </row>
    <row r="4416" spans="33:33" x14ac:dyDescent="0.25">
      <c r="AG4416">
        <v>4414</v>
      </c>
    </row>
    <row r="4417" spans="33:33" x14ac:dyDescent="0.25">
      <c r="AG4417">
        <v>4415</v>
      </c>
    </row>
    <row r="4418" spans="33:33" x14ac:dyDescent="0.25">
      <c r="AG4418">
        <v>4416</v>
      </c>
    </row>
    <row r="4419" spans="33:33" x14ac:dyDescent="0.25">
      <c r="AG4419">
        <v>4417</v>
      </c>
    </row>
    <row r="4420" spans="33:33" x14ac:dyDescent="0.25">
      <c r="AG4420">
        <v>4418</v>
      </c>
    </row>
    <row r="4421" spans="33:33" x14ac:dyDescent="0.25">
      <c r="AG4421">
        <v>4419</v>
      </c>
    </row>
    <row r="4422" spans="33:33" x14ac:dyDescent="0.25">
      <c r="AG4422">
        <v>4420</v>
      </c>
    </row>
    <row r="4423" spans="33:33" x14ac:dyDescent="0.25">
      <c r="AG4423">
        <v>4421</v>
      </c>
    </row>
    <row r="4424" spans="33:33" x14ac:dyDescent="0.25">
      <c r="AG4424">
        <v>4422</v>
      </c>
    </row>
    <row r="4425" spans="33:33" x14ac:dyDescent="0.25">
      <c r="AG4425">
        <v>4423</v>
      </c>
    </row>
    <row r="4426" spans="33:33" x14ac:dyDescent="0.25">
      <c r="AG4426">
        <v>4424</v>
      </c>
    </row>
    <row r="4427" spans="33:33" x14ac:dyDescent="0.25">
      <c r="AG4427">
        <v>4425</v>
      </c>
    </row>
    <row r="4428" spans="33:33" x14ac:dyDescent="0.25">
      <c r="AG4428">
        <v>4426</v>
      </c>
    </row>
    <row r="4429" spans="33:33" x14ac:dyDescent="0.25">
      <c r="AG4429">
        <v>4427</v>
      </c>
    </row>
    <row r="4430" spans="33:33" x14ac:dyDescent="0.25">
      <c r="AG4430">
        <v>4428</v>
      </c>
    </row>
    <row r="4431" spans="33:33" x14ac:dyDescent="0.25">
      <c r="AG4431">
        <v>4429</v>
      </c>
    </row>
    <row r="4432" spans="33:33" x14ac:dyDescent="0.25">
      <c r="AG4432">
        <v>4430</v>
      </c>
    </row>
    <row r="4433" spans="33:33" x14ac:dyDescent="0.25">
      <c r="AG4433">
        <v>4431</v>
      </c>
    </row>
    <row r="4434" spans="33:33" x14ac:dyDescent="0.25">
      <c r="AG4434">
        <v>4432</v>
      </c>
    </row>
    <row r="4435" spans="33:33" x14ac:dyDescent="0.25">
      <c r="AG4435">
        <v>4433</v>
      </c>
    </row>
    <row r="4436" spans="33:33" x14ac:dyDescent="0.25">
      <c r="AG4436">
        <v>4434</v>
      </c>
    </row>
    <row r="4437" spans="33:33" x14ac:dyDescent="0.25">
      <c r="AG4437">
        <v>4435</v>
      </c>
    </row>
    <row r="4438" spans="33:33" x14ac:dyDescent="0.25">
      <c r="AG4438">
        <v>4436</v>
      </c>
    </row>
    <row r="4439" spans="33:33" x14ac:dyDescent="0.25">
      <c r="AG4439">
        <v>4437</v>
      </c>
    </row>
    <row r="4440" spans="33:33" x14ac:dyDescent="0.25">
      <c r="AG4440">
        <v>4438</v>
      </c>
    </row>
    <row r="4441" spans="33:33" x14ac:dyDescent="0.25">
      <c r="AG4441">
        <v>4439</v>
      </c>
    </row>
    <row r="4442" spans="33:33" x14ac:dyDescent="0.25">
      <c r="AG4442">
        <v>4440</v>
      </c>
    </row>
    <row r="4443" spans="33:33" x14ac:dyDescent="0.25">
      <c r="AG4443">
        <v>4441</v>
      </c>
    </row>
    <row r="4444" spans="33:33" x14ac:dyDescent="0.25">
      <c r="AG4444">
        <v>4442</v>
      </c>
    </row>
    <row r="4445" spans="33:33" x14ac:dyDescent="0.25">
      <c r="AG4445">
        <v>4443</v>
      </c>
    </row>
    <row r="4446" spans="33:33" x14ac:dyDescent="0.25">
      <c r="AG4446">
        <v>4444</v>
      </c>
    </row>
    <row r="4447" spans="33:33" x14ac:dyDescent="0.25">
      <c r="AG4447">
        <v>4445</v>
      </c>
    </row>
    <row r="4448" spans="33:33" x14ac:dyDescent="0.25">
      <c r="AG4448">
        <v>4446</v>
      </c>
    </row>
    <row r="4449" spans="33:33" x14ac:dyDescent="0.25">
      <c r="AG4449">
        <v>4447</v>
      </c>
    </row>
    <row r="4450" spans="33:33" x14ac:dyDescent="0.25">
      <c r="AG4450">
        <v>4448</v>
      </c>
    </row>
    <row r="4451" spans="33:33" x14ac:dyDescent="0.25">
      <c r="AG4451">
        <v>4449</v>
      </c>
    </row>
    <row r="4452" spans="33:33" x14ac:dyDescent="0.25">
      <c r="AG4452">
        <v>4450</v>
      </c>
    </row>
    <row r="4453" spans="33:33" x14ac:dyDescent="0.25">
      <c r="AG4453">
        <v>4451</v>
      </c>
    </row>
    <row r="4454" spans="33:33" x14ac:dyDescent="0.25">
      <c r="AG4454">
        <v>4452</v>
      </c>
    </row>
    <row r="4455" spans="33:33" x14ac:dyDescent="0.25">
      <c r="AG4455">
        <v>4453</v>
      </c>
    </row>
    <row r="4456" spans="33:33" x14ac:dyDescent="0.25">
      <c r="AG4456">
        <v>4454</v>
      </c>
    </row>
    <row r="4457" spans="33:33" x14ac:dyDescent="0.25">
      <c r="AG4457">
        <v>4455</v>
      </c>
    </row>
    <row r="4458" spans="33:33" x14ac:dyDescent="0.25">
      <c r="AG4458">
        <v>4456</v>
      </c>
    </row>
    <row r="4459" spans="33:33" x14ac:dyDescent="0.25">
      <c r="AG4459">
        <v>4457</v>
      </c>
    </row>
    <row r="4460" spans="33:33" x14ac:dyDescent="0.25">
      <c r="AG4460">
        <v>4458</v>
      </c>
    </row>
    <row r="4461" spans="33:33" x14ac:dyDescent="0.25">
      <c r="AG4461">
        <v>4459</v>
      </c>
    </row>
    <row r="4462" spans="33:33" x14ac:dyDescent="0.25">
      <c r="AG4462">
        <v>4460</v>
      </c>
    </row>
    <row r="4463" spans="33:33" x14ac:dyDescent="0.25">
      <c r="AG4463">
        <v>4461</v>
      </c>
    </row>
    <row r="4464" spans="33:33" x14ac:dyDescent="0.25">
      <c r="AG4464">
        <v>4462</v>
      </c>
    </row>
    <row r="4465" spans="33:33" x14ac:dyDescent="0.25">
      <c r="AG4465">
        <v>4463</v>
      </c>
    </row>
    <row r="4466" spans="33:33" x14ac:dyDescent="0.25">
      <c r="AG4466">
        <v>4464</v>
      </c>
    </row>
    <row r="4467" spans="33:33" x14ac:dyDescent="0.25">
      <c r="AG4467">
        <v>4465</v>
      </c>
    </row>
    <row r="4468" spans="33:33" x14ac:dyDescent="0.25">
      <c r="AG4468">
        <v>4466</v>
      </c>
    </row>
    <row r="4469" spans="33:33" x14ac:dyDescent="0.25">
      <c r="AG4469">
        <v>4467</v>
      </c>
    </row>
    <row r="4470" spans="33:33" x14ac:dyDescent="0.25">
      <c r="AG4470">
        <v>4468</v>
      </c>
    </row>
    <row r="4471" spans="33:33" x14ac:dyDescent="0.25">
      <c r="AG4471">
        <v>4469</v>
      </c>
    </row>
    <row r="4472" spans="33:33" x14ac:dyDescent="0.25">
      <c r="AG4472">
        <v>4470</v>
      </c>
    </row>
    <row r="4473" spans="33:33" x14ac:dyDescent="0.25">
      <c r="AG4473">
        <v>4471</v>
      </c>
    </row>
    <row r="4474" spans="33:33" x14ac:dyDescent="0.25">
      <c r="AG4474">
        <v>4472</v>
      </c>
    </row>
    <row r="4475" spans="33:33" x14ac:dyDescent="0.25">
      <c r="AG4475">
        <v>4473</v>
      </c>
    </row>
    <row r="4476" spans="33:33" x14ac:dyDescent="0.25">
      <c r="AG4476">
        <v>4474</v>
      </c>
    </row>
    <row r="4477" spans="33:33" x14ac:dyDescent="0.25">
      <c r="AG4477">
        <v>4475</v>
      </c>
    </row>
    <row r="4478" spans="33:33" x14ac:dyDescent="0.25">
      <c r="AG4478">
        <v>4476</v>
      </c>
    </row>
    <row r="4479" spans="33:33" x14ac:dyDescent="0.25">
      <c r="AG4479">
        <v>4477</v>
      </c>
    </row>
    <row r="4480" spans="33:33" x14ac:dyDescent="0.25">
      <c r="AG4480">
        <v>4478</v>
      </c>
    </row>
    <row r="4481" spans="33:33" x14ac:dyDescent="0.25">
      <c r="AG4481">
        <v>4479</v>
      </c>
    </row>
    <row r="4482" spans="33:33" x14ac:dyDescent="0.25">
      <c r="AG4482">
        <v>4480</v>
      </c>
    </row>
    <row r="4483" spans="33:33" x14ac:dyDescent="0.25">
      <c r="AG4483">
        <v>4481</v>
      </c>
    </row>
    <row r="4484" spans="33:33" x14ac:dyDescent="0.25">
      <c r="AG4484">
        <v>4482</v>
      </c>
    </row>
    <row r="4485" spans="33:33" x14ac:dyDescent="0.25">
      <c r="AG4485">
        <v>4483</v>
      </c>
    </row>
    <row r="4486" spans="33:33" x14ac:dyDescent="0.25">
      <c r="AG4486">
        <v>4484</v>
      </c>
    </row>
    <row r="4487" spans="33:33" x14ac:dyDescent="0.25">
      <c r="AG4487">
        <v>4485</v>
      </c>
    </row>
    <row r="4488" spans="33:33" x14ac:dyDescent="0.25">
      <c r="AG4488">
        <v>4486</v>
      </c>
    </row>
    <row r="4489" spans="33:33" x14ac:dyDescent="0.25">
      <c r="AG4489">
        <v>4487</v>
      </c>
    </row>
    <row r="4490" spans="33:33" x14ac:dyDescent="0.25">
      <c r="AG4490">
        <v>4488</v>
      </c>
    </row>
    <row r="4491" spans="33:33" x14ac:dyDescent="0.25">
      <c r="AG4491">
        <v>4489</v>
      </c>
    </row>
    <row r="4492" spans="33:33" x14ac:dyDescent="0.25">
      <c r="AG4492">
        <v>4490</v>
      </c>
    </row>
    <row r="4493" spans="33:33" x14ac:dyDescent="0.25">
      <c r="AG4493">
        <v>4491</v>
      </c>
    </row>
    <row r="4494" spans="33:33" x14ac:dyDescent="0.25">
      <c r="AG4494">
        <v>4492</v>
      </c>
    </row>
    <row r="4495" spans="33:33" x14ac:dyDescent="0.25">
      <c r="AG4495">
        <v>4493</v>
      </c>
    </row>
    <row r="4496" spans="33:33" x14ac:dyDescent="0.25">
      <c r="AG4496">
        <v>4494</v>
      </c>
    </row>
    <row r="4497" spans="33:33" x14ac:dyDescent="0.25">
      <c r="AG4497">
        <v>4495</v>
      </c>
    </row>
    <row r="4498" spans="33:33" x14ac:dyDescent="0.25">
      <c r="AG4498">
        <v>4496</v>
      </c>
    </row>
    <row r="4499" spans="33:33" x14ac:dyDescent="0.25">
      <c r="AG4499">
        <v>4497</v>
      </c>
    </row>
    <row r="4500" spans="33:33" x14ac:dyDescent="0.25">
      <c r="AG4500">
        <v>4498</v>
      </c>
    </row>
    <row r="4501" spans="33:33" x14ac:dyDescent="0.25">
      <c r="AG4501">
        <v>4499</v>
      </c>
    </row>
    <row r="4502" spans="33:33" x14ac:dyDescent="0.25">
      <c r="AG4502">
        <v>4500</v>
      </c>
    </row>
    <row r="4503" spans="33:33" x14ac:dyDescent="0.25">
      <c r="AG4503">
        <v>4501</v>
      </c>
    </row>
    <row r="4504" spans="33:33" x14ac:dyDescent="0.25">
      <c r="AG4504">
        <v>4502</v>
      </c>
    </row>
    <row r="4505" spans="33:33" x14ac:dyDescent="0.25">
      <c r="AG4505">
        <v>4503</v>
      </c>
    </row>
    <row r="4506" spans="33:33" x14ac:dyDescent="0.25">
      <c r="AG4506">
        <v>4504</v>
      </c>
    </row>
    <row r="4507" spans="33:33" x14ac:dyDescent="0.25">
      <c r="AG4507">
        <v>4505</v>
      </c>
    </row>
    <row r="4508" spans="33:33" x14ac:dyDescent="0.25">
      <c r="AG4508">
        <v>4506</v>
      </c>
    </row>
    <row r="4509" spans="33:33" x14ac:dyDescent="0.25">
      <c r="AG4509">
        <v>4507</v>
      </c>
    </row>
    <row r="4510" spans="33:33" x14ac:dyDescent="0.25">
      <c r="AG4510">
        <v>4508</v>
      </c>
    </row>
    <row r="4511" spans="33:33" x14ac:dyDescent="0.25">
      <c r="AG4511">
        <v>4509</v>
      </c>
    </row>
    <row r="4512" spans="33:33" x14ac:dyDescent="0.25">
      <c r="AG4512">
        <v>4510</v>
      </c>
    </row>
    <row r="4513" spans="33:33" x14ac:dyDescent="0.25">
      <c r="AG4513">
        <v>4511</v>
      </c>
    </row>
    <row r="4514" spans="33:33" x14ac:dyDescent="0.25">
      <c r="AG4514">
        <v>4512</v>
      </c>
    </row>
    <row r="4515" spans="33:33" x14ac:dyDescent="0.25">
      <c r="AG4515">
        <v>4513</v>
      </c>
    </row>
    <row r="4516" spans="33:33" x14ac:dyDescent="0.25">
      <c r="AG4516">
        <v>4514</v>
      </c>
    </row>
    <row r="4517" spans="33:33" x14ac:dyDescent="0.25">
      <c r="AG4517">
        <v>4515</v>
      </c>
    </row>
    <row r="4518" spans="33:33" x14ac:dyDescent="0.25">
      <c r="AG4518">
        <v>4516</v>
      </c>
    </row>
    <row r="4519" spans="33:33" x14ac:dyDescent="0.25">
      <c r="AG4519">
        <v>4517</v>
      </c>
    </row>
    <row r="4520" spans="33:33" x14ac:dyDescent="0.25">
      <c r="AG4520">
        <v>4518</v>
      </c>
    </row>
    <row r="4521" spans="33:33" x14ac:dyDescent="0.25">
      <c r="AG4521">
        <v>4519</v>
      </c>
    </row>
    <row r="4522" spans="33:33" x14ac:dyDescent="0.25">
      <c r="AG4522">
        <v>4520</v>
      </c>
    </row>
    <row r="4523" spans="33:33" x14ac:dyDescent="0.25">
      <c r="AG4523">
        <v>4521</v>
      </c>
    </row>
    <row r="4524" spans="33:33" x14ac:dyDescent="0.25">
      <c r="AG4524">
        <v>4522</v>
      </c>
    </row>
    <row r="4525" spans="33:33" x14ac:dyDescent="0.25">
      <c r="AG4525">
        <v>4523</v>
      </c>
    </row>
    <row r="4526" spans="33:33" x14ac:dyDescent="0.25">
      <c r="AG4526">
        <v>4524</v>
      </c>
    </row>
    <row r="4527" spans="33:33" x14ac:dyDescent="0.25">
      <c r="AG4527">
        <v>4525</v>
      </c>
    </row>
    <row r="4528" spans="33:33" x14ac:dyDescent="0.25">
      <c r="AG4528">
        <v>4526</v>
      </c>
    </row>
    <row r="4529" spans="33:33" x14ac:dyDescent="0.25">
      <c r="AG4529">
        <v>4527</v>
      </c>
    </row>
    <row r="4530" spans="33:33" x14ac:dyDescent="0.25">
      <c r="AG4530">
        <v>4528</v>
      </c>
    </row>
    <row r="4531" spans="33:33" x14ac:dyDescent="0.25">
      <c r="AG4531">
        <v>4529</v>
      </c>
    </row>
    <row r="4532" spans="33:33" x14ac:dyDescent="0.25">
      <c r="AG4532">
        <v>4530</v>
      </c>
    </row>
    <row r="4533" spans="33:33" x14ac:dyDescent="0.25">
      <c r="AG4533">
        <v>4531</v>
      </c>
    </row>
    <row r="4534" spans="33:33" x14ac:dyDescent="0.25">
      <c r="AG4534">
        <v>4532</v>
      </c>
    </row>
    <row r="4535" spans="33:33" x14ac:dyDescent="0.25">
      <c r="AG4535">
        <v>4533</v>
      </c>
    </row>
    <row r="4536" spans="33:33" x14ac:dyDescent="0.25">
      <c r="AG4536">
        <v>4534</v>
      </c>
    </row>
    <row r="4537" spans="33:33" x14ac:dyDescent="0.25">
      <c r="AG4537">
        <v>4535</v>
      </c>
    </row>
    <row r="4538" spans="33:33" x14ac:dyDescent="0.25">
      <c r="AG4538">
        <v>4536</v>
      </c>
    </row>
    <row r="4539" spans="33:33" x14ac:dyDescent="0.25">
      <c r="AG4539">
        <v>4537</v>
      </c>
    </row>
    <row r="4540" spans="33:33" x14ac:dyDescent="0.25">
      <c r="AG4540">
        <v>4538</v>
      </c>
    </row>
    <row r="4541" spans="33:33" x14ac:dyDescent="0.25">
      <c r="AG4541">
        <v>4539</v>
      </c>
    </row>
    <row r="4542" spans="33:33" x14ac:dyDescent="0.25">
      <c r="AG4542">
        <v>4540</v>
      </c>
    </row>
    <row r="4543" spans="33:33" x14ac:dyDescent="0.25">
      <c r="AG4543">
        <v>4541</v>
      </c>
    </row>
    <row r="4544" spans="33:33" x14ac:dyDescent="0.25">
      <c r="AG4544">
        <v>4542</v>
      </c>
    </row>
    <row r="4545" spans="33:33" x14ac:dyDescent="0.25">
      <c r="AG4545">
        <v>4543</v>
      </c>
    </row>
    <row r="4546" spans="33:33" x14ac:dyDescent="0.25">
      <c r="AG4546">
        <v>4544</v>
      </c>
    </row>
    <row r="4547" spans="33:33" x14ac:dyDescent="0.25">
      <c r="AG4547">
        <v>4545</v>
      </c>
    </row>
    <row r="4548" spans="33:33" x14ac:dyDescent="0.25">
      <c r="AG4548">
        <v>4546</v>
      </c>
    </row>
    <row r="4549" spans="33:33" x14ac:dyDescent="0.25">
      <c r="AG4549">
        <v>4547</v>
      </c>
    </row>
    <row r="4550" spans="33:33" x14ac:dyDescent="0.25">
      <c r="AG4550">
        <v>4548</v>
      </c>
    </row>
    <row r="4551" spans="33:33" x14ac:dyDescent="0.25">
      <c r="AG4551">
        <v>4549</v>
      </c>
    </row>
    <row r="4552" spans="33:33" x14ac:dyDescent="0.25">
      <c r="AG4552">
        <v>4550</v>
      </c>
    </row>
    <row r="4553" spans="33:33" x14ac:dyDescent="0.25">
      <c r="AG4553">
        <v>4551</v>
      </c>
    </row>
    <row r="4554" spans="33:33" x14ac:dyDescent="0.25">
      <c r="AG4554">
        <v>4552</v>
      </c>
    </row>
    <row r="4555" spans="33:33" x14ac:dyDescent="0.25">
      <c r="AG4555">
        <v>4553</v>
      </c>
    </row>
    <row r="4556" spans="33:33" x14ac:dyDescent="0.25">
      <c r="AG4556">
        <v>4554</v>
      </c>
    </row>
    <row r="4557" spans="33:33" x14ac:dyDescent="0.25">
      <c r="AG4557">
        <v>4555</v>
      </c>
    </row>
    <row r="4558" spans="33:33" x14ac:dyDescent="0.25">
      <c r="AG4558">
        <v>4556</v>
      </c>
    </row>
    <row r="4559" spans="33:33" x14ac:dyDescent="0.25">
      <c r="AG4559">
        <v>4557</v>
      </c>
    </row>
    <row r="4560" spans="33:33" x14ac:dyDescent="0.25">
      <c r="AG4560">
        <v>4558</v>
      </c>
    </row>
    <row r="4561" spans="33:33" x14ac:dyDescent="0.25">
      <c r="AG4561">
        <v>4559</v>
      </c>
    </row>
    <row r="4562" spans="33:33" x14ac:dyDescent="0.25">
      <c r="AG4562">
        <v>4560</v>
      </c>
    </row>
    <row r="4563" spans="33:33" x14ac:dyDescent="0.25">
      <c r="AG4563">
        <v>4561</v>
      </c>
    </row>
    <row r="4564" spans="33:33" x14ac:dyDescent="0.25">
      <c r="AG4564">
        <v>4562</v>
      </c>
    </row>
    <row r="4565" spans="33:33" x14ac:dyDescent="0.25">
      <c r="AG4565">
        <v>4563</v>
      </c>
    </row>
    <row r="4566" spans="33:33" x14ac:dyDescent="0.25">
      <c r="AG4566">
        <v>4564</v>
      </c>
    </row>
    <row r="4567" spans="33:33" x14ac:dyDescent="0.25">
      <c r="AG4567">
        <v>4565</v>
      </c>
    </row>
    <row r="4568" spans="33:33" x14ac:dyDescent="0.25">
      <c r="AG4568">
        <v>4566</v>
      </c>
    </row>
    <row r="4569" spans="33:33" x14ac:dyDescent="0.25">
      <c r="AG4569">
        <v>4567</v>
      </c>
    </row>
    <row r="4570" spans="33:33" x14ac:dyDescent="0.25">
      <c r="AG4570">
        <v>4568</v>
      </c>
    </row>
    <row r="4571" spans="33:33" x14ac:dyDescent="0.25">
      <c r="AG4571">
        <v>4569</v>
      </c>
    </row>
    <row r="4572" spans="33:33" x14ac:dyDescent="0.25">
      <c r="AG4572">
        <v>4570</v>
      </c>
    </row>
    <row r="4573" spans="33:33" x14ac:dyDescent="0.25">
      <c r="AG4573">
        <v>4571</v>
      </c>
    </row>
    <row r="4574" spans="33:33" x14ac:dyDescent="0.25">
      <c r="AG4574">
        <v>4572</v>
      </c>
    </row>
    <row r="4575" spans="33:33" x14ac:dyDescent="0.25">
      <c r="AG4575">
        <v>4573</v>
      </c>
    </row>
    <row r="4576" spans="33:33" x14ac:dyDescent="0.25">
      <c r="AG4576">
        <v>4574</v>
      </c>
    </row>
    <row r="4577" spans="33:33" x14ac:dyDescent="0.25">
      <c r="AG4577">
        <v>4575</v>
      </c>
    </row>
    <row r="4578" spans="33:33" x14ac:dyDescent="0.25">
      <c r="AG4578">
        <v>4576</v>
      </c>
    </row>
    <row r="4579" spans="33:33" x14ac:dyDescent="0.25">
      <c r="AG4579">
        <v>4577</v>
      </c>
    </row>
    <row r="4580" spans="33:33" x14ac:dyDescent="0.25">
      <c r="AG4580">
        <v>4578</v>
      </c>
    </row>
    <row r="4581" spans="33:33" x14ac:dyDescent="0.25">
      <c r="AG4581">
        <v>4579</v>
      </c>
    </row>
    <row r="4582" spans="33:33" x14ac:dyDescent="0.25">
      <c r="AG4582">
        <v>4580</v>
      </c>
    </row>
    <row r="4583" spans="33:33" x14ac:dyDescent="0.25">
      <c r="AG4583">
        <v>4581</v>
      </c>
    </row>
    <row r="4584" spans="33:33" x14ac:dyDescent="0.25">
      <c r="AG4584">
        <v>4582</v>
      </c>
    </row>
    <row r="4585" spans="33:33" x14ac:dyDescent="0.25">
      <c r="AG4585">
        <v>4583</v>
      </c>
    </row>
    <row r="4586" spans="33:33" x14ac:dyDescent="0.25">
      <c r="AG4586">
        <v>4584</v>
      </c>
    </row>
    <row r="4587" spans="33:33" x14ac:dyDescent="0.25">
      <c r="AG4587">
        <v>4585</v>
      </c>
    </row>
    <row r="4588" spans="33:33" x14ac:dyDescent="0.25">
      <c r="AG4588">
        <v>4586</v>
      </c>
    </row>
    <row r="4589" spans="33:33" x14ac:dyDescent="0.25">
      <c r="AG4589">
        <v>4587</v>
      </c>
    </row>
    <row r="4590" spans="33:33" x14ac:dyDescent="0.25">
      <c r="AG4590">
        <v>4588</v>
      </c>
    </row>
    <row r="4591" spans="33:33" x14ac:dyDescent="0.25">
      <c r="AG4591">
        <v>4589</v>
      </c>
    </row>
    <row r="4592" spans="33:33" x14ac:dyDescent="0.25">
      <c r="AG4592">
        <v>4590</v>
      </c>
    </row>
    <row r="4593" spans="33:33" x14ac:dyDescent="0.25">
      <c r="AG4593">
        <v>4591</v>
      </c>
    </row>
    <row r="4594" spans="33:33" x14ac:dyDescent="0.25">
      <c r="AG4594">
        <v>4592</v>
      </c>
    </row>
    <row r="4595" spans="33:33" x14ac:dyDescent="0.25">
      <c r="AG4595">
        <v>4593</v>
      </c>
    </row>
    <row r="4596" spans="33:33" x14ac:dyDescent="0.25">
      <c r="AG4596">
        <v>4594</v>
      </c>
    </row>
    <row r="4597" spans="33:33" x14ac:dyDescent="0.25">
      <c r="AG4597">
        <v>4595</v>
      </c>
    </row>
    <row r="4598" spans="33:33" x14ac:dyDescent="0.25">
      <c r="AG4598">
        <v>4596</v>
      </c>
    </row>
    <row r="4599" spans="33:33" x14ac:dyDescent="0.25">
      <c r="AG4599">
        <v>4597</v>
      </c>
    </row>
    <row r="4600" spans="33:33" x14ac:dyDescent="0.25">
      <c r="AG4600">
        <v>4598</v>
      </c>
    </row>
    <row r="4601" spans="33:33" x14ac:dyDescent="0.25">
      <c r="AG4601">
        <v>4599</v>
      </c>
    </row>
    <row r="4602" spans="33:33" x14ac:dyDescent="0.25">
      <c r="AG4602">
        <v>4600</v>
      </c>
    </row>
    <row r="4603" spans="33:33" x14ac:dyDescent="0.25">
      <c r="AG4603">
        <v>4601</v>
      </c>
    </row>
    <row r="4604" spans="33:33" x14ac:dyDescent="0.25">
      <c r="AG4604">
        <v>4602</v>
      </c>
    </row>
    <row r="4605" spans="33:33" x14ac:dyDescent="0.25">
      <c r="AG4605">
        <v>4603</v>
      </c>
    </row>
    <row r="4606" spans="33:33" x14ac:dyDescent="0.25">
      <c r="AG4606">
        <v>4604</v>
      </c>
    </row>
    <row r="4607" spans="33:33" x14ac:dyDescent="0.25">
      <c r="AG4607">
        <v>4605</v>
      </c>
    </row>
    <row r="4608" spans="33:33" x14ac:dyDescent="0.25">
      <c r="AG4608">
        <v>4606</v>
      </c>
    </row>
    <row r="4609" spans="33:33" x14ac:dyDescent="0.25">
      <c r="AG4609">
        <v>4607</v>
      </c>
    </row>
    <row r="4610" spans="33:33" x14ac:dyDescent="0.25">
      <c r="AG4610">
        <v>4608</v>
      </c>
    </row>
    <row r="4611" spans="33:33" x14ac:dyDescent="0.25">
      <c r="AG4611">
        <v>4609</v>
      </c>
    </row>
    <row r="4612" spans="33:33" x14ac:dyDescent="0.25">
      <c r="AG4612">
        <v>4610</v>
      </c>
    </row>
    <row r="4613" spans="33:33" x14ac:dyDescent="0.25">
      <c r="AG4613">
        <v>4611</v>
      </c>
    </row>
    <row r="4614" spans="33:33" x14ac:dyDescent="0.25">
      <c r="AG4614">
        <v>4612</v>
      </c>
    </row>
    <row r="4615" spans="33:33" x14ac:dyDescent="0.25">
      <c r="AG4615">
        <v>4613</v>
      </c>
    </row>
    <row r="4616" spans="33:33" x14ac:dyDescent="0.25">
      <c r="AG4616">
        <v>4614</v>
      </c>
    </row>
    <row r="4617" spans="33:33" x14ac:dyDescent="0.25">
      <c r="AG4617">
        <v>4615</v>
      </c>
    </row>
    <row r="4618" spans="33:33" x14ac:dyDescent="0.25">
      <c r="AG4618">
        <v>4616</v>
      </c>
    </row>
    <row r="4619" spans="33:33" x14ac:dyDescent="0.25">
      <c r="AG4619">
        <v>4617</v>
      </c>
    </row>
    <row r="4620" spans="33:33" x14ac:dyDescent="0.25">
      <c r="AG4620">
        <v>4618</v>
      </c>
    </row>
    <row r="4621" spans="33:33" x14ac:dyDescent="0.25">
      <c r="AG4621">
        <v>4619</v>
      </c>
    </row>
    <row r="4622" spans="33:33" x14ac:dyDescent="0.25">
      <c r="AG4622">
        <v>4620</v>
      </c>
    </row>
    <row r="4623" spans="33:33" x14ac:dyDescent="0.25">
      <c r="AG4623">
        <v>4621</v>
      </c>
    </row>
    <row r="4624" spans="33:33" x14ac:dyDescent="0.25">
      <c r="AG4624">
        <v>4622</v>
      </c>
    </row>
    <row r="4625" spans="33:33" x14ac:dyDescent="0.25">
      <c r="AG4625">
        <v>4623</v>
      </c>
    </row>
    <row r="4626" spans="33:33" x14ac:dyDescent="0.25">
      <c r="AG4626">
        <v>4624</v>
      </c>
    </row>
    <row r="4627" spans="33:33" x14ac:dyDescent="0.25">
      <c r="AG4627">
        <v>4625</v>
      </c>
    </row>
    <row r="4628" spans="33:33" x14ac:dyDescent="0.25">
      <c r="AG4628">
        <v>4626</v>
      </c>
    </row>
    <row r="4629" spans="33:33" x14ac:dyDescent="0.25">
      <c r="AG4629">
        <v>4627</v>
      </c>
    </row>
    <row r="4630" spans="33:33" x14ac:dyDescent="0.25">
      <c r="AG4630">
        <v>4628</v>
      </c>
    </row>
    <row r="4631" spans="33:33" x14ac:dyDescent="0.25">
      <c r="AG4631">
        <v>4629</v>
      </c>
    </row>
    <row r="4632" spans="33:33" x14ac:dyDescent="0.25">
      <c r="AG4632">
        <v>4630</v>
      </c>
    </row>
    <row r="4633" spans="33:33" x14ac:dyDescent="0.25">
      <c r="AG4633">
        <v>4631</v>
      </c>
    </row>
    <row r="4634" spans="33:33" x14ac:dyDescent="0.25">
      <c r="AG4634">
        <v>4632</v>
      </c>
    </row>
    <row r="4635" spans="33:33" x14ac:dyDescent="0.25">
      <c r="AG4635">
        <v>4633</v>
      </c>
    </row>
    <row r="4636" spans="33:33" x14ac:dyDescent="0.25">
      <c r="AG4636">
        <v>4634</v>
      </c>
    </row>
    <row r="4637" spans="33:33" x14ac:dyDescent="0.25">
      <c r="AG4637">
        <v>4635</v>
      </c>
    </row>
    <row r="4638" spans="33:33" x14ac:dyDescent="0.25">
      <c r="AG4638">
        <v>4636</v>
      </c>
    </row>
    <row r="4639" spans="33:33" x14ac:dyDescent="0.25">
      <c r="AG4639">
        <v>4637</v>
      </c>
    </row>
    <row r="4640" spans="33:33" x14ac:dyDescent="0.25">
      <c r="AG4640">
        <v>4638</v>
      </c>
    </row>
    <row r="4641" spans="33:33" x14ac:dyDescent="0.25">
      <c r="AG4641">
        <v>4639</v>
      </c>
    </row>
    <row r="4642" spans="33:33" x14ac:dyDescent="0.25">
      <c r="AG4642">
        <v>4640</v>
      </c>
    </row>
    <row r="4643" spans="33:33" x14ac:dyDescent="0.25">
      <c r="AG4643">
        <v>4641</v>
      </c>
    </row>
    <row r="4644" spans="33:33" x14ac:dyDescent="0.25">
      <c r="AG4644">
        <v>4642</v>
      </c>
    </row>
    <row r="4645" spans="33:33" x14ac:dyDescent="0.25">
      <c r="AG4645">
        <v>4643</v>
      </c>
    </row>
    <row r="4646" spans="33:33" x14ac:dyDescent="0.25">
      <c r="AG4646">
        <v>4644</v>
      </c>
    </row>
    <row r="4647" spans="33:33" x14ac:dyDescent="0.25">
      <c r="AG4647">
        <v>4645</v>
      </c>
    </row>
    <row r="4648" spans="33:33" x14ac:dyDescent="0.25">
      <c r="AG4648">
        <v>4646</v>
      </c>
    </row>
    <row r="4649" spans="33:33" x14ac:dyDescent="0.25">
      <c r="AG4649">
        <v>4647</v>
      </c>
    </row>
    <row r="4650" spans="33:33" x14ac:dyDescent="0.25">
      <c r="AG4650">
        <v>4648</v>
      </c>
    </row>
    <row r="4651" spans="33:33" x14ac:dyDescent="0.25">
      <c r="AG4651">
        <v>4649</v>
      </c>
    </row>
    <row r="4652" spans="33:33" x14ac:dyDescent="0.25">
      <c r="AG4652">
        <v>4650</v>
      </c>
    </row>
    <row r="4653" spans="33:33" x14ac:dyDescent="0.25">
      <c r="AG4653">
        <v>4651</v>
      </c>
    </row>
    <row r="4654" spans="33:33" x14ac:dyDescent="0.25">
      <c r="AG4654">
        <v>4652</v>
      </c>
    </row>
    <row r="4655" spans="33:33" x14ac:dyDescent="0.25">
      <c r="AG4655">
        <v>4653</v>
      </c>
    </row>
    <row r="4656" spans="33:33" x14ac:dyDescent="0.25">
      <c r="AG4656">
        <v>4654</v>
      </c>
    </row>
    <row r="4657" spans="33:33" x14ac:dyDescent="0.25">
      <c r="AG4657">
        <v>4655</v>
      </c>
    </row>
    <row r="4658" spans="33:33" x14ac:dyDescent="0.25">
      <c r="AG4658">
        <v>4656</v>
      </c>
    </row>
    <row r="4659" spans="33:33" x14ac:dyDescent="0.25">
      <c r="AG4659">
        <v>4657</v>
      </c>
    </row>
    <row r="4660" spans="33:33" x14ac:dyDescent="0.25">
      <c r="AG4660">
        <v>4658</v>
      </c>
    </row>
    <row r="4661" spans="33:33" x14ac:dyDescent="0.25">
      <c r="AG4661">
        <v>4659</v>
      </c>
    </row>
    <row r="4662" spans="33:33" x14ac:dyDescent="0.25">
      <c r="AG4662">
        <v>4660</v>
      </c>
    </row>
    <row r="4663" spans="33:33" x14ac:dyDescent="0.25">
      <c r="AG4663">
        <v>4661</v>
      </c>
    </row>
    <row r="4664" spans="33:33" x14ac:dyDescent="0.25">
      <c r="AG4664">
        <v>4662</v>
      </c>
    </row>
    <row r="4665" spans="33:33" x14ac:dyDescent="0.25">
      <c r="AG4665">
        <v>4663</v>
      </c>
    </row>
    <row r="4666" spans="33:33" x14ac:dyDescent="0.25">
      <c r="AG4666">
        <v>4664</v>
      </c>
    </row>
    <row r="4667" spans="33:33" x14ac:dyDescent="0.25">
      <c r="AG4667">
        <v>4665</v>
      </c>
    </row>
    <row r="4668" spans="33:33" x14ac:dyDescent="0.25">
      <c r="AG4668">
        <v>4666</v>
      </c>
    </row>
    <row r="4669" spans="33:33" x14ac:dyDescent="0.25">
      <c r="AG4669">
        <v>4667</v>
      </c>
    </row>
    <row r="4670" spans="33:33" x14ac:dyDescent="0.25">
      <c r="AG4670">
        <v>4668</v>
      </c>
    </row>
    <row r="4671" spans="33:33" x14ac:dyDescent="0.25">
      <c r="AG4671">
        <v>4669</v>
      </c>
    </row>
    <row r="4672" spans="33:33" x14ac:dyDescent="0.25">
      <c r="AG4672">
        <v>4670</v>
      </c>
    </row>
    <row r="4673" spans="33:33" x14ac:dyDescent="0.25">
      <c r="AG4673">
        <v>4671</v>
      </c>
    </row>
    <row r="4674" spans="33:33" x14ac:dyDescent="0.25">
      <c r="AG4674">
        <v>4672</v>
      </c>
    </row>
    <row r="4675" spans="33:33" x14ac:dyDescent="0.25">
      <c r="AG4675">
        <v>4673</v>
      </c>
    </row>
    <row r="4676" spans="33:33" x14ac:dyDescent="0.25">
      <c r="AG4676">
        <v>4674</v>
      </c>
    </row>
    <row r="4677" spans="33:33" x14ac:dyDescent="0.25">
      <c r="AG4677">
        <v>4675</v>
      </c>
    </row>
    <row r="4678" spans="33:33" x14ac:dyDescent="0.25">
      <c r="AG4678">
        <v>4676</v>
      </c>
    </row>
    <row r="4679" spans="33:33" x14ac:dyDescent="0.25">
      <c r="AG4679">
        <v>4677</v>
      </c>
    </row>
    <row r="4680" spans="33:33" x14ac:dyDescent="0.25">
      <c r="AG4680">
        <v>4678</v>
      </c>
    </row>
    <row r="4681" spans="33:33" x14ac:dyDescent="0.25">
      <c r="AG4681">
        <v>4679</v>
      </c>
    </row>
    <row r="4682" spans="33:33" x14ac:dyDescent="0.25">
      <c r="AG4682">
        <v>4680</v>
      </c>
    </row>
    <row r="4683" spans="33:33" x14ac:dyDescent="0.25">
      <c r="AG4683">
        <v>4681</v>
      </c>
    </row>
    <row r="4684" spans="33:33" x14ac:dyDescent="0.25">
      <c r="AG4684">
        <v>4682</v>
      </c>
    </row>
    <row r="4685" spans="33:33" x14ac:dyDescent="0.25">
      <c r="AG4685">
        <v>4683</v>
      </c>
    </row>
    <row r="4686" spans="33:33" x14ac:dyDescent="0.25">
      <c r="AG4686">
        <v>4684</v>
      </c>
    </row>
    <row r="4687" spans="33:33" x14ac:dyDescent="0.25">
      <c r="AG4687">
        <v>4685</v>
      </c>
    </row>
    <row r="4688" spans="33:33" x14ac:dyDescent="0.25">
      <c r="AG4688">
        <v>4686</v>
      </c>
    </row>
    <row r="4689" spans="33:33" x14ac:dyDescent="0.25">
      <c r="AG4689">
        <v>4687</v>
      </c>
    </row>
    <row r="4690" spans="33:33" x14ac:dyDescent="0.25">
      <c r="AG4690">
        <v>4688</v>
      </c>
    </row>
    <row r="4691" spans="33:33" x14ac:dyDescent="0.25">
      <c r="AG4691">
        <v>4689</v>
      </c>
    </row>
    <row r="4692" spans="33:33" x14ac:dyDescent="0.25">
      <c r="AG4692">
        <v>4690</v>
      </c>
    </row>
    <row r="4693" spans="33:33" x14ac:dyDescent="0.25">
      <c r="AG4693">
        <v>4691</v>
      </c>
    </row>
    <row r="4694" spans="33:33" x14ac:dyDescent="0.25">
      <c r="AG4694">
        <v>4692</v>
      </c>
    </row>
    <row r="4695" spans="33:33" x14ac:dyDescent="0.25">
      <c r="AG4695">
        <v>4693</v>
      </c>
    </row>
    <row r="4696" spans="33:33" x14ac:dyDescent="0.25">
      <c r="AG4696">
        <v>4694</v>
      </c>
    </row>
    <row r="4697" spans="33:33" x14ac:dyDescent="0.25">
      <c r="AG4697">
        <v>4695</v>
      </c>
    </row>
    <row r="4698" spans="33:33" x14ac:dyDescent="0.25">
      <c r="AG4698">
        <v>4696</v>
      </c>
    </row>
    <row r="4699" spans="33:33" x14ac:dyDescent="0.25">
      <c r="AG4699">
        <v>4697</v>
      </c>
    </row>
    <row r="4700" spans="33:33" x14ac:dyDescent="0.25">
      <c r="AG4700">
        <v>4698</v>
      </c>
    </row>
    <row r="4701" spans="33:33" x14ac:dyDescent="0.25">
      <c r="AG4701">
        <v>4699</v>
      </c>
    </row>
    <row r="4702" spans="33:33" x14ac:dyDescent="0.25">
      <c r="AG4702">
        <v>4700</v>
      </c>
    </row>
    <row r="4703" spans="33:33" x14ac:dyDescent="0.25">
      <c r="AG4703">
        <v>4701</v>
      </c>
    </row>
    <row r="4704" spans="33:33" x14ac:dyDescent="0.25">
      <c r="AG4704">
        <v>4702</v>
      </c>
    </row>
    <row r="4705" spans="33:33" x14ac:dyDescent="0.25">
      <c r="AG4705">
        <v>4703</v>
      </c>
    </row>
    <row r="4706" spans="33:33" x14ac:dyDescent="0.25">
      <c r="AG4706">
        <v>4704</v>
      </c>
    </row>
    <row r="4707" spans="33:33" x14ac:dyDescent="0.25">
      <c r="AG4707">
        <v>4705</v>
      </c>
    </row>
    <row r="4708" spans="33:33" x14ac:dyDescent="0.25">
      <c r="AG4708">
        <v>4706</v>
      </c>
    </row>
    <row r="4709" spans="33:33" x14ac:dyDescent="0.25">
      <c r="AG4709">
        <v>4707</v>
      </c>
    </row>
    <row r="4710" spans="33:33" x14ac:dyDescent="0.25">
      <c r="AG4710">
        <v>4708</v>
      </c>
    </row>
    <row r="4711" spans="33:33" x14ac:dyDescent="0.25">
      <c r="AG4711">
        <v>4709</v>
      </c>
    </row>
    <row r="4712" spans="33:33" x14ac:dyDescent="0.25">
      <c r="AG4712">
        <v>4710</v>
      </c>
    </row>
    <row r="4713" spans="33:33" x14ac:dyDescent="0.25">
      <c r="AG4713">
        <v>4711</v>
      </c>
    </row>
    <row r="4714" spans="33:33" x14ac:dyDescent="0.25">
      <c r="AG4714">
        <v>4712</v>
      </c>
    </row>
    <row r="4715" spans="33:33" x14ac:dyDescent="0.25">
      <c r="AG4715">
        <v>4713</v>
      </c>
    </row>
    <row r="4716" spans="33:33" x14ac:dyDescent="0.25">
      <c r="AG4716">
        <v>4714</v>
      </c>
    </row>
    <row r="4717" spans="33:33" x14ac:dyDescent="0.25">
      <c r="AG4717">
        <v>4715</v>
      </c>
    </row>
    <row r="4718" spans="33:33" x14ac:dyDescent="0.25">
      <c r="AG4718">
        <v>4716</v>
      </c>
    </row>
    <row r="4719" spans="33:33" x14ac:dyDescent="0.25">
      <c r="AG4719">
        <v>4717</v>
      </c>
    </row>
    <row r="4720" spans="33:33" x14ac:dyDescent="0.25">
      <c r="AG4720">
        <v>4718</v>
      </c>
    </row>
    <row r="4721" spans="33:33" x14ac:dyDescent="0.25">
      <c r="AG4721">
        <v>4719</v>
      </c>
    </row>
    <row r="4722" spans="33:33" x14ac:dyDescent="0.25">
      <c r="AG4722">
        <v>4720</v>
      </c>
    </row>
    <row r="4723" spans="33:33" x14ac:dyDescent="0.25">
      <c r="AG4723">
        <v>4721</v>
      </c>
    </row>
    <row r="4724" spans="33:33" x14ac:dyDescent="0.25">
      <c r="AG4724">
        <v>4722</v>
      </c>
    </row>
    <row r="4725" spans="33:33" x14ac:dyDescent="0.25">
      <c r="AG4725">
        <v>4723</v>
      </c>
    </row>
    <row r="4726" spans="33:33" x14ac:dyDescent="0.25">
      <c r="AG4726">
        <v>4724</v>
      </c>
    </row>
    <row r="4727" spans="33:33" x14ac:dyDescent="0.25">
      <c r="AG4727">
        <v>4725</v>
      </c>
    </row>
    <row r="4728" spans="33:33" x14ac:dyDescent="0.25">
      <c r="AG4728">
        <v>4726</v>
      </c>
    </row>
    <row r="4729" spans="33:33" x14ac:dyDescent="0.25">
      <c r="AG4729">
        <v>4727</v>
      </c>
    </row>
    <row r="4730" spans="33:33" x14ac:dyDescent="0.25">
      <c r="AG4730">
        <v>4728</v>
      </c>
    </row>
    <row r="4731" spans="33:33" x14ac:dyDescent="0.25">
      <c r="AG4731">
        <v>4729</v>
      </c>
    </row>
    <row r="4732" spans="33:33" x14ac:dyDescent="0.25">
      <c r="AG4732">
        <v>4730</v>
      </c>
    </row>
    <row r="4733" spans="33:33" x14ac:dyDescent="0.25">
      <c r="AG4733">
        <v>4731</v>
      </c>
    </row>
    <row r="4734" spans="33:33" x14ac:dyDescent="0.25">
      <c r="AG4734">
        <v>4732</v>
      </c>
    </row>
    <row r="4735" spans="33:33" x14ac:dyDescent="0.25">
      <c r="AG4735">
        <v>4733</v>
      </c>
    </row>
    <row r="4736" spans="33:33" x14ac:dyDescent="0.25">
      <c r="AG4736">
        <v>4734</v>
      </c>
    </row>
    <row r="4737" spans="33:33" x14ac:dyDescent="0.25">
      <c r="AG4737">
        <v>4735</v>
      </c>
    </row>
    <row r="4738" spans="33:33" x14ac:dyDescent="0.25">
      <c r="AG4738">
        <v>4736</v>
      </c>
    </row>
    <row r="4739" spans="33:33" x14ac:dyDescent="0.25">
      <c r="AG4739">
        <v>4737</v>
      </c>
    </row>
    <row r="4740" spans="33:33" x14ac:dyDescent="0.25">
      <c r="AG4740">
        <v>4738</v>
      </c>
    </row>
    <row r="4741" spans="33:33" x14ac:dyDescent="0.25">
      <c r="AG4741">
        <v>4739</v>
      </c>
    </row>
    <row r="4742" spans="33:33" x14ac:dyDescent="0.25">
      <c r="AG4742">
        <v>4740</v>
      </c>
    </row>
    <row r="4743" spans="33:33" x14ac:dyDescent="0.25">
      <c r="AG4743">
        <v>4741</v>
      </c>
    </row>
    <row r="4744" spans="33:33" x14ac:dyDescent="0.25">
      <c r="AG4744">
        <v>4742</v>
      </c>
    </row>
    <row r="4745" spans="33:33" x14ac:dyDescent="0.25">
      <c r="AG4745">
        <v>4743</v>
      </c>
    </row>
    <row r="4746" spans="33:33" x14ac:dyDescent="0.25">
      <c r="AG4746">
        <v>4744</v>
      </c>
    </row>
    <row r="4747" spans="33:33" x14ac:dyDescent="0.25">
      <c r="AG4747">
        <v>4745</v>
      </c>
    </row>
    <row r="4748" spans="33:33" x14ac:dyDescent="0.25">
      <c r="AG4748">
        <v>4746</v>
      </c>
    </row>
    <row r="4749" spans="33:33" x14ac:dyDescent="0.25">
      <c r="AG4749">
        <v>4747</v>
      </c>
    </row>
    <row r="4750" spans="33:33" x14ac:dyDescent="0.25">
      <c r="AG4750">
        <v>4748</v>
      </c>
    </row>
    <row r="4751" spans="33:33" x14ac:dyDescent="0.25">
      <c r="AG4751">
        <v>4749</v>
      </c>
    </row>
    <row r="4752" spans="33:33" x14ac:dyDescent="0.25">
      <c r="AG4752">
        <v>4750</v>
      </c>
    </row>
    <row r="4753" spans="33:33" x14ac:dyDescent="0.25">
      <c r="AG4753">
        <v>4751</v>
      </c>
    </row>
    <row r="4754" spans="33:33" x14ac:dyDescent="0.25">
      <c r="AG4754">
        <v>4752</v>
      </c>
    </row>
    <row r="4755" spans="33:33" x14ac:dyDescent="0.25">
      <c r="AG4755">
        <v>4753</v>
      </c>
    </row>
    <row r="4756" spans="33:33" x14ac:dyDescent="0.25">
      <c r="AG4756">
        <v>4754</v>
      </c>
    </row>
    <row r="4757" spans="33:33" x14ac:dyDescent="0.25">
      <c r="AG4757">
        <v>4755</v>
      </c>
    </row>
    <row r="4758" spans="33:33" x14ac:dyDescent="0.25">
      <c r="AG4758">
        <v>4756</v>
      </c>
    </row>
    <row r="4759" spans="33:33" x14ac:dyDescent="0.25">
      <c r="AG4759">
        <v>4757</v>
      </c>
    </row>
    <row r="4760" spans="33:33" x14ac:dyDescent="0.25">
      <c r="AG4760">
        <v>4758</v>
      </c>
    </row>
    <row r="4761" spans="33:33" x14ac:dyDescent="0.25">
      <c r="AG4761">
        <v>4759</v>
      </c>
    </row>
    <row r="4762" spans="33:33" x14ac:dyDescent="0.25">
      <c r="AG4762">
        <v>4760</v>
      </c>
    </row>
    <row r="4763" spans="33:33" x14ac:dyDescent="0.25">
      <c r="AG4763">
        <v>4761</v>
      </c>
    </row>
    <row r="4764" spans="33:33" x14ac:dyDescent="0.25">
      <c r="AG4764">
        <v>4762</v>
      </c>
    </row>
    <row r="4765" spans="33:33" x14ac:dyDescent="0.25">
      <c r="AG4765">
        <v>4763</v>
      </c>
    </row>
    <row r="4766" spans="33:33" x14ac:dyDescent="0.25">
      <c r="AG4766">
        <v>4764</v>
      </c>
    </row>
    <row r="4767" spans="33:33" x14ac:dyDescent="0.25">
      <c r="AG4767">
        <v>4765</v>
      </c>
    </row>
    <row r="4768" spans="33:33" x14ac:dyDescent="0.25">
      <c r="AG4768">
        <v>4766</v>
      </c>
    </row>
    <row r="4769" spans="33:33" x14ac:dyDescent="0.25">
      <c r="AG4769">
        <v>4767</v>
      </c>
    </row>
    <row r="4770" spans="33:33" x14ac:dyDescent="0.25">
      <c r="AG4770">
        <v>4768</v>
      </c>
    </row>
    <row r="4771" spans="33:33" x14ac:dyDescent="0.25">
      <c r="AG4771">
        <v>4769</v>
      </c>
    </row>
    <row r="4772" spans="33:33" x14ac:dyDescent="0.25">
      <c r="AG4772">
        <v>4770</v>
      </c>
    </row>
    <row r="4773" spans="33:33" x14ac:dyDescent="0.25">
      <c r="AG4773">
        <v>4771</v>
      </c>
    </row>
    <row r="4774" spans="33:33" x14ac:dyDescent="0.25">
      <c r="AG4774">
        <v>4772</v>
      </c>
    </row>
    <row r="4775" spans="33:33" x14ac:dyDescent="0.25">
      <c r="AG4775">
        <v>4773</v>
      </c>
    </row>
    <row r="4776" spans="33:33" x14ac:dyDescent="0.25">
      <c r="AG4776">
        <v>4774</v>
      </c>
    </row>
    <row r="4777" spans="33:33" x14ac:dyDescent="0.25">
      <c r="AG4777">
        <v>4775</v>
      </c>
    </row>
    <row r="4778" spans="33:33" x14ac:dyDescent="0.25">
      <c r="AG4778">
        <v>4776</v>
      </c>
    </row>
    <row r="4779" spans="33:33" x14ac:dyDescent="0.25">
      <c r="AG4779">
        <v>4777</v>
      </c>
    </row>
    <row r="4780" spans="33:33" x14ac:dyDescent="0.25">
      <c r="AG4780">
        <v>4778</v>
      </c>
    </row>
    <row r="4781" spans="33:33" x14ac:dyDescent="0.25">
      <c r="AG4781">
        <v>4779</v>
      </c>
    </row>
    <row r="4782" spans="33:33" x14ac:dyDescent="0.25">
      <c r="AG4782">
        <v>4780</v>
      </c>
    </row>
    <row r="4783" spans="33:33" x14ac:dyDescent="0.25">
      <c r="AG4783">
        <v>4781</v>
      </c>
    </row>
    <row r="4784" spans="33:33" x14ac:dyDescent="0.25">
      <c r="AG4784">
        <v>4782</v>
      </c>
    </row>
    <row r="4785" spans="33:33" x14ac:dyDescent="0.25">
      <c r="AG4785">
        <v>4783</v>
      </c>
    </row>
    <row r="4786" spans="33:33" x14ac:dyDescent="0.25">
      <c r="AG4786">
        <v>4784</v>
      </c>
    </row>
    <row r="4787" spans="33:33" x14ac:dyDescent="0.25">
      <c r="AG4787">
        <v>4785</v>
      </c>
    </row>
    <row r="4788" spans="33:33" x14ac:dyDescent="0.25">
      <c r="AG4788">
        <v>4786</v>
      </c>
    </row>
    <row r="4789" spans="33:33" x14ac:dyDescent="0.25">
      <c r="AG4789">
        <v>4787</v>
      </c>
    </row>
    <row r="4790" spans="33:33" x14ac:dyDescent="0.25">
      <c r="AG4790">
        <v>4788</v>
      </c>
    </row>
    <row r="4791" spans="33:33" x14ac:dyDescent="0.25">
      <c r="AG4791">
        <v>4789</v>
      </c>
    </row>
    <row r="4792" spans="33:33" x14ac:dyDescent="0.25">
      <c r="AG4792">
        <v>4790</v>
      </c>
    </row>
    <row r="4793" spans="33:33" x14ac:dyDescent="0.25">
      <c r="AG4793">
        <v>4791</v>
      </c>
    </row>
    <row r="4794" spans="33:33" x14ac:dyDescent="0.25">
      <c r="AG4794">
        <v>4792</v>
      </c>
    </row>
    <row r="4795" spans="33:33" x14ac:dyDescent="0.25">
      <c r="AG4795">
        <v>4793</v>
      </c>
    </row>
    <row r="4796" spans="33:33" x14ac:dyDescent="0.25">
      <c r="AG4796">
        <v>4794</v>
      </c>
    </row>
    <row r="4797" spans="33:33" x14ac:dyDescent="0.25">
      <c r="AG4797">
        <v>4795</v>
      </c>
    </row>
    <row r="4798" spans="33:33" x14ac:dyDescent="0.25">
      <c r="AG4798">
        <v>4796</v>
      </c>
    </row>
    <row r="4799" spans="33:33" x14ac:dyDescent="0.25">
      <c r="AG4799">
        <v>4797</v>
      </c>
    </row>
    <row r="4800" spans="33:33" x14ac:dyDescent="0.25">
      <c r="AG4800">
        <v>4798</v>
      </c>
    </row>
    <row r="4801" spans="33:33" x14ac:dyDescent="0.25">
      <c r="AG4801">
        <v>4799</v>
      </c>
    </row>
    <row r="4802" spans="33:33" x14ac:dyDescent="0.25">
      <c r="AG4802">
        <v>4800</v>
      </c>
    </row>
    <row r="4803" spans="33:33" x14ac:dyDescent="0.25">
      <c r="AG4803">
        <v>4801</v>
      </c>
    </row>
    <row r="4804" spans="33:33" x14ac:dyDescent="0.25">
      <c r="AG4804">
        <v>4802</v>
      </c>
    </row>
    <row r="4805" spans="33:33" x14ac:dyDescent="0.25">
      <c r="AG4805">
        <v>4803</v>
      </c>
    </row>
    <row r="4806" spans="33:33" x14ac:dyDescent="0.25">
      <c r="AG4806">
        <v>4804</v>
      </c>
    </row>
    <row r="4807" spans="33:33" x14ac:dyDescent="0.25">
      <c r="AG4807">
        <v>4805</v>
      </c>
    </row>
    <row r="4808" spans="33:33" x14ac:dyDescent="0.25">
      <c r="AG4808">
        <v>4806</v>
      </c>
    </row>
    <row r="4809" spans="33:33" x14ac:dyDescent="0.25">
      <c r="AG4809">
        <v>4807</v>
      </c>
    </row>
    <row r="4810" spans="33:33" x14ac:dyDescent="0.25">
      <c r="AG4810">
        <v>4808</v>
      </c>
    </row>
    <row r="4811" spans="33:33" x14ac:dyDescent="0.25">
      <c r="AG4811">
        <v>4809</v>
      </c>
    </row>
    <row r="4812" spans="33:33" x14ac:dyDescent="0.25">
      <c r="AG4812">
        <v>4810</v>
      </c>
    </row>
    <row r="4813" spans="33:33" x14ac:dyDescent="0.25">
      <c r="AG4813">
        <v>4811</v>
      </c>
    </row>
    <row r="4814" spans="33:33" x14ac:dyDescent="0.25">
      <c r="AG4814">
        <v>4812</v>
      </c>
    </row>
    <row r="4815" spans="33:33" x14ac:dyDescent="0.25">
      <c r="AG4815">
        <v>4813</v>
      </c>
    </row>
    <row r="4816" spans="33:33" x14ac:dyDescent="0.25">
      <c r="AG4816">
        <v>4814</v>
      </c>
    </row>
    <row r="4817" spans="33:33" x14ac:dyDescent="0.25">
      <c r="AG4817">
        <v>4815</v>
      </c>
    </row>
    <row r="4818" spans="33:33" x14ac:dyDescent="0.25">
      <c r="AG4818">
        <v>4816</v>
      </c>
    </row>
    <row r="4819" spans="33:33" x14ac:dyDescent="0.25">
      <c r="AG4819">
        <v>4817</v>
      </c>
    </row>
    <row r="4820" spans="33:33" x14ac:dyDescent="0.25">
      <c r="AG4820">
        <v>4818</v>
      </c>
    </row>
    <row r="4821" spans="33:33" x14ac:dyDescent="0.25">
      <c r="AG4821">
        <v>4819</v>
      </c>
    </row>
    <row r="4822" spans="33:33" x14ac:dyDescent="0.25">
      <c r="AG4822">
        <v>4820</v>
      </c>
    </row>
    <row r="4823" spans="33:33" x14ac:dyDescent="0.25">
      <c r="AG4823">
        <v>4821</v>
      </c>
    </row>
    <row r="4824" spans="33:33" x14ac:dyDescent="0.25">
      <c r="AG4824">
        <v>4822</v>
      </c>
    </row>
    <row r="4825" spans="33:33" x14ac:dyDescent="0.25">
      <c r="AG4825">
        <v>4823</v>
      </c>
    </row>
    <row r="4826" spans="33:33" x14ac:dyDescent="0.25">
      <c r="AG4826">
        <v>4824</v>
      </c>
    </row>
    <row r="4827" spans="33:33" x14ac:dyDescent="0.25">
      <c r="AG4827">
        <v>4825</v>
      </c>
    </row>
    <row r="4828" spans="33:33" x14ac:dyDescent="0.25">
      <c r="AG4828">
        <v>4826</v>
      </c>
    </row>
    <row r="4829" spans="33:33" x14ac:dyDescent="0.25">
      <c r="AG4829">
        <v>4827</v>
      </c>
    </row>
    <row r="4830" spans="33:33" x14ac:dyDescent="0.25">
      <c r="AG4830">
        <v>4828</v>
      </c>
    </row>
    <row r="4831" spans="33:33" x14ac:dyDescent="0.25">
      <c r="AG4831">
        <v>4829</v>
      </c>
    </row>
    <row r="4832" spans="33:33" x14ac:dyDescent="0.25">
      <c r="AG4832">
        <v>4830</v>
      </c>
    </row>
    <row r="4833" spans="33:33" x14ac:dyDescent="0.25">
      <c r="AG4833">
        <v>4831</v>
      </c>
    </row>
    <row r="4834" spans="33:33" x14ac:dyDescent="0.25">
      <c r="AG4834">
        <v>4832</v>
      </c>
    </row>
    <row r="4835" spans="33:33" x14ac:dyDescent="0.25">
      <c r="AG4835">
        <v>4833</v>
      </c>
    </row>
    <row r="4836" spans="33:33" x14ac:dyDescent="0.25">
      <c r="AG4836">
        <v>4834</v>
      </c>
    </row>
    <row r="4837" spans="33:33" x14ac:dyDescent="0.25">
      <c r="AG4837">
        <v>4835</v>
      </c>
    </row>
    <row r="4838" spans="33:33" x14ac:dyDescent="0.25">
      <c r="AG4838">
        <v>4836</v>
      </c>
    </row>
    <row r="4839" spans="33:33" x14ac:dyDescent="0.25">
      <c r="AG4839">
        <v>4837</v>
      </c>
    </row>
    <row r="4840" spans="33:33" x14ac:dyDescent="0.25">
      <c r="AG4840">
        <v>4838</v>
      </c>
    </row>
    <row r="4841" spans="33:33" x14ac:dyDescent="0.25">
      <c r="AG4841">
        <v>4839</v>
      </c>
    </row>
    <row r="4842" spans="33:33" x14ac:dyDescent="0.25">
      <c r="AG4842">
        <v>4840</v>
      </c>
    </row>
    <row r="4843" spans="33:33" x14ac:dyDescent="0.25">
      <c r="AG4843">
        <v>4841</v>
      </c>
    </row>
    <row r="4844" spans="33:33" x14ac:dyDescent="0.25">
      <c r="AG4844">
        <v>4842</v>
      </c>
    </row>
    <row r="4845" spans="33:33" x14ac:dyDescent="0.25">
      <c r="AG4845">
        <v>4843</v>
      </c>
    </row>
    <row r="4846" spans="33:33" x14ac:dyDescent="0.25">
      <c r="AG4846">
        <v>4844</v>
      </c>
    </row>
    <row r="4847" spans="33:33" x14ac:dyDescent="0.25">
      <c r="AG4847">
        <v>4845</v>
      </c>
    </row>
    <row r="4848" spans="33:33" x14ac:dyDescent="0.25">
      <c r="AG4848">
        <v>4846</v>
      </c>
    </row>
    <row r="4849" spans="33:33" x14ac:dyDescent="0.25">
      <c r="AG4849">
        <v>4847</v>
      </c>
    </row>
    <row r="4850" spans="33:33" x14ac:dyDescent="0.25">
      <c r="AG4850">
        <v>4848</v>
      </c>
    </row>
    <row r="4851" spans="33:33" x14ac:dyDescent="0.25">
      <c r="AG4851">
        <v>4849</v>
      </c>
    </row>
    <row r="4852" spans="33:33" x14ac:dyDescent="0.25">
      <c r="AG4852">
        <v>4850</v>
      </c>
    </row>
    <row r="4853" spans="33:33" x14ac:dyDescent="0.25">
      <c r="AG4853">
        <v>4851</v>
      </c>
    </row>
    <row r="4854" spans="33:33" x14ac:dyDescent="0.25">
      <c r="AG4854">
        <v>4852</v>
      </c>
    </row>
    <row r="4855" spans="33:33" x14ac:dyDescent="0.25">
      <c r="AG4855">
        <v>4853</v>
      </c>
    </row>
    <row r="4856" spans="33:33" x14ac:dyDescent="0.25">
      <c r="AG4856">
        <v>4854</v>
      </c>
    </row>
    <row r="4857" spans="33:33" x14ac:dyDescent="0.25">
      <c r="AG4857">
        <v>4855</v>
      </c>
    </row>
    <row r="4858" spans="33:33" x14ac:dyDescent="0.25">
      <c r="AG4858">
        <v>4856</v>
      </c>
    </row>
    <row r="4859" spans="33:33" x14ac:dyDescent="0.25">
      <c r="AG4859">
        <v>4857</v>
      </c>
    </row>
    <row r="4860" spans="33:33" x14ac:dyDescent="0.25">
      <c r="AG4860">
        <v>4858</v>
      </c>
    </row>
    <row r="4861" spans="33:33" x14ac:dyDescent="0.25">
      <c r="AG4861">
        <v>4859</v>
      </c>
    </row>
    <row r="4862" spans="33:33" x14ac:dyDescent="0.25">
      <c r="AG4862">
        <v>4860</v>
      </c>
    </row>
    <row r="4863" spans="33:33" x14ac:dyDescent="0.25">
      <c r="AG4863">
        <v>4861</v>
      </c>
    </row>
    <row r="4864" spans="33:33" x14ac:dyDescent="0.25">
      <c r="AG4864">
        <v>4862</v>
      </c>
    </row>
    <row r="4865" spans="33:33" x14ac:dyDescent="0.25">
      <c r="AG4865">
        <v>4863</v>
      </c>
    </row>
    <row r="4866" spans="33:33" x14ac:dyDescent="0.25">
      <c r="AG4866">
        <v>4864</v>
      </c>
    </row>
    <row r="4867" spans="33:33" x14ac:dyDescent="0.25">
      <c r="AG4867">
        <v>4865</v>
      </c>
    </row>
    <row r="4868" spans="33:33" x14ac:dyDescent="0.25">
      <c r="AG4868">
        <v>4866</v>
      </c>
    </row>
    <row r="4869" spans="33:33" x14ac:dyDescent="0.25">
      <c r="AG4869">
        <v>4867</v>
      </c>
    </row>
    <row r="4870" spans="33:33" x14ac:dyDescent="0.25">
      <c r="AG4870">
        <v>4868</v>
      </c>
    </row>
    <row r="4871" spans="33:33" x14ac:dyDescent="0.25">
      <c r="AG4871">
        <v>4869</v>
      </c>
    </row>
    <row r="4872" spans="33:33" x14ac:dyDescent="0.25">
      <c r="AG4872">
        <v>4870</v>
      </c>
    </row>
    <row r="4873" spans="33:33" x14ac:dyDescent="0.25">
      <c r="AG4873">
        <v>4871</v>
      </c>
    </row>
    <row r="4874" spans="33:33" x14ac:dyDescent="0.25">
      <c r="AG4874">
        <v>4872</v>
      </c>
    </row>
    <row r="4875" spans="33:33" x14ac:dyDescent="0.25">
      <c r="AG4875">
        <v>4873</v>
      </c>
    </row>
    <row r="4876" spans="33:33" x14ac:dyDescent="0.25">
      <c r="AG4876">
        <v>4874</v>
      </c>
    </row>
    <row r="4877" spans="33:33" x14ac:dyDescent="0.25">
      <c r="AG4877">
        <v>4875</v>
      </c>
    </row>
    <row r="4878" spans="33:33" x14ac:dyDescent="0.25">
      <c r="AG4878">
        <v>4876</v>
      </c>
    </row>
    <row r="4879" spans="33:33" x14ac:dyDescent="0.25">
      <c r="AG4879">
        <v>4877</v>
      </c>
    </row>
    <row r="4880" spans="33:33" x14ac:dyDescent="0.25">
      <c r="AG4880">
        <v>4878</v>
      </c>
    </row>
    <row r="4881" spans="33:33" x14ac:dyDescent="0.25">
      <c r="AG4881">
        <v>4879</v>
      </c>
    </row>
    <row r="4882" spans="33:33" x14ac:dyDescent="0.25">
      <c r="AG4882">
        <v>4880</v>
      </c>
    </row>
    <row r="4883" spans="33:33" x14ac:dyDescent="0.25">
      <c r="AG4883">
        <v>4881</v>
      </c>
    </row>
    <row r="4884" spans="33:33" x14ac:dyDescent="0.25">
      <c r="AG4884">
        <v>4882</v>
      </c>
    </row>
    <row r="4885" spans="33:33" x14ac:dyDescent="0.25">
      <c r="AG4885">
        <v>4883</v>
      </c>
    </row>
    <row r="4886" spans="33:33" x14ac:dyDescent="0.25">
      <c r="AG4886">
        <v>4884</v>
      </c>
    </row>
    <row r="4887" spans="33:33" x14ac:dyDescent="0.25">
      <c r="AG4887">
        <v>4885</v>
      </c>
    </row>
    <row r="4888" spans="33:33" x14ac:dyDescent="0.25">
      <c r="AG4888">
        <v>4886</v>
      </c>
    </row>
    <row r="4889" spans="33:33" x14ac:dyDescent="0.25">
      <c r="AG4889">
        <v>4887</v>
      </c>
    </row>
    <row r="4890" spans="33:33" x14ac:dyDescent="0.25">
      <c r="AG4890">
        <v>4888</v>
      </c>
    </row>
    <row r="4891" spans="33:33" x14ac:dyDescent="0.25">
      <c r="AG4891">
        <v>4889</v>
      </c>
    </row>
    <row r="4892" spans="33:33" x14ac:dyDescent="0.25">
      <c r="AG4892">
        <v>4890</v>
      </c>
    </row>
    <row r="4893" spans="33:33" x14ac:dyDescent="0.25">
      <c r="AG4893">
        <v>4891</v>
      </c>
    </row>
    <row r="4894" spans="33:33" x14ac:dyDescent="0.25">
      <c r="AG4894">
        <v>4892</v>
      </c>
    </row>
    <row r="4895" spans="33:33" x14ac:dyDescent="0.25">
      <c r="AG4895">
        <v>4893</v>
      </c>
    </row>
    <row r="4896" spans="33:33" x14ac:dyDescent="0.25">
      <c r="AG4896">
        <v>4894</v>
      </c>
    </row>
    <row r="4897" spans="33:33" x14ac:dyDescent="0.25">
      <c r="AG4897">
        <v>4895</v>
      </c>
    </row>
    <row r="4898" spans="33:33" x14ac:dyDescent="0.25">
      <c r="AG4898">
        <v>4896</v>
      </c>
    </row>
    <row r="4899" spans="33:33" x14ac:dyDescent="0.25">
      <c r="AG4899">
        <v>4897</v>
      </c>
    </row>
    <row r="4900" spans="33:33" x14ac:dyDescent="0.25">
      <c r="AG4900">
        <v>4898</v>
      </c>
    </row>
    <row r="4901" spans="33:33" x14ac:dyDescent="0.25">
      <c r="AG4901">
        <v>4899</v>
      </c>
    </row>
    <row r="4902" spans="33:33" x14ac:dyDescent="0.25">
      <c r="AG4902">
        <v>4900</v>
      </c>
    </row>
    <row r="4903" spans="33:33" x14ac:dyDescent="0.25">
      <c r="AG4903">
        <v>4901</v>
      </c>
    </row>
    <row r="4904" spans="33:33" x14ac:dyDescent="0.25">
      <c r="AG4904">
        <v>4902</v>
      </c>
    </row>
    <row r="4905" spans="33:33" x14ac:dyDescent="0.25">
      <c r="AG4905">
        <v>4903</v>
      </c>
    </row>
    <row r="4906" spans="33:33" x14ac:dyDescent="0.25">
      <c r="AG4906">
        <v>4904</v>
      </c>
    </row>
    <row r="4907" spans="33:33" x14ac:dyDescent="0.25">
      <c r="AG4907">
        <v>4905</v>
      </c>
    </row>
    <row r="4908" spans="33:33" x14ac:dyDescent="0.25">
      <c r="AG4908">
        <v>4906</v>
      </c>
    </row>
    <row r="4909" spans="33:33" x14ac:dyDescent="0.25">
      <c r="AG4909">
        <v>4907</v>
      </c>
    </row>
    <row r="4910" spans="33:33" x14ac:dyDescent="0.25">
      <c r="AG4910">
        <v>4908</v>
      </c>
    </row>
    <row r="4911" spans="33:33" x14ac:dyDescent="0.25">
      <c r="AG4911">
        <v>4909</v>
      </c>
    </row>
    <row r="4912" spans="33:33" x14ac:dyDescent="0.25">
      <c r="AG4912">
        <v>4910</v>
      </c>
    </row>
    <row r="4913" spans="33:33" x14ac:dyDescent="0.25">
      <c r="AG4913">
        <v>4911</v>
      </c>
    </row>
    <row r="4914" spans="33:33" x14ac:dyDescent="0.25">
      <c r="AG4914">
        <v>4912</v>
      </c>
    </row>
    <row r="4915" spans="33:33" x14ac:dyDescent="0.25">
      <c r="AG4915">
        <v>4913</v>
      </c>
    </row>
    <row r="4916" spans="33:33" x14ac:dyDescent="0.25">
      <c r="AG4916">
        <v>4914</v>
      </c>
    </row>
    <row r="4917" spans="33:33" x14ac:dyDescent="0.25">
      <c r="AG4917">
        <v>4915</v>
      </c>
    </row>
    <row r="4918" spans="33:33" x14ac:dyDescent="0.25">
      <c r="AG4918">
        <v>4916</v>
      </c>
    </row>
    <row r="4919" spans="33:33" x14ac:dyDescent="0.25">
      <c r="AG4919">
        <v>4917</v>
      </c>
    </row>
    <row r="4920" spans="33:33" x14ac:dyDescent="0.25">
      <c r="AG4920">
        <v>4918</v>
      </c>
    </row>
    <row r="4921" spans="33:33" x14ac:dyDescent="0.25">
      <c r="AG4921">
        <v>4919</v>
      </c>
    </row>
    <row r="4922" spans="33:33" x14ac:dyDescent="0.25">
      <c r="AG4922">
        <v>4920</v>
      </c>
    </row>
    <row r="4923" spans="33:33" x14ac:dyDescent="0.25">
      <c r="AG4923">
        <v>4921</v>
      </c>
    </row>
    <row r="4924" spans="33:33" x14ac:dyDescent="0.25">
      <c r="AG4924">
        <v>4922</v>
      </c>
    </row>
    <row r="4925" spans="33:33" x14ac:dyDescent="0.25">
      <c r="AG4925">
        <v>4923</v>
      </c>
    </row>
    <row r="4926" spans="33:33" x14ac:dyDescent="0.25">
      <c r="AG4926">
        <v>4924</v>
      </c>
    </row>
    <row r="4927" spans="33:33" x14ac:dyDescent="0.25">
      <c r="AG4927">
        <v>4925</v>
      </c>
    </row>
    <row r="4928" spans="33:33" x14ac:dyDescent="0.25">
      <c r="AG4928">
        <v>4926</v>
      </c>
    </row>
    <row r="4929" spans="33:33" x14ac:dyDescent="0.25">
      <c r="AG4929">
        <v>4927</v>
      </c>
    </row>
    <row r="4930" spans="33:33" x14ac:dyDescent="0.25">
      <c r="AG4930">
        <v>4928</v>
      </c>
    </row>
    <row r="4931" spans="33:33" x14ac:dyDescent="0.25">
      <c r="AG4931">
        <v>4929</v>
      </c>
    </row>
    <row r="4932" spans="33:33" x14ac:dyDescent="0.25">
      <c r="AG4932">
        <v>4930</v>
      </c>
    </row>
    <row r="4933" spans="33:33" x14ac:dyDescent="0.25">
      <c r="AG4933">
        <v>4931</v>
      </c>
    </row>
    <row r="4934" spans="33:33" x14ac:dyDescent="0.25">
      <c r="AG4934">
        <v>4932</v>
      </c>
    </row>
    <row r="4935" spans="33:33" x14ac:dyDescent="0.25">
      <c r="AG4935">
        <v>4933</v>
      </c>
    </row>
    <row r="4936" spans="33:33" x14ac:dyDescent="0.25">
      <c r="AG4936">
        <v>4934</v>
      </c>
    </row>
    <row r="4937" spans="33:33" x14ac:dyDescent="0.25">
      <c r="AG4937">
        <v>4935</v>
      </c>
    </row>
    <row r="4938" spans="33:33" x14ac:dyDescent="0.25">
      <c r="AG4938">
        <v>4936</v>
      </c>
    </row>
    <row r="4939" spans="33:33" x14ac:dyDescent="0.25">
      <c r="AG4939">
        <v>4937</v>
      </c>
    </row>
    <row r="4940" spans="33:33" x14ac:dyDescent="0.25">
      <c r="AG4940">
        <v>4938</v>
      </c>
    </row>
    <row r="4941" spans="33:33" x14ac:dyDescent="0.25">
      <c r="AG4941">
        <v>4939</v>
      </c>
    </row>
    <row r="4942" spans="33:33" x14ac:dyDescent="0.25">
      <c r="AG4942">
        <v>4940</v>
      </c>
    </row>
    <row r="4943" spans="33:33" x14ac:dyDescent="0.25">
      <c r="AG4943">
        <v>4941</v>
      </c>
    </row>
    <row r="4944" spans="33:33" x14ac:dyDescent="0.25">
      <c r="AG4944">
        <v>4942</v>
      </c>
    </row>
    <row r="4945" spans="33:33" x14ac:dyDescent="0.25">
      <c r="AG4945">
        <v>4943</v>
      </c>
    </row>
    <row r="4946" spans="33:33" x14ac:dyDescent="0.25">
      <c r="AG4946">
        <v>4944</v>
      </c>
    </row>
    <row r="4947" spans="33:33" x14ac:dyDescent="0.25">
      <c r="AG4947">
        <v>4945</v>
      </c>
    </row>
    <row r="4948" spans="33:33" x14ac:dyDescent="0.25">
      <c r="AG4948">
        <v>4946</v>
      </c>
    </row>
    <row r="4949" spans="33:33" x14ac:dyDescent="0.25">
      <c r="AG4949">
        <v>4947</v>
      </c>
    </row>
    <row r="4950" spans="33:33" x14ac:dyDescent="0.25">
      <c r="AG4950">
        <v>4948</v>
      </c>
    </row>
    <row r="4951" spans="33:33" x14ac:dyDescent="0.25">
      <c r="AG4951">
        <v>4949</v>
      </c>
    </row>
    <row r="4952" spans="33:33" x14ac:dyDescent="0.25">
      <c r="AG4952">
        <v>4950</v>
      </c>
    </row>
    <row r="4953" spans="33:33" x14ac:dyDescent="0.25">
      <c r="AG4953">
        <v>4951</v>
      </c>
    </row>
    <row r="4954" spans="33:33" x14ac:dyDescent="0.25">
      <c r="AG4954">
        <v>4952</v>
      </c>
    </row>
    <row r="4955" spans="33:33" x14ac:dyDescent="0.25">
      <c r="AG4955">
        <v>4953</v>
      </c>
    </row>
    <row r="4956" spans="33:33" x14ac:dyDescent="0.25">
      <c r="AG4956">
        <v>4954</v>
      </c>
    </row>
    <row r="4957" spans="33:33" x14ac:dyDescent="0.25">
      <c r="AG4957">
        <v>4955</v>
      </c>
    </row>
    <row r="4958" spans="33:33" x14ac:dyDescent="0.25">
      <c r="AG4958">
        <v>4956</v>
      </c>
    </row>
    <row r="4959" spans="33:33" x14ac:dyDescent="0.25">
      <c r="AG4959">
        <v>4957</v>
      </c>
    </row>
    <row r="4960" spans="33:33" x14ac:dyDescent="0.25">
      <c r="AG4960">
        <v>4958</v>
      </c>
    </row>
    <row r="4961" spans="33:33" x14ac:dyDescent="0.25">
      <c r="AG4961">
        <v>4959</v>
      </c>
    </row>
    <row r="4962" spans="33:33" x14ac:dyDescent="0.25">
      <c r="AG4962">
        <v>4960</v>
      </c>
    </row>
    <row r="4963" spans="33:33" x14ac:dyDescent="0.25">
      <c r="AG4963">
        <v>4961</v>
      </c>
    </row>
    <row r="4964" spans="33:33" x14ac:dyDescent="0.25">
      <c r="AG4964">
        <v>4962</v>
      </c>
    </row>
    <row r="4965" spans="33:33" x14ac:dyDescent="0.25">
      <c r="AG4965">
        <v>4963</v>
      </c>
    </row>
    <row r="4966" spans="33:33" x14ac:dyDescent="0.25">
      <c r="AG4966">
        <v>4964</v>
      </c>
    </row>
    <row r="4967" spans="33:33" x14ac:dyDescent="0.25">
      <c r="AG4967">
        <v>4965</v>
      </c>
    </row>
    <row r="4968" spans="33:33" x14ac:dyDescent="0.25">
      <c r="AG4968">
        <v>4966</v>
      </c>
    </row>
    <row r="4969" spans="33:33" x14ac:dyDescent="0.25">
      <c r="AG4969">
        <v>4967</v>
      </c>
    </row>
    <row r="4970" spans="33:33" x14ac:dyDescent="0.25">
      <c r="AG4970">
        <v>4968</v>
      </c>
    </row>
    <row r="4971" spans="33:33" x14ac:dyDescent="0.25">
      <c r="AG4971">
        <v>4969</v>
      </c>
    </row>
    <row r="4972" spans="33:33" x14ac:dyDescent="0.25">
      <c r="AG4972">
        <v>4970</v>
      </c>
    </row>
    <row r="4973" spans="33:33" x14ac:dyDescent="0.25">
      <c r="AG4973">
        <v>4971</v>
      </c>
    </row>
    <row r="4974" spans="33:33" x14ac:dyDescent="0.25">
      <c r="AG4974">
        <v>4972</v>
      </c>
    </row>
    <row r="4975" spans="33:33" x14ac:dyDescent="0.25">
      <c r="AG4975">
        <v>4973</v>
      </c>
    </row>
    <row r="4976" spans="33:33" x14ac:dyDescent="0.25">
      <c r="AG4976">
        <v>4974</v>
      </c>
    </row>
    <row r="4977" spans="33:33" x14ac:dyDescent="0.25">
      <c r="AG4977">
        <v>4975</v>
      </c>
    </row>
    <row r="4978" spans="33:33" x14ac:dyDescent="0.25">
      <c r="AG4978">
        <v>4976</v>
      </c>
    </row>
    <row r="4979" spans="33:33" x14ac:dyDescent="0.25">
      <c r="AG4979">
        <v>4977</v>
      </c>
    </row>
    <row r="4980" spans="33:33" x14ac:dyDescent="0.25">
      <c r="AG4980">
        <v>4978</v>
      </c>
    </row>
    <row r="4981" spans="33:33" x14ac:dyDescent="0.25">
      <c r="AG4981">
        <v>4979</v>
      </c>
    </row>
    <row r="4982" spans="33:33" x14ac:dyDescent="0.25">
      <c r="AG4982">
        <v>4980</v>
      </c>
    </row>
    <row r="4983" spans="33:33" x14ac:dyDescent="0.25">
      <c r="AG4983">
        <v>4981</v>
      </c>
    </row>
    <row r="4984" spans="33:33" x14ac:dyDescent="0.25">
      <c r="AG4984">
        <v>4982</v>
      </c>
    </row>
    <row r="4985" spans="33:33" x14ac:dyDescent="0.25">
      <c r="AG4985">
        <v>4983</v>
      </c>
    </row>
    <row r="4986" spans="33:33" x14ac:dyDescent="0.25">
      <c r="AG4986">
        <v>4984</v>
      </c>
    </row>
    <row r="4987" spans="33:33" x14ac:dyDescent="0.25">
      <c r="AG4987">
        <v>4985</v>
      </c>
    </row>
    <row r="4988" spans="33:33" x14ac:dyDescent="0.25">
      <c r="AG4988">
        <v>4986</v>
      </c>
    </row>
    <row r="4989" spans="33:33" x14ac:dyDescent="0.25">
      <c r="AG4989">
        <v>4987</v>
      </c>
    </row>
    <row r="4990" spans="33:33" x14ac:dyDescent="0.25">
      <c r="AG4990">
        <v>4988</v>
      </c>
    </row>
    <row r="4991" spans="33:33" x14ac:dyDescent="0.25">
      <c r="AG4991">
        <v>4989</v>
      </c>
    </row>
    <row r="4992" spans="33:33" x14ac:dyDescent="0.25">
      <c r="AG4992">
        <v>4990</v>
      </c>
    </row>
    <row r="4993" spans="33:33" x14ac:dyDescent="0.25">
      <c r="AG4993">
        <v>4991</v>
      </c>
    </row>
    <row r="4994" spans="33:33" x14ac:dyDescent="0.25">
      <c r="AG4994">
        <v>4992</v>
      </c>
    </row>
    <row r="4995" spans="33:33" x14ac:dyDescent="0.25">
      <c r="AG4995">
        <v>4993</v>
      </c>
    </row>
    <row r="4996" spans="33:33" x14ac:dyDescent="0.25">
      <c r="AG4996">
        <v>4994</v>
      </c>
    </row>
    <row r="4997" spans="33:33" x14ac:dyDescent="0.25">
      <c r="AG4997">
        <v>4995</v>
      </c>
    </row>
    <row r="4998" spans="33:33" x14ac:dyDescent="0.25">
      <c r="AG4998">
        <v>4996</v>
      </c>
    </row>
    <row r="4999" spans="33:33" x14ac:dyDescent="0.25">
      <c r="AG4999">
        <v>4997</v>
      </c>
    </row>
    <row r="5000" spans="33:33" x14ac:dyDescent="0.25">
      <c r="AG5000">
        <v>4998</v>
      </c>
    </row>
    <row r="5001" spans="33:33" x14ac:dyDescent="0.25">
      <c r="AG5001">
        <v>4999</v>
      </c>
    </row>
    <row r="5002" spans="33:33" x14ac:dyDescent="0.25">
      <c r="AG5002">
        <v>5000</v>
      </c>
    </row>
    <row r="5003" spans="33:33" x14ac:dyDescent="0.25">
      <c r="AG5003">
        <v>5001</v>
      </c>
    </row>
    <row r="5004" spans="33:33" x14ac:dyDescent="0.25">
      <c r="AG5004">
        <v>5002</v>
      </c>
    </row>
    <row r="5005" spans="33:33" x14ac:dyDescent="0.25">
      <c r="AG5005">
        <v>5003</v>
      </c>
    </row>
    <row r="5006" spans="33:33" x14ac:dyDescent="0.25">
      <c r="AG5006">
        <v>5004</v>
      </c>
    </row>
    <row r="5007" spans="33:33" x14ac:dyDescent="0.25">
      <c r="AG5007">
        <v>5005</v>
      </c>
    </row>
    <row r="5008" spans="33:33" x14ac:dyDescent="0.25">
      <c r="AG5008">
        <v>5006</v>
      </c>
    </row>
    <row r="5009" spans="33:33" x14ac:dyDescent="0.25">
      <c r="AG5009">
        <v>5007</v>
      </c>
    </row>
    <row r="5010" spans="33:33" x14ac:dyDescent="0.25">
      <c r="AG5010">
        <v>5008</v>
      </c>
    </row>
    <row r="5011" spans="33:33" x14ac:dyDescent="0.25">
      <c r="AG5011">
        <v>5009</v>
      </c>
    </row>
    <row r="5012" spans="33:33" x14ac:dyDescent="0.25">
      <c r="AG5012">
        <v>5010</v>
      </c>
    </row>
    <row r="5013" spans="33:33" x14ac:dyDescent="0.25">
      <c r="AG5013">
        <v>5011</v>
      </c>
    </row>
    <row r="5014" spans="33:33" x14ac:dyDescent="0.25">
      <c r="AG5014">
        <v>5012</v>
      </c>
    </row>
    <row r="5015" spans="33:33" x14ac:dyDescent="0.25">
      <c r="AG5015">
        <v>5013</v>
      </c>
    </row>
    <row r="5016" spans="33:33" x14ac:dyDescent="0.25">
      <c r="AG5016">
        <v>5014</v>
      </c>
    </row>
    <row r="5017" spans="33:33" x14ac:dyDescent="0.25">
      <c r="AG5017">
        <v>5015</v>
      </c>
    </row>
    <row r="5018" spans="33:33" x14ac:dyDescent="0.25">
      <c r="AG5018">
        <v>5016</v>
      </c>
    </row>
    <row r="5019" spans="33:33" x14ac:dyDescent="0.25">
      <c r="AG5019">
        <v>5017</v>
      </c>
    </row>
    <row r="5020" spans="33:33" x14ac:dyDescent="0.25">
      <c r="AG5020">
        <v>5018</v>
      </c>
    </row>
    <row r="5021" spans="33:33" x14ac:dyDescent="0.25">
      <c r="AG5021">
        <v>5019</v>
      </c>
    </row>
    <row r="5022" spans="33:33" x14ac:dyDescent="0.25">
      <c r="AG5022">
        <v>5020</v>
      </c>
    </row>
    <row r="5023" spans="33:33" x14ac:dyDescent="0.25">
      <c r="AG5023">
        <v>5021</v>
      </c>
    </row>
    <row r="5024" spans="33:33" x14ac:dyDescent="0.25">
      <c r="AG5024">
        <v>5022</v>
      </c>
    </row>
    <row r="5025" spans="33:33" x14ac:dyDescent="0.25">
      <c r="AG5025">
        <v>5023</v>
      </c>
    </row>
    <row r="5026" spans="33:33" x14ac:dyDescent="0.25">
      <c r="AG5026">
        <v>5024</v>
      </c>
    </row>
    <row r="5027" spans="33:33" x14ac:dyDescent="0.25">
      <c r="AG5027">
        <v>5025</v>
      </c>
    </row>
    <row r="5028" spans="33:33" x14ac:dyDescent="0.25">
      <c r="AG5028">
        <v>5026</v>
      </c>
    </row>
    <row r="5029" spans="33:33" x14ac:dyDescent="0.25">
      <c r="AG5029">
        <v>5027</v>
      </c>
    </row>
    <row r="5030" spans="33:33" x14ac:dyDescent="0.25">
      <c r="AG5030">
        <v>5028</v>
      </c>
    </row>
    <row r="5031" spans="33:33" x14ac:dyDescent="0.25">
      <c r="AG5031">
        <v>5029</v>
      </c>
    </row>
    <row r="5032" spans="33:33" x14ac:dyDescent="0.25">
      <c r="AG5032">
        <v>5030</v>
      </c>
    </row>
    <row r="5033" spans="33:33" x14ac:dyDescent="0.25">
      <c r="AG5033">
        <v>5031</v>
      </c>
    </row>
    <row r="5034" spans="33:33" x14ac:dyDescent="0.25">
      <c r="AG5034">
        <v>5032</v>
      </c>
    </row>
    <row r="5035" spans="33:33" x14ac:dyDescent="0.25">
      <c r="AG5035">
        <v>5033</v>
      </c>
    </row>
    <row r="5036" spans="33:33" x14ac:dyDescent="0.25">
      <c r="AG5036">
        <v>5034</v>
      </c>
    </row>
    <row r="5037" spans="33:33" x14ac:dyDescent="0.25">
      <c r="AG5037">
        <v>5035</v>
      </c>
    </row>
    <row r="5038" spans="33:33" x14ac:dyDescent="0.25">
      <c r="AG5038">
        <v>5036</v>
      </c>
    </row>
    <row r="5039" spans="33:33" x14ac:dyDescent="0.25">
      <c r="AG5039">
        <v>5037</v>
      </c>
    </row>
    <row r="5040" spans="33:33" x14ac:dyDescent="0.25">
      <c r="AG5040">
        <v>5038</v>
      </c>
    </row>
    <row r="5041" spans="33:33" x14ac:dyDescent="0.25">
      <c r="AG5041">
        <v>5039</v>
      </c>
    </row>
    <row r="5042" spans="33:33" x14ac:dyDescent="0.25">
      <c r="AG5042">
        <v>5040</v>
      </c>
    </row>
    <row r="5043" spans="33:33" x14ac:dyDescent="0.25">
      <c r="AG5043">
        <v>5041</v>
      </c>
    </row>
    <row r="5044" spans="33:33" x14ac:dyDescent="0.25">
      <c r="AG5044">
        <v>5042</v>
      </c>
    </row>
    <row r="5045" spans="33:33" x14ac:dyDescent="0.25">
      <c r="AG5045">
        <v>5043</v>
      </c>
    </row>
    <row r="5046" spans="33:33" x14ac:dyDescent="0.25">
      <c r="AG5046">
        <v>5044</v>
      </c>
    </row>
    <row r="5047" spans="33:33" x14ac:dyDescent="0.25">
      <c r="AG5047">
        <v>5045</v>
      </c>
    </row>
    <row r="5048" spans="33:33" x14ac:dyDescent="0.25">
      <c r="AG5048">
        <v>5046</v>
      </c>
    </row>
    <row r="5049" spans="33:33" x14ac:dyDescent="0.25">
      <c r="AG5049">
        <v>5047</v>
      </c>
    </row>
    <row r="5050" spans="33:33" x14ac:dyDescent="0.25">
      <c r="AG5050">
        <v>5048</v>
      </c>
    </row>
    <row r="5051" spans="33:33" x14ac:dyDescent="0.25">
      <c r="AG5051">
        <v>5049</v>
      </c>
    </row>
    <row r="5052" spans="33:33" x14ac:dyDescent="0.25">
      <c r="AG5052">
        <v>5050</v>
      </c>
    </row>
    <row r="5053" spans="33:33" x14ac:dyDescent="0.25">
      <c r="AG5053">
        <v>5051</v>
      </c>
    </row>
    <row r="5054" spans="33:33" x14ac:dyDescent="0.25">
      <c r="AG5054">
        <v>5052</v>
      </c>
    </row>
    <row r="5055" spans="33:33" x14ac:dyDescent="0.25">
      <c r="AG5055">
        <v>5053</v>
      </c>
    </row>
    <row r="5056" spans="33:33" x14ac:dyDescent="0.25">
      <c r="AG5056">
        <v>5054</v>
      </c>
    </row>
    <row r="5057" spans="33:33" x14ac:dyDescent="0.25">
      <c r="AG5057">
        <v>5055</v>
      </c>
    </row>
    <row r="5058" spans="33:33" x14ac:dyDescent="0.25">
      <c r="AG5058">
        <v>5056</v>
      </c>
    </row>
    <row r="5059" spans="33:33" x14ac:dyDescent="0.25">
      <c r="AG5059">
        <v>5057</v>
      </c>
    </row>
    <row r="5060" spans="33:33" x14ac:dyDescent="0.25">
      <c r="AG5060">
        <v>5058</v>
      </c>
    </row>
    <row r="5061" spans="33:33" x14ac:dyDescent="0.25">
      <c r="AG5061">
        <v>5059</v>
      </c>
    </row>
    <row r="5062" spans="33:33" x14ac:dyDescent="0.25">
      <c r="AG5062">
        <v>5060</v>
      </c>
    </row>
    <row r="5063" spans="33:33" x14ac:dyDescent="0.25">
      <c r="AG5063">
        <v>5061</v>
      </c>
    </row>
    <row r="5064" spans="33:33" x14ac:dyDescent="0.25">
      <c r="AG5064">
        <v>5062</v>
      </c>
    </row>
    <row r="5065" spans="33:33" x14ac:dyDescent="0.25">
      <c r="AG5065">
        <v>5063</v>
      </c>
    </row>
    <row r="5066" spans="33:33" x14ac:dyDescent="0.25">
      <c r="AG5066">
        <v>5064</v>
      </c>
    </row>
    <row r="5067" spans="33:33" x14ac:dyDescent="0.25">
      <c r="AG5067">
        <v>5065</v>
      </c>
    </row>
    <row r="5068" spans="33:33" x14ac:dyDescent="0.25">
      <c r="AG5068">
        <v>5066</v>
      </c>
    </row>
    <row r="5069" spans="33:33" x14ac:dyDescent="0.25">
      <c r="AG5069">
        <v>5067</v>
      </c>
    </row>
    <row r="5070" spans="33:33" x14ac:dyDescent="0.25">
      <c r="AG5070">
        <v>5068</v>
      </c>
    </row>
    <row r="5071" spans="33:33" x14ac:dyDescent="0.25">
      <c r="AG5071">
        <v>5069</v>
      </c>
    </row>
    <row r="5072" spans="33:33" x14ac:dyDescent="0.25">
      <c r="AG5072">
        <v>5070</v>
      </c>
    </row>
    <row r="5073" spans="33:33" x14ac:dyDescent="0.25">
      <c r="AG5073">
        <v>5071</v>
      </c>
    </row>
    <row r="5074" spans="33:33" x14ac:dyDescent="0.25">
      <c r="AG5074">
        <v>5072</v>
      </c>
    </row>
    <row r="5075" spans="33:33" x14ac:dyDescent="0.25">
      <c r="AG5075">
        <v>5073</v>
      </c>
    </row>
    <row r="5076" spans="33:33" x14ac:dyDescent="0.25">
      <c r="AG5076">
        <v>5074</v>
      </c>
    </row>
    <row r="5077" spans="33:33" x14ac:dyDescent="0.25">
      <c r="AG5077">
        <v>5075</v>
      </c>
    </row>
    <row r="5078" spans="33:33" x14ac:dyDescent="0.25">
      <c r="AG5078">
        <v>5076</v>
      </c>
    </row>
    <row r="5079" spans="33:33" x14ac:dyDescent="0.25">
      <c r="AG5079">
        <v>5077</v>
      </c>
    </row>
    <row r="5080" spans="33:33" x14ac:dyDescent="0.25">
      <c r="AG5080">
        <v>5078</v>
      </c>
    </row>
    <row r="5081" spans="33:33" x14ac:dyDescent="0.25">
      <c r="AG5081">
        <v>5079</v>
      </c>
    </row>
    <row r="5082" spans="33:33" x14ac:dyDescent="0.25">
      <c r="AG5082">
        <v>5080</v>
      </c>
    </row>
    <row r="5083" spans="33:33" x14ac:dyDescent="0.25">
      <c r="AG5083">
        <v>5081</v>
      </c>
    </row>
    <row r="5084" spans="33:33" x14ac:dyDescent="0.25">
      <c r="AG5084">
        <v>5082</v>
      </c>
    </row>
    <row r="5085" spans="33:33" x14ac:dyDescent="0.25">
      <c r="AG5085">
        <v>5083</v>
      </c>
    </row>
    <row r="5086" spans="33:33" x14ac:dyDescent="0.25">
      <c r="AG5086">
        <v>5084</v>
      </c>
    </row>
    <row r="5087" spans="33:33" x14ac:dyDescent="0.25">
      <c r="AG5087">
        <v>5085</v>
      </c>
    </row>
    <row r="5088" spans="33:33" x14ac:dyDescent="0.25">
      <c r="AG5088">
        <v>5086</v>
      </c>
    </row>
    <row r="5089" spans="33:33" x14ac:dyDescent="0.25">
      <c r="AG5089">
        <v>5087</v>
      </c>
    </row>
    <row r="5090" spans="33:33" x14ac:dyDescent="0.25">
      <c r="AG5090">
        <v>5088</v>
      </c>
    </row>
    <row r="5091" spans="33:33" x14ac:dyDescent="0.25">
      <c r="AG5091">
        <v>5089</v>
      </c>
    </row>
    <row r="5092" spans="33:33" x14ac:dyDescent="0.25">
      <c r="AG5092">
        <v>5090</v>
      </c>
    </row>
    <row r="5093" spans="33:33" x14ac:dyDescent="0.25">
      <c r="AG5093">
        <v>5091</v>
      </c>
    </row>
    <row r="5094" spans="33:33" x14ac:dyDescent="0.25">
      <c r="AG5094">
        <v>5092</v>
      </c>
    </row>
    <row r="5095" spans="33:33" x14ac:dyDescent="0.25">
      <c r="AG5095">
        <v>5093</v>
      </c>
    </row>
    <row r="5096" spans="33:33" x14ac:dyDescent="0.25">
      <c r="AG5096">
        <v>5094</v>
      </c>
    </row>
    <row r="5097" spans="33:33" x14ac:dyDescent="0.25">
      <c r="AG5097">
        <v>5095</v>
      </c>
    </row>
    <row r="5098" spans="33:33" x14ac:dyDescent="0.25">
      <c r="AG5098">
        <v>5096</v>
      </c>
    </row>
    <row r="5099" spans="33:33" x14ac:dyDescent="0.25">
      <c r="AG5099">
        <v>5097</v>
      </c>
    </row>
    <row r="5100" spans="33:33" x14ac:dyDescent="0.25">
      <c r="AG5100">
        <v>5098</v>
      </c>
    </row>
    <row r="5101" spans="33:33" x14ac:dyDescent="0.25">
      <c r="AG5101">
        <v>5099</v>
      </c>
    </row>
    <row r="5102" spans="33:33" x14ac:dyDescent="0.25">
      <c r="AG5102">
        <v>5100</v>
      </c>
    </row>
    <row r="5103" spans="33:33" x14ac:dyDescent="0.25">
      <c r="AG5103">
        <v>5101</v>
      </c>
    </row>
    <row r="5104" spans="33:33" x14ac:dyDescent="0.25">
      <c r="AG5104">
        <v>5102</v>
      </c>
    </row>
    <row r="5105" spans="33:33" x14ac:dyDescent="0.25">
      <c r="AG5105">
        <v>5103</v>
      </c>
    </row>
    <row r="5106" spans="33:33" x14ac:dyDescent="0.25">
      <c r="AG5106">
        <v>5104</v>
      </c>
    </row>
    <row r="5107" spans="33:33" x14ac:dyDescent="0.25">
      <c r="AG5107">
        <v>5105</v>
      </c>
    </row>
    <row r="5108" spans="33:33" x14ac:dyDescent="0.25">
      <c r="AG5108">
        <v>5106</v>
      </c>
    </row>
    <row r="5109" spans="33:33" x14ac:dyDescent="0.25">
      <c r="AG5109">
        <v>5107</v>
      </c>
    </row>
    <row r="5110" spans="33:33" x14ac:dyDescent="0.25">
      <c r="AG5110">
        <v>5108</v>
      </c>
    </row>
    <row r="5111" spans="33:33" x14ac:dyDescent="0.25">
      <c r="AG5111">
        <v>5109</v>
      </c>
    </row>
    <row r="5112" spans="33:33" x14ac:dyDescent="0.25">
      <c r="AG5112">
        <v>5110</v>
      </c>
    </row>
    <row r="5113" spans="33:33" x14ac:dyDescent="0.25">
      <c r="AG5113">
        <v>5111</v>
      </c>
    </row>
    <row r="5114" spans="33:33" x14ac:dyDescent="0.25">
      <c r="AG5114">
        <v>5112</v>
      </c>
    </row>
    <row r="5115" spans="33:33" x14ac:dyDescent="0.25">
      <c r="AG5115">
        <v>5113</v>
      </c>
    </row>
    <row r="5116" spans="33:33" x14ac:dyDescent="0.25">
      <c r="AG5116">
        <v>5114</v>
      </c>
    </row>
    <row r="5117" spans="33:33" x14ac:dyDescent="0.25">
      <c r="AG5117">
        <v>5115</v>
      </c>
    </row>
    <row r="5118" spans="33:33" x14ac:dyDescent="0.25">
      <c r="AG5118">
        <v>5116</v>
      </c>
    </row>
    <row r="5119" spans="33:33" x14ac:dyDescent="0.25">
      <c r="AG5119">
        <v>5117</v>
      </c>
    </row>
    <row r="5120" spans="33:33" x14ac:dyDescent="0.25">
      <c r="AG5120">
        <v>5118</v>
      </c>
    </row>
    <row r="5121" spans="33:33" x14ac:dyDescent="0.25">
      <c r="AG5121">
        <v>5119</v>
      </c>
    </row>
    <row r="5122" spans="33:33" x14ac:dyDescent="0.25">
      <c r="AG5122">
        <v>5120</v>
      </c>
    </row>
    <row r="5123" spans="33:33" x14ac:dyDescent="0.25">
      <c r="AG5123">
        <v>5121</v>
      </c>
    </row>
    <row r="5124" spans="33:33" x14ac:dyDescent="0.25">
      <c r="AG5124">
        <v>5122</v>
      </c>
    </row>
    <row r="5125" spans="33:33" x14ac:dyDescent="0.25">
      <c r="AG5125">
        <v>5123</v>
      </c>
    </row>
    <row r="5126" spans="33:33" x14ac:dyDescent="0.25">
      <c r="AG5126">
        <v>5124</v>
      </c>
    </row>
    <row r="5127" spans="33:33" x14ac:dyDescent="0.25">
      <c r="AG5127">
        <v>5125</v>
      </c>
    </row>
    <row r="5128" spans="33:33" x14ac:dyDescent="0.25">
      <c r="AG5128">
        <v>5126</v>
      </c>
    </row>
    <row r="5129" spans="33:33" x14ac:dyDescent="0.25">
      <c r="AG5129">
        <v>5127</v>
      </c>
    </row>
    <row r="5130" spans="33:33" x14ac:dyDescent="0.25">
      <c r="AG5130">
        <v>5128</v>
      </c>
    </row>
    <row r="5131" spans="33:33" x14ac:dyDescent="0.25">
      <c r="AG5131">
        <v>5129</v>
      </c>
    </row>
    <row r="5132" spans="33:33" x14ac:dyDescent="0.25">
      <c r="AG5132">
        <v>5130</v>
      </c>
    </row>
    <row r="5133" spans="33:33" x14ac:dyDescent="0.25">
      <c r="AG5133">
        <v>5131</v>
      </c>
    </row>
    <row r="5134" spans="33:33" x14ac:dyDescent="0.25">
      <c r="AG5134">
        <v>5132</v>
      </c>
    </row>
    <row r="5135" spans="33:33" x14ac:dyDescent="0.25">
      <c r="AG5135">
        <v>5133</v>
      </c>
    </row>
    <row r="5136" spans="33:33" x14ac:dyDescent="0.25">
      <c r="AG5136">
        <v>5134</v>
      </c>
    </row>
    <row r="5137" spans="33:33" x14ac:dyDescent="0.25">
      <c r="AG5137">
        <v>5135</v>
      </c>
    </row>
    <row r="5138" spans="33:33" x14ac:dyDescent="0.25">
      <c r="AG5138">
        <v>5136</v>
      </c>
    </row>
    <row r="5139" spans="33:33" x14ac:dyDescent="0.25">
      <c r="AG5139">
        <v>5137</v>
      </c>
    </row>
    <row r="5140" spans="33:33" x14ac:dyDescent="0.25">
      <c r="AG5140">
        <v>5138</v>
      </c>
    </row>
    <row r="5141" spans="33:33" x14ac:dyDescent="0.25">
      <c r="AG5141">
        <v>5139</v>
      </c>
    </row>
    <row r="5142" spans="33:33" x14ac:dyDescent="0.25">
      <c r="AG5142">
        <v>5140</v>
      </c>
    </row>
    <row r="5143" spans="33:33" x14ac:dyDescent="0.25">
      <c r="AG5143">
        <v>5141</v>
      </c>
    </row>
    <row r="5144" spans="33:33" x14ac:dyDescent="0.25">
      <c r="AG5144">
        <v>5142</v>
      </c>
    </row>
    <row r="5145" spans="33:33" x14ac:dyDescent="0.25">
      <c r="AG5145">
        <v>5143</v>
      </c>
    </row>
    <row r="5146" spans="33:33" x14ac:dyDescent="0.25">
      <c r="AG5146">
        <v>5144</v>
      </c>
    </row>
    <row r="5147" spans="33:33" x14ac:dyDescent="0.25">
      <c r="AG5147">
        <v>5145</v>
      </c>
    </row>
    <row r="5148" spans="33:33" x14ac:dyDescent="0.25">
      <c r="AG5148">
        <v>5146</v>
      </c>
    </row>
    <row r="5149" spans="33:33" x14ac:dyDescent="0.25">
      <c r="AG5149">
        <v>5147</v>
      </c>
    </row>
    <row r="5150" spans="33:33" x14ac:dyDescent="0.25">
      <c r="AG5150">
        <v>5148</v>
      </c>
    </row>
    <row r="5151" spans="33:33" x14ac:dyDescent="0.25">
      <c r="AG5151">
        <v>5149</v>
      </c>
    </row>
    <row r="5152" spans="33:33" x14ac:dyDescent="0.25">
      <c r="AG5152">
        <v>5150</v>
      </c>
    </row>
    <row r="5153" spans="33:33" x14ac:dyDescent="0.25">
      <c r="AG5153">
        <v>5151</v>
      </c>
    </row>
    <row r="5154" spans="33:33" x14ac:dyDescent="0.25">
      <c r="AG5154">
        <v>5152</v>
      </c>
    </row>
    <row r="5155" spans="33:33" x14ac:dyDescent="0.25">
      <c r="AG5155">
        <v>5153</v>
      </c>
    </row>
    <row r="5156" spans="33:33" x14ac:dyDescent="0.25">
      <c r="AG5156">
        <v>5154</v>
      </c>
    </row>
    <row r="5157" spans="33:33" x14ac:dyDescent="0.25">
      <c r="AG5157">
        <v>5155</v>
      </c>
    </row>
    <row r="5158" spans="33:33" x14ac:dyDescent="0.25">
      <c r="AG5158">
        <v>5156</v>
      </c>
    </row>
    <row r="5159" spans="33:33" x14ac:dyDescent="0.25">
      <c r="AG5159">
        <v>5157</v>
      </c>
    </row>
    <row r="5160" spans="33:33" x14ac:dyDescent="0.25">
      <c r="AG5160">
        <v>5158</v>
      </c>
    </row>
    <row r="5161" spans="33:33" x14ac:dyDescent="0.25">
      <c r="AG5161">
        <v>5159</v>
      </c>
    </row>
    <row r="5162" spans="33:33" x14ac:dyDescent="0.25">
      <c r="AG5162">
        <v>5160</v>
      </c>
    </row>
    <row r="5163" spans="33:33" x14ac:dyDescent="0.25">
      <c r="AG5163">
        <v>5161</v>
      </c>
    </row>
    <row r="5164" spans="33:33" x14ac:dyDescent="0.25">
      <c r="AG5164">
        <v>5162</v>
      </c>
    </row>
    <row r="5165" spans="33:33" x14ac:dyDescent="0.25">
      <c r="AG5165">
        <v>5163</v>
      </c>
    </row>
    <row r="5166" spans="33:33" x14ac:dyDescent="0.25">
      <c r="AG5166">
        <v>5164</v>
      </c>
    </row>
    <row r="5167" spans="33:33" x14ac:dyDescent="0.25">
      <c r="AG5167">
        <v>5165</v>
      </c>
    </row>
    <row r="5168" spans="33:33" x14ac:dyDescent="0.25">
      <c r="AG5168">
        <v>5166</v>
      </c>
    </row>
    <row r="5169" spans="33:33" x14ac:dyDescent="0.25">
      <c r="AG5169">
        <v>5167</v>
      </c>
    </row>
    <row r="5170" spans="33:33" x14ac:dyDescent="0.25">
      <c r="AG5170">
        <v>5168</v>
      </c>
    </row>
    <row r="5171" spans="33:33" x14ac:dyDescent="0.25">
      <c r="AG5171">
        <v>5169</v>
      </c>
    </row>
    <row r="5172" spans="33:33" x14ac:dyDescent="0.25">
      <c r="AG5172">
        <v>5170</v>
      </c>
    </row>
    <row r="5173" spans="33:33" x14ac:dyDescent="0.25">
      <c r="AG5173">
        <v>5171</v>
      </c>
    </row>
    <row r="5174" spans="33:33" x14ac:dyDescent="0.25">
      <c r="AG5174">
        <v>5172</v>
      </c>
    </row>
    <row r="5175" spans="33:33" x14ac:dyDescent="0.25">
      <c r="AG5175">
        <v>5173</v>
      </c>
    </row>
    <row r="5176" spans="33:33" x14ac:dyDescent="0.25">
      <c r="AG5176">
        <v>5174</v>
      </c>
    </row>
    <row r="5177" spans="33:33" x14ac:dyDescent="0.25">
      <c r="AG5177">
        <v>5175</v>
      </c>
    </row>
    <row r="5178" spans="33:33" x14ac:dyDescent="0.25">
      <c r="AG5178">
        <v>5176</v>
      </c>
    </row>
    <row r="5179" spans="33:33" x14ac:dyDescent="0.25">
      <c r="AG5179">
        <v>5177</v>
      </c>
    </row>
    <row r="5180" spans="33:33" x14ac:dyDescent="0.25">
      <c r="AG5180">
        <v>5178</v>
      </c>
    </row>
    <row r="5181" spans="33:33" x14ac:dyDescent="0.25">
      <c r="AG5181">
        <v>5179</v>
      </c>
    </row>
    <row r="5182" spans="33:33" x14ac:dyDescent="0.25">
      <c r="AG5182">
        <v>5180</v>
      </c>
    </row>
    <row r="5183" spans="33:33" x14ac:dyDescent="0.25">
      <c r="AG5183">
        <v>5181</v>
      </c>
    </row>
    <row r="5184" spans="33:33" x14ac:dyDescent="0.25">
      <c r="AG5184">
        <v>5182</v>
      </c>
    </row>
    <row r="5185" spans="33:33" x14ac:dyDescent="0.25">
      <c r="AG5185">
        <v>5183</v>
      </c>
    </row>
    <row r="5186" spans="33:33" x14ac:dyDescent="0.25">
      <c r="AG5186">
        <v>5184</v>
      </c>
    </row>
    <row r="5187" spans="33:33" x14ac:dyDescent="0.25">
      <c r="AG5187">
        <v>5185</v>
      </c>
    </row>
    <row r="5188" spans="33:33" x14ac:dyDescent="0.25">
      <c r="AG5188">
        <v>5186</v>
      </c>
    </row>
    <row r="5189" spans="33:33" x14ac:dyDescent="0.25">
      <c r="AG5189">
        <v>5187</v>
      </c>
    </row>
    <row r="5190" spans="33:33" x14ac:dyDescent="0.25">
      <c r="AG5190">
        <v>5188</v>
      </c>
    </row>
    <row r="5191" spans="33:33" x14ac:dyDescent="0.25">
      <c r="AG5191">
        <v>5189</v>
      </c>
    </row>
    <row r="5192" spans="33:33" x14ac:dyDescent="0.25">
      <c r="AG5192">
        <v>5190</v>
      </c>
    </row>
    <row r="5193" spans="33:33" x14ac:dyDescent="0.25">
      <c r="AG5193">
        <v>5191</v>
      </c>
    </row>
    <row r="5194" spans="33:33" x14ac:dyDescent="0.25">
      <c r="AG5194">
        <v>5192</v>
      </c>
    </row>
    <row r="5195" spans="33:33" x14ac:dyDescent="0.25">
      <c r="AG5195">
        <v>5193</v>
      </c>
    </row>
    <row r="5196" spans="33:33" x14ac:dyDescent="0.25">
      <c r="AG5196">
        <v>5194</v>
      </c>
    </row>
    <row r="5197" spans="33:33" x14ac:dyDescent="0.25">
      <c r="AG5197">
        <v>5195</v>
      </c>
    </row>
    <row r="5198" spans="33:33" x14ac:dyDescent="0.25">
      <c r="AG5198">
        <v>5196</v>
      </c>
    </row>
    <row r="5199" spans="33:33" x14ac:dyDescent="0.25">
      <c r="AG5199">
        <v>5197</v>
      </c>
    </row>
    <row r="5200" spans="33:33" x14ac:dyDescent="0.25">
      <c r="AG5200">
        <v>5198</v>
      </c>
    </row>
    <row r="5201" spans="33:33" x14ac:dyDescent="0.25">
      <c r="AG5201">
        <v>5199</v>
      </c>
    </row>
    <row r="5202" spans="33:33" x14ac:dyDescent="0.25">
      <c r="AG5202">
        <v>5200</v>
      </c>
    </row>
    <row r="5203" spans="33:33" x14ac:dyDescent="0.25">
      <c r="AG5203">
        <v>5201</v>
      </c>
    </row>
    <row r="5204" spans="33:33" x14ac:dyDescent="0.25">
      <c r="AG5204">
        <v>5202</v>
      </c>
    </row>
    <row r="5205" spans="33:33" x14ac:dyDescent="0.25">
      <c r="AG5205">
        <v>5203</v>
      </c>
    </row>
    <row r="5206" spans="33:33" x14ac:dyDescent="0.25">
      <c r="AG5206">
        <v>5204</v>
      </c>
    </row>
    <row r="5207" spans="33:33" x14ac:dyDescent="0.25">
      <c r="AG5207">
        <v>5205</v>
      </c>
    </row>
    <row r="5208" spans="33:33" x14ac:dyDescent="0.25">
      <c r="AG5208">
        <v>5206</v>
      </c>
    </row>
    <row r="5209" spans="33:33" x14ac:dyDescent="0.25">
      <c r="AG5209">
        <v>5207</v>
      </c>
    </row>
    <row r="5210" spans="33:33" x14ac:dyDescent="0.25">
      <c r="AG5210">
        <v>5208</v>
      </c>
    </row>
    <row r="5211" spans="33:33" x14ac:dyDescent="0.25">
      <c r="AG5211">
        <v>5209</v>
      </c>
    </row>
    <row r="5212" spans="33:33" x14ac:dyDescent="0.25">
      <c r="AG5212">
        <v>5210</v>
      </c>
    </row>
    <row r="5213" spans="33:33" x14ac:dyDescent="0.25">
      <c r="AG5213">
        <v>5211</v>
      </c>
    </row>
    <row r="5214" spans="33:33" x14ac:dyDescent="0.25">
      <c r="AG5214">
        <v>5212</v>
      </c>
    </row>
    <row r="5215" spans="33:33" x14ac:dyDescent="0.25">
      <c r="AG5215">
        <v>5213</v>
      </c>
    </row>
    <row r="5216" spans="33:33" x14ac:dyDescent="0.25">
      <c r="AG5216">
        <v>5214</v>
      </c>
    </row>
    <row r="5217" spans="33:33" x14ac:dyDescent="0.25">
      <c r="AG5217">
        <v>5215</v>
      </c>
    </row>
    <row r="5218" spans="33:33" x14ac:dyDescent="0.25">
      <c r="AG5218">
        <v>5216</v>
      </c>
    </row>
    <row r="5219" spans="33:33" x14ac:dyDescent="0.25">
      <c r="AG5219">
        <v>5217</v>
      </c>
    </row>
    <row r="5220" spans="33:33" x14ac:dyDescent="0.25">
      <c r="AG5220">
        <v>5218</v>
      </c>
    </row>
    <row r="5221" spans="33:33" x14ac:dyDescent="0.25">
      <c r="AG5221">
        <v>5219</v>
      </c>
    </row>
    <row r="5222" spans="33:33" x14ac:dyDescent="0.25">
      <c r="AG5222">
        <v>5220</v>
      </c>
    </row>
    <row r="5223" spans="33:33" x14ac:dyDescent="0.25">
      <c r="AG5223">
        <v>5221</v>
      </c>
    </row>
    <row r="5224" spans="33:33" x14ac:dyDescent="0.25">
      <c r="AG5224">
        <v>5222</v>
      </c>
    </row>
    <row r="5225" spans="33:33" x14ac:dyDescent="0.25">
      <c r="AG5225">
        <v>5223</v>
      </c>
    </row>
    <row r="5226" spans="33:33" x14ac:dyDescent="0.25">
      <c r="AG5226">
        <v>5224</v>
      </c>
    </row>
    <row r="5227" spans="33:33" x14ac:dyDescent="0.25">
      <c r="AG5227">
        <v>5225</v>
      </c>
    </row>
    <row r="5228" spans="33:33" x14ac:dyDescent="0.25">
      <c r="AG5228">
        <v>5226</v>
      </c>
    </row>
    <row r="5229" spans="33:33" x14ac:dyDescent="0.25">
      <c r="AG5229">
        <v>5227</v>
      </c>
    </row>
    <row r="5230" spans="33:33" x14ac:dyDescent="0.25">
      <c r="AG5230">
        <v>5228</v>
      </c>
    </row>
    <row r="5231" spans="33:33" x14ac:dyDescent="0.25">
      <c r="AG5231">
        <v>5229</v>
      </c>
    </row>
    <row r="5232" spans="33:33" x14ac:dyDescent="0.25">
      <c r="AG5232">
        <v>5230</v>
      </c>
    </row>
    <row r="5233" spans="33:33" x14ac:dyDescent="0.25">
      <c r="AG5233">
        <v>5231</v>
      </c>
    </row>
    <row r="5234" spans="33:33" x14ac:dyDescent="0.25">
      <c r="AG5234">
        <v>5232</v>
      </c>
    </row>
    <row r="5235" spans="33:33" x14ac:dyDescent="0.25">
      <c r="AG5235">
        <v>5233</v>
      </c>
    </row>
    <row r="5236" spans="33:33" x14ac:dyDescent="0.25">
      <c r="AG5236">
        <v>5234</v>
      </c>
    </row>
    <row r="5237" spans="33:33" x14ac:dyDescent="0.25">
      <c r="AG5237">
        <v>5235</v>
      </c>
    </row>
    <row r="5238" spans="33:33" x14ac:dyDescent="0.25">
      <c r="AG5238">
        <v>5236</v>
      </c>
    </row>
    <row r="5239" spans="33:33" x14ac:dyDescent="0.25">
      <c r="AG5239">
        <v>5237</v>
      </c>
    </row>
    <row r="5240" spans="33:33" x14ac:dyDescent="0.25">
      <c r="AG5240">
        <v>5238</v>
      </c>
    </row>
    <row r="5241" spans="33:33" x14ac:dyDescent="0.25">
      <c r="AG5241">
        <v>5239</v>
      </c>
    </row>
    <row r="5242" spans="33:33" x14ac:dyDescent="0.25">
      <c r="AG5242">
        <v>5240</v>
      </c>
    </row>
    <row r="5243" spans="33:33" x14ac:dyDescent="0.25">
      <c r="AG5243">
        <v>5241</v>
      </c>
    </row>
    <row r="5244" spans="33:33" x14ac:dyDescent="0.25">
      <c r="AG5244">
        <v>5242</v>
      </c>
    </row>
    <row r="5245" spans="33:33" x14ac:dyDescent="0.25">
      <c r="AG5245">
        <v>5243</v>
      </c>
    </row>
    <row r="5246" spans="33:33" x14ac:dyDescent="0.25">
      <c r="AG5246">
        <v>5244</v>
      </c>
    </row>
    <row r="5247" spans="33:33" x14ac:dyDescent="0.25">
      <c r="AG5247">
        <v>5245</v>
      </c>
    </row>
    <row r="5248" spans="33:33" x14ac:dyDescent="0.25">
      <c r="AG5248">
        <v>5246</v>
      </c>
    </row>
    <row r="5249" spans="33:33" x14ac:dyDescent="0.25">
      <c r="AG5249">
        <v>5247</v>
      </c>
    </row>
    <row r="5250" spans="33:33" x14ac:dyDescent="0.25">
      <c r="AG5250">
        <v>5248</v>
      </c>
    </row>
    <row r="5251" spans="33:33" x14ac:dyDescent="0.25">
      <c r="AG5251">
        <v>5249</v>
      </c>
    </row>
    <row r="5252" spans="33:33" x14ac:dyDescent="0.25">
      <c r="AG5252">
        <v>5250</v>
      </c>
    </row>
    <row r="5253" spans="33:33" x14ac:dyDescent="0.25">
      <c r="AG5253">
        <v>5251</v>
      </c>
    </row>
    <row r="5254" spans="33:33" x14ac:dyDescent="0.25">
      <c r="AG5254">
        <v>5252</v>
      </c>
    </row>
    <row r="5255" spans="33:33" x14ac:dyDescent="0.25">
      <c r="AG5255">
        <v>5253</v>
      </c>
    </row>
    <row r="5256" spans="33:33" x14ac:dyDescent="0.25">
      <c r="AG5256">
        <v>5254</v>
      </c>
    </row>
    <row r="5257" spans="33:33" x14ac:dyDescent="0.25">
      <c r="AG5257">
        <v>5255</v>
      </c>
    </row>
    <row r="5258" spans="33:33" x14ac:dyDescent="0.25">
      <c r="AG5258">
        <v>5256</v>
      </c>
    </row>
    <row r="5259" spans="33:33" x14ac:dyDescent="0.25">
      <c r="AG5259">
        <v>5257</v>
      </c>
    </row>
    <row r="5260" spans="33:33" x14ac:dyDescent="0.25">
      <c r="AG5260">
        <v>5258</v>
      </c>
    </row>
    <row r="5261" spans="33:33" x14ac:dyDescent="0.25">
      <c r="AG5261">
        <v>5259</v>
      </c>
    </row>
    <row r="5262" spans="33:33" x14ac:dyDescent="0.25">
      <c r="AG5262">
        <v>5260</v>
      </c>
    </row>
    <row r="5263" spans="33:33" x14ac:dyDescent="0.25">
      <c r="AG5263">
        <v>5261</v>
      </c>
    </row>
    <row r="5264" spans="33:33" x14ac:dyDescent="0.25">
      <c r="AG5264">
        <v>5262</v>
      </c>
    </row>
    <row r="5265" spans="33:33" x14ac:dyDescent="0.25">
      <c r="AG5265">
        <v>5263</v>
      </c>
    </row>
    <row r="5266" spans="33:33" x14ac:dyDescent="0.25">
      <c r="AG5266">
        <v>5264</v>
      </c>
    </row>
    <row r="5267" spans="33:33" x14ac:dyDescent="0.25">
      <c r="AG5267">
        <v>5265</v>
      </c>
    </row>
    <row r="5268" spans="33:33" x14ac:dyDescent="0.25">
      <c r="AG5268">
        <v>5266</v>
      </c>
    </row>
    <row r="5269" spans="33:33" x14ac:dyDescent="0.25">
      <c r="AG5269">
        <v>5267</v>
      </c>
    </row>
    <row r="5270" spans="33:33" x14ac:dyDescent="0.25">
      <c r="AG5270">
        <v>5268</v>
      </c>
    </row>
    <row r="5271" spans="33:33" x14ac:dyDescent="0.25">
      <c r="AG5271">
        <v>5269</v>
      </c>
    </row>
    <row r="5272" spans="33:33" x14ac:dyDescent="0.25">
      <c r="AG5272">
        <v>5270</v>
      </c>
    </row>
    <row r="5273" spans="33:33" x14ac:dyDescent="0.25">
      <c r="AG5273">
        <v>5271</v>
      </c>
    </row>
    <row r="5274" spans="33:33" x14ac:dyDescent="0.25">
      <c r="AG5274">
        <v>5272</v>
      </c>
    </row>
    <row r="5275" spans="33:33" x14ac:dyDescent="0.25">
      <c r="AG5275">
        <v>5273</v>
      </c>
    </row>
    <row r="5276" spans="33:33" x14ac:dyDescent="0.25">
      <c r="AG5276">
        <v>5274</v>
      </c>
    </row>
    <row r="5277" spans="33:33" x14ac:dyDescent="0.25">
      <c r="AG5277">
        <v>5275</v>
      </c>
    </row>
    <row r="5278" spans="33:33" x14ac:dyDescent="0.25">
      <c r="AG5278">
        <v>5276</v>
      </c>
    </row>
    <row r="5279" spans="33:33" x14ac:dyDescent="0.25">
      <c r="AG5279">
        <v>5277</v>
      </c>
    </row>
    <row r="5280" spans="33:33" x14ac:dyDescent="0.25">
      <c r="AG5280">
        <v>5278</v>
      </c>
    </row>
    <row r="5281" spans="33:33" x14ac:dyDescent="0.25">
      <c r="AG5281">
        <v>5279</v>
      </c>
    </row>
    <row r="5282" spans="33:33" x14ac:dyDescent="0.25">
      <c r="AG5282">
        <v>5280</v>
      </c>
    </row>
    <row r="5283" spans="33:33" x14ac:dyDescent="0.25">
      <c r="AG5283">
        <v>5281</v>
      </c>
    </row>
    <row r="5284" spans="33:33" x14ac:dyDescent="0.25">
      <c r="AG5284">
        <v>5282</v>
      </c>
    </row>
    <row r="5285" spans="33:33" x14ac:dyDescent="0.25">
      <c r="AG5285">
        <v>5283</v>
      </c>
    </row>
    <row r="5286" spans="33:33" x14ac:dyDescent="0.25">
      <c r="AG5286">
        <v>5284</v>
      </c>
    </row>
    <row r="5287" spans="33:33" x14ac:dyDescent="0.25">
      <c r="AG5287">
        <v>5285</v>
      </c>
    </row>
    <row r="5288" spans="33:33" x14ac:dyDescent="0.25">
      <c r="AG5288">
        <v>5286</v>
      </c>
    </row>
    <row r="5289" spans="33:33" x14ac:dyDescent="0.25">
      <c r="AG5289">
        <v>5287</v>
      </c>
    </row>
    <row r="5290" spans="33:33" x14ac:dyDescent="0.25">
      <c r="AG5290">
        <v>5288</v>
      </c>
    </row>
    <row r="5291" spans="33:33" x14ac:dyDescent="0.25">
      <c r="AG5291">
        <v>5289</v>
      </c>
    </row>
    <row r="5292" spans="33:33" x14ac:dyDescent="0.25">
      <c r="AG5292">
        <v>5290</v>
      </c>
    </row>
    <row r="5293" spans="33:33" x14ac:dyDescent="0.25">
      <c r="AG5293">
        <v>5291</v>
      </c>
    </row>
    <row r="5294" spans="33:33" x14ac:dyDescent="0.25">
      <c r="AG5294">
        <v>5292</v>
      </c>
    </row>
    <row r="5295" spans="33:33" x14ac:dyDescent="0.25">
      <c r="AG5295">
        <v>5293</v>
      </c>
    </row>
    <row r="5296" spans="33:33" x14ac:dyDescent="0.25">
      <c r="AG5296">
        <v>5294</v>
      </c>
    </row>
    <row r="5297" spans="33:33" x14ac:dyDescent="0.25">
      <c r="AG5297">
        <v>5295</v>
      </c>
    </row>
    <row r="5298" spans="33:33" x14ac:dyDescent="0.25">
      <c r="AG5298">
        <v>5296</v>
      </c>
    </row>
    <row r="5299" spans="33:33" x14ac:dyDescent="0.25">
      <c r="AG5299">
        <v>5297</v>
      </c>
    </row>
    <row r="5300" spans="33:33" x14ac:dyDescent="0.25">
      <c r="AG5300">
        <v>5298</v>
      </c>
    </row>
    <row r="5301" spans="33:33" x14ac:dyDescent="0.25">
      <c r="AG5301">
        <v>5299</v>
      </c>
    </row>
    <row r="5302" spans="33:33" x14ac:dyDescent="0.25">
      <c r="AG5302">
        <v>5300</v>
      </c>
    </row>
    <row r="5303" spans="33:33" x14ac:dyDescent="0.25">
      <c r="AG5303">
        <v>5301</v>
      </c>
    </row>
    <row r="5304" spans="33:33" x14ac:dyDescent="0.25">
      <c r="AG5304">
        <v>5302</v>
      </c>
    </row>
    <row r="5305" spans="33:33" x14ac:dyDescent="0.25">
      <c r="AG5305">
        <v>5303</v>
      </c>
    </row>
    <row r="5306" spans="33:33" x14ac:dyDescent="0.25">
      <c r="AG5306">
        <v>5304</v>
      </c>
    </row>
    <row r="5307" spans="33:33" x14ac:dyDescent="0.25">
      <c r="AG5307">
        <v>5305</v>
      </c>
    </row>
    <row r="5308" spans="33:33" x14ac:dyDescent="0.25">
      <c r="AG5308">
        <v>5306</v>
      </c>
    </row>
    <row r="5309" spans="33:33" x14ac:dyDescent="0.25">
      <c r="AG5309">
        <v>5307</v>
      </c>
    </row>
    <row r="5310" spans="33:33" x14ac:dyDescent="0.25">
      <c r="AG5310">
        <v>5308</v>
      </c>
    </row>
    <row r="5311" spans="33:33" x14ac:dyDescent="0.25">
      <c r="AG5311">
        <v>5309</v>
      </c>
    </row>
    <row r="5312" spans="33:33" x14ac:dyDescent="0.25">
      <c r="AG5312">
        <v>5310</v>
      </c>
    </row>
    <row r="5313" spans="33:33" x14ac:dyDescent="0.25">
      <c r="AG5313">
        <v>5311</v>
      </c>
    </row>
    <row r="5314" spans="33:33" x14ac:dyDescent="0.25">
      <c r="AG5314">
        <v>5312</v>
      </c>
    </row>
    <row r="5315" spans="33:33" x14ac:dyDescent="0.25">
      <c r="AG5315">
        <v>5313</v>
      </c>
    </row>
    <row r="5316" spans="33:33" x14ac:dyDescent="0.25">
      <c r="AG5316">
        <v>5314</v>
      </c>
    </row>
    <row r="5317" spans="33:33" x14ac:dyDescent="0.25">
      <c r="AG5317">
        <v>5315</v>
      </c>
    </row>
    <row r="5318" spans="33:33" x14ac:dyDescent="0.25">
      <c r="AG5318">
        <v>5316</v>
      </c>
    </row>
    <row r="5319" spans="33:33" x14ac:dyDescent="0.25">
      <c r="AG5319">
        <v>5317</v>
      </c>
    </row>
    <row r="5320" spans="33:33" x14ac:dyDescent="0.25">
      <c r="AG5320">
        <v>5318</v>
      </c>
    </row>
    <row r="5321" spans="33:33" x14ac:dyDescent="0.25">
      <c r="AG5321">
        <v>5319</v>
      </c>
    </row>
    <row r="5322" spans="33:33" x14ac:dyDescent="0.25">
      <c r="AG5322">
        <v>5320</v>
      </c>
    </row>
    <row r="5323" spans="33:33" x14ac:dyDescent="0.25">
      <c r="AG5323">
        <v>5321</v>
      </c>
    </row>
    <row r="5324" spans="33:33" x14ac:dyDescent="0.25">
      <c r="AG5324">
        <v>5322</v>
      </c>
    </row>
    <row r="5325" spans="33:33" x14ac:dyDescent="0.25">
      <c r="AG5325">
        <v>5323</v>
      </c>
    </row>
    <row r="5326" spans="33:33" x14ac:dyDescent="0.25">
      <c r="AG5326">
        <v>5324</v>
      </c>
    </row>
    <row r="5327" spans="33:33" x14ac:dyDescent="0.25">
      <c r="AG5327">
        <v>5325</v>
      </c>
    </row>
    <row r="5328" spans="33:33" x14ac:dyDescent="0.25">
      <c r="AG5328">
        <v>5326</v>
      </c>
    </row>
    <row r="5329" spans="33:33" x14ac:dyDescent="0.25">
      <c r="AG5329">
        <v>5327</v>
      </c>
    </row>
    <row r="5330" spans="33:33" x14ac:dyDescent="0.25">
      <c r="AG5330">
        <v>5328</v>
      </c>
    </row>
    <row r="5331" spans="33:33" x14ac:dyDescent="0.25">
      <c r="AG5331">
        <v>5329</v>
      </c>
    </row>
    <row r="5332" spans="33:33" x14ac:dyDescent="0.25">
      <c r="AG5332">
        <v>5330</v>
      </c>
    </row>
    <row r="5333" spans="33:33" x14ac:dyDescent="0.25">
      <c r="AG5333">
        <v>5331</v>
      </c>
    </row>
    <row r="5334" spans="33:33" x14ac:dyDescent="0.25">
      <c r="AG5334">
        <v>5332</v>
      </c>
    </row>
    <row r="5335" spans="33:33" x14ac:dyDescent="0.25">
      <c r="AG5335">
        <v>5333</v>
      </c>
    </row>
    <row r="5336" spans="33:33" x14ac:dyDescent="0.25">
      <c r="AG5336">
        <v>5334</v>
      </c>
    </row>
    <row r="5337" spans="33:33" x14ac:dyDescent="0.25">
      <c r="AG5337">
        <v>5335</v>
      </c>
    </row>
    <row r="5338" spans="33:33" x14ac:dyDescent="0.25">
      <c r="AG5338">
        <v>5336</v>
      </c>
    </row>
    <row r="5339" spans="33:33" x14ac:dyDescent="0.25">
      <c r="AG5339">
        <v>5337</v>
      </c>
    </row>
    <row r="5340" spans="33:33" x14ac:dyDescent="0.25">
      <c r="AG5340">
        <v>5338</v>
      </c>
    </row>
    <row r="5341" spans="33:33" x14ac:dyDescent="0.25">
      <c r="AG5341">
        <v>5339</v>
      </c>
    </row>
    <row r="5342" spans="33:33" x14ac:dyDescent="0.25">
      <c r="AG5342">
        <v>5340</v>
      </c>
    </row>
    <row r="5343" spans="33:33" x14ac:dyDescent="0.25">
      <c r="AG5343">
        <v>5341</v>
      </c>
    </row>
    <row r="5344" spans="33:33" x14ac:dyDescent="0.25">
      <c r="AG5344">
        <v>5342</v>
      </c>
    </row>
    <row r="5345" spans="33:33" x14ac:dyDescent="0.25">
      <c r="AG5345">
        <v>5343</v>
      </c>
    </row>
    <row r="5346" spans="33:33" x14ac:dyDescent="0.25">
      <c r="AG5346">
        <v>5344</v>
      </c>
    </row>
    <row r="5347" spans="33:33" x14ac:dyDescent="0.25">
      <c r="AG5347">
        <v>5345</v>
      </c>
    </row>
    <row r="5348" spans="33:33" x14ac:dyDescent="0.25">
      <c r="AG5348">
        <v>5346</v>
      </c>
    </row>
    <row r="5349" spans="33:33" x14ac:dyDescent="0.25">
      <c r="AG5349">
        <v>5347</v>
      </c>
    </row>
    <row r="5350" spans="33:33" x14ac:dyDescent="0.25">
      <c r="AG5350">
        <v>5348</v>
      </c>
    </row>
    <row r="5351" spans="33:33" x14ac:dyDescent="0.25">
      <c r="AG5351">
        <v>5349</v>
      </c>
    </row>
    <row r="5352" spans="33:33" x14ac:dyDescent="0.25">
      <c r="AG5352">
        <v>5350</v>
      </c>
    </row>
    <row r="5353" spans="33:33" x14ac:dyDescent="0.25">
      <c r="AG5353">
        <v>5351</v>
      </c>
    </row>
    <row r="5354" spans="33:33" x14ac:dyDescent="0.25">
      <c r="AG5354">
        <v>5352</v>
      </c>
    </row>
    <row r="5355" spans="33:33" x14ac:dyDescent="0.25">
      <c r="AG5355">
        <v>5353</v>
      </c>
    </row>
    <row r="5356" spans="33:33" x14ac:dyDescent="0.25">
      <c r="AG5356">
        <v>5354</v>
      </c>
    </row>
    <row r="5357" spans="33:33" x14ac:dyDescent="0.25">
      <c r="AG5357">
        <v>5355</v>
      </c>
    </row>
    <row r="5358" spans="33:33" x14ac:dyDescent="0.25">
      <c r="AG5358">
        <v>5356</v>
      </c>
    </row>
    <row r="5359" spans="33:33" x14ac:dyDescent="0.25">
      <c r="AG5359">
        <v>5357</v>
      </c>
    </row>
    <row r="5360" spans="33:33" x14ac:dyDescent="0.25">
      <c r="AG5360">
        <v>5358</v>
      </c>
    </row>
    <row r="5361" spans="33:33" x14ac:dyDescent="0.25">
      <c r="AG5361">
        <v>5359</v>
      </c>
    </row>
    <row r="5362" spans="33:33" x14ac:dyDescent="0.25">
      <c r="AG5362">
        <v>5360</v>
      </c>
    </row>
    <row r="5363" spans="33:33" x14ac:dyDescent="0.25">
      <c r="AG5363">
        <v>5361</v>
      </c>
    </row>
    <row r="5364" spans="33:33" x14ac:dyDescent="0.25">
      <c r="AG5364">
        <v>5362</v>
      </c>
    </row>
    <row r="5365" spans="33:33" x14ac:dyDescent="0.25">
      <c r="AG5365">
        <v>5363</v>
      </c>
    </row>
    <row r="5366" spans="33:33" x14ac:dyDescent="0.25">
      <c r="AG5366">
        <v>5364</v>
      </c>
    </row>
    <row r="5367" spans="33:33" x14ac:dyDescent="0.25">
      <c r="AG5367">
        <v>5365</v>
      </c>
    </row>
    <row r="5368" spans="33:33" x14ac:dyDescent="0.25">
      <c r="AG5368">
        <v>5366</v>
      </c>
    </row>
    <row r="5369" spans="33:33" x14ac:dyDescent="0.25">
      <c r="AG5369">
        <v>5367</v>
      </c>
    </row>
    <row r="5370" spans="33:33" x14ac:dyDescent="0.25">
      <c r="AG5370">
        <v>5368</v>
      </c>
    </row>
    <row r="5371" spans="33:33" x14ac:dyDescent="0.25">
      <c r="AG5371">
        <v>5369</v>
      </c>
    </row>
    <row r="5372" spans="33:33" x14ac:dyDescent="0.25">
      <c r="AG5372">
        <v>5370</v>
      </c>
    </row>
    <row r="5373" spans="33:33" x14ac:dyDescent="0.25">
      <c r="AG5373">
        <v>5371</v>
      </c>
    </row>
    <row r="5374" spans="33:33" x14ac:dyDescent="0.25">
      <c r="AG5374">
        <v>5372</v>
      </c>
    </row>
    <row r="5375" spans="33:33" x14ac:dyDescent="0.25">
      <c r="AG5375">
        <v>5373</v>
      </c>
    </row>
    <row r="5376" spans="33:33" x14ac:dyDescent="0.25">
      <c r="AG5376">
        <v>5374</v>
      </c>
    </row>
    <row r="5377" spans="33:33" x14ac:dyDescent="0.25">
      <c r="AG5377">
        <v>5375</v>
      </c>
    </row>
    <row r="5378" spans="33:33" x14ac:dyDescent="0.25">
      <c r="AG5378">
        <v>5376</v>
      </c>
    </row>
    <row r="5379" spans="33:33" x14ac:dyDescent="0.25">
      <c r="AG5379">
        <v>5377</v>
      </c>
    </row>
    <row r="5380" spans="33:33" x14ac:dyDescent="0.25">
      <c r="AG5380">
        <v>5378</v>
      </c>
    </row>
    <row r="5381" spans="33:33" x14ac:dyDescent="0.25">
      <c r="AG5381">
        <v>5379</v>
      </c>
    </row>
    <row r="5382" spans="33:33" x14ac:dyDescent="0.25">
      <c r="AG5382">
        <v>5380</v>
      </c>
    </row>
    <row r="5383" spans="33:33" x14ac:dyDescent="0.25">
      <c r="AG5383">
        <v>5381</v>
      </c>
    </row>
    <row r="5384" spans="33:33" x14ac:dyDescent="0.25">
      <c r="AG5384">
        <v>5382</v>
      </c>
    </row>
    <row r="5385" spans="33:33" x14ac:dyDescent="0.25">
      <c r="AG5385">
        <v>5383</v>
      </c>
    </row>
    <row r="5386" spans="33:33" x14ac:dyDescent="0.25">
      <c r="AG5386">
        <v>5384</v>
      </c>
    </row>
    <row r="5387" spans="33:33" x14ac:dyDescent="0.25">
      <c r="AG5387">
        <v>5385</v>
      </c>
    </row>
    <row r="5388" spans="33:33" x14ac:dyDescent="0.25">
      <c r="AG5388">
        <v>5386</v>
      </c>
    </row>
    <row r="5389" spans="33:33" x14ac:dyDescent="0.25">
      <c r="AG5389">
        <v>5387</v>
      </c>
    </row>
    <row r="5390" spans="33:33" x14ac:dyDescent="0.25">
      <c r="AG5390">
        <v>5388</v>
      </c>
    </row>
    <row r="5391" spans="33:33" x14ac:dyDescent="0.25">
      <c r="AG5391">
        <v>5389</v>
      </c>
    </row>
    <row r="5392" spans="33:33" x14ac:dyDescent="0.25">
      <c r="AG5392">
        <v>5390</v>
      </c>
    </row>
    <row r="5393" spans="33:33" x14ac:dyDescent="0.25">
      <c r="AG5393">
        <v>5391</v>
      </c>
    </row>
    <row r="5394" spans="33:33" x14ac:dyDescent="0.25">
      <c r="AG5394">
        <v>5392</v>
      </c>
    </row>
    <row r="5395" spans="33:33" x14ac:dyDescent="0.25">
      <c r="AG5395">
        <v>5393</v>
      </c>
    </row>
    <row r="5396" spans="33:33" x14ac:dyDescent="0.25">
      <c r="AG5396">
        <v>5394</v>
      </c>
    </row>
    <row r="5397" spans="33:33" x14ac:dyDescent="0.25">
      <c r="AG5397">
        <v>5395</v>
      </c>
    </row>
    <row r="5398" spans="33:33" x14ac:dyDescent="0.25">
      <c r="AG5398">
        <v>5396</v>
      </c>
    </row>
    <row r="5399" spans="33:33" x14ac:dyDescent="0.25">
      <c r="AG5399">
        <v>5397</v>
      </c>
    </row>
    <row r="5400" spans="33:33" x14ac:dyDescent="0.25">
      <c r="AG5400">
        <v>5398</v>
      </c>
    </row>
    <row r="5401" spans="33:33" x14ac:dyDescent="0.25">
      <c r="AG5401">
        <v>5399</v>
      </c>
    </row>
    <row r="5402" spans="33:33" x14ac:dyDescent="0.25">
      <c r="AG5402">
        <v>5400</v>
      </c>
    </row>
    <row r="5403" spans="33:33" x14ac:dyDescent="0.25">
      <c r="AG5403">
        <v>5401</v>
      </c>
    </row>
    <row r="5404" spans="33:33" x14ac:dyDescent="0.25">
      <c r="AG5404">
        <v>5402</v>
      </c>
    </row>
    <row r="5405" spans="33:33" x14ac:dyDescent="0.25">
      <c r="AG5405">
        <v>5403</v>
      </c>
    </row>
    <row r="5406" spans="33:33" x14ac:dyDescent="0.25">
      <c r="AG5406">
        <v>5404</v>
      </c>
    </row>
    <row r="5407" spans="33:33" x14ac:dyDescent="0.25">
      <c r="AG5407">
        <v>5405</v>
      </c>
    </row>
    <row r="5408" spans="33:33" x14ac:dyDescent="0.25">
      <c r="AG5408">
        <v>5406</v>
      </c>
    </row>
    <row r="5409" spans="33:33" x14ac:dyDescent="0.25">
      <c r="AG5409">
        <v>5407</v>
      </c>
    </row>
    <row r="5410" spans="33:33" x14ac:dyDescent="0.25">
      <c r="AG5410">
        <v>5408</v>
      </c>
    </row>
    <row r="5411" spans="33:33" x14ac:dyDescent="0.25">
      <c r="AG5411">
        <v>5409</v>
      </c>
    </row>
    <row r="5412" spans="33:33" x14ac:dyDescent="0.25">
      <c r="AG5412">
        <v>5410</v>
      </c>
    </row>
    <row r="5413" spans="33:33" x14ac:dyDescent="0.25">
      <c r="AG5413">
        <v>5411</v>
      </c>
    </row>
    <row r="5414" spans="33:33" x14ac:dyDescent="0.25">
      <c r="AG5414">
        <v>5412</v>
      </c>
    </row>
    <row r="5415" spans="33:33" x14ac:dyDescent="0.25">
      <c r="AG5415">
        <v>5413</v>
      </c>
    </row>
    <row r="5416" spans="33:33" x14ac:dyDescent="0.25">
      <c r="AG5416">
        <v>5414</v>
      </c>
    </row>
    <row r="5417" spans="33:33" x14ac:dyDescent="0.25">
      <c r="AG5417">
        <v>5415</v>
      </c>
    </row>
    <row r="5418" spans="33:33" x14ac:dyDescent="0.25">
      <c r="AG5418">
        <v>5416</v>
      </c>
    </row>
    <row r="5419" spans="33:33" x14ac:dyDescent="0.25">
      <c r="AG5419">
        <v>5417</v>
      </c>
    </row>
    <row r="5420" spans="33:33" x14ac:dyDescent="0.25">
      <c r="AG5420">
        <v>5418</v>
      </c>
    </row>
    <row r="5421" spans="33:33" x14ac:dyDescent="0.25">
      <c r="AG5421">
        <v>5419</v>
      </c>
    </row>
    <row r="5422" spans="33:33" x14ac:dyDescent="0.25">
      <c r="AG5422">
        <v>5420</v>
      </c>
    </row>
    <row r="5423" spans="33:33" x14ac:dyDescent="0.25">
      <c r="AG5423">
        <v>5421</v>
      </c>
    </row>
    <row r="5424" spans="33:33" x14ac:dyDescent="0.25">
      <c r="AG5424">
        <v>5422</v>
      </c>
    </row>
    <row r="5425" spans="33:33" x14ac:dyDescent="0.25">
      <c r="AG5425">
        <v>5423</v>
      </c>
    </row>
    <row r="5426" spans="33:33" x14ac:dyDescent="0.25">
      <c r="AG5426">
        <v>5424</v>
      </c>
    </row>
    <row r="5427" spans="33:33" x14ac:dyDescent="0.25">
      <c r="AG5427">
        <v>5425</v>
      </c>
    </row>
    <row r="5428" spans="33:33" x14ac:dyDescent="0.25">
      <c r="AG5428">
        <v>5426</v>
      </c>
    </row>
    <row r="5429" spans="33:33" x14ac:dyDescent="0.25">
      <c r="AG5429">
        <v>5427</v>
      </c>
    </row>
    <row r="5430" spans="33:33" x14ac:dyDescent="0.25">
      <c r="AG5430">
        <v>5428</v>
      </c>
    </row>
    <row r="5431" spans="33:33" x14ac:dyDescent="0.25">
      <c r="AG5431">
        <v>5429</v>
      </c>
    </row>
    <row r="5432" spans="33:33" x14ac:dyDescent="0.25">
      <c r="AG5432">
        <v>5430</v>
      </c>
    </row>
    <row r="5433" spans="33:33" x14ac:dyDescent="0.25">
      <c r="AG5433">
        <v>5431</v>
      </c>
    </row>
    <row r="5434" spans="33:33" x14ac:dyDescent="0.25">
      <c r="AG5434">
        <v>5432</v>
      </c>
    </row>
    <row r="5435" spans="33:33" x14ac:dyDescent="0.25">
      <c r="AG5435">
        <v>5433</v>
      </c>
    </row>
    <row r="5436" spans="33:33" x14ac:dyDescent="0.25">
      <c r="AG5436">
        <v>5434</v>
      </c>
    </row>
    <row r="5437" spans="33:33" x14ac:dyDescent="0.25">
      <c r="AG5437">
        <v>5435</v>
      </c>
    </row>
    <row r="5438" spans="33:33" x14ac:dyDescent="0.25">
      <c r="AG5438">
        <v>5436</v>
      </c>
    </row>
    <row r="5439" spans="33:33" x14ac:dyDescent="0.25">
      <c r="AG5439">
        <v>5437</v>
      </c>
    </row>
    <row r="5440" spans="33:33" x14ac:dyDescent="0.25">
      <c r="AG5440">
        <v>5438</v>
      </c>
    </row>
    <row r="5441" spans="33:33" x14ac:dyDescent="0.25">
      <c r="AG5441">
        <v>5439</v>
      </c>
    </row>
    <row r="5442" spans="33:33" x14ac:dyDescent="0.25">
      <c r="AG5442">
        <v>5440</v>
      </c>
    </row>
    <row r="5443" spans="33:33" x14ac:dyDescent="0.25">
      <c r="AG5443">
        <v>5441</v>
      </c>
    </row>
    <row r="5444" spans="33:33" x14ac:dyDescent="0.25">
      <c r="AG5444">
        <v>5442</v>
      </c>
    </row>
    <row r="5445" spans="33:33" x14ac:dyDescent="0.25">
      <c r="AG5445">
        <v>5443</v>
      </c>
    </row>
    <row r="5446" spans="33:33" x14ac:dyDescent="0.25">
      <c r="AG5446">
        <v>5444</v>
      </c>
    </row>
    <row r="5447" spans="33:33" x14ac:dyDescent="0.25">
      <c r="AG5447">
        <v>5445</v>
      </c>
    </row>
    <row r="5448" spans="33:33" x14ac:dyDescent="0.25">
      <c r="AG5448">
        <v>5446</v>
      </c>
    </row>
    <row r="5449" spans="33:33" x14ac:dyDescent="0.25">
      <c r="AG5449">
        <v>5447</v>
      </c>
    </row>
    <row r="5450" spans="33:33" x14ac:dyDescent="0.25">
      <c r="AG5450">
        <v>5448</v>
      </c>
    </row>
    <row r="5451" spans="33:33" x14ac:dyDescent="0.25">
      <c r="AG5451">
        <v>5449</v>
      </c>
    </row>
    <row r="5452" spans="33:33" x14ac:dyDescent="0.25">
      <c r="AG5452">
        <v>5450</v>
      </c>
    </row>
    <row r="5453" spans="33:33" x14ac:dyDescent="0.25">
      <c r="AG5453">
        <v>5451</v>
      </c>
    </row>
    <row r="5454" spans="33:33" x14ac:dyDescent="0.25">
      <c r="AG5454">
        <v>5452</v>
      </c>
    </row>
    <row r="5455" spans="33:33" x14ac:dyDescent="0.25">
      <c r="AG5455">
        <v>5453</v>
      </c>
    </row>
    <row r="5456" spans="33:33" x14ac:dyDescent="0.25">
      <c r="AG5456">
        <v>5454</v>
      </c>
    </row>
    <row r="5457" spans="33:33" x14ac:dyDescent="0.25">
      <c r="AG5457">
        <v>5455</v>
      </c>
    </row>
    <row r="5458" spans="33:33" x14ac:dyDescent="0.25">
      <c r="AG5458">
        <v>5456</v>
      </c>
    </row>
    <row r="5459" spans="33:33" x14ac:dyDescent="0.25">
      <c r="AG5459">
        <v>5457</v>
      </c>
    </row>
    <row r="5460" spans="33:33" x14ac:dyDescent="0.25">
      <c r="AG5460">
        <v>5458</v>
      </c>
    </row>
    <row r="5461" spans="33:33" x14ac:dyDescent="0.25">
      <c r="AG5461">
        <v>5459</v>
      </c>
    </row>
    <row r="5462" spans="33:33" x14ac:dyDescent="0.25">
      <c r="AG5462">
        <v>5460</v>
      </c>
    </row>
    <row r="5463" spans="33:33" x14ac:dyDescent="0.25">
      <c r="AG5463">
        <v>5461</v>
      </c>
    </row>
    <row r="5464" spans="33:33" x14ac:dyDescent="0.25">
      <c r="AG5464">
        <v>5462</v>
      </c>
    </row>
    <row r="5465" spans="33:33" x14ac:dyDescent="0.25">
      <c r="AG5465">
        <v>5463</v>
      </c>
    </row>
    <row r="5466" spans="33:33" x14ac:dyDescent="0.25">
      <c r="AG5466">
        <v>5464</v>
      </c>
    </row>
    <row r="5467" spans="33:33" x14ac:dyDescent="0.25">
      <c r="AG5467">
        <v>5465</v>
      </c>
    </row>
    <row r="5468" spans="33:33" x14ac:dyDescent="0.25">
      <c r="AG5468">
        <v>5466</v>
      </c>
    </row>
    <row r="5469" spans="33:33" x14ac:dyDescent="0.25">
      <c r="AG5469">
        <v>5467</v>
      </c>
    </row>
    <row r="5470" spans="33:33" x14ac:dyDescent="0.25">
      <c r="AG5470">
        <v>5468</v>
      </c>
    </row>
    <row r="5471" spans="33:33" x14ac:dyDescent="0.25">
      <c r="AG5471">
        <v>5469</v>
      </c>
    </row>
    <row r="5472" spans="33:33" x14ac:dyDescent="0.25">
      <c r="AG5472">
        <v>5470</v>
      </c>
    </row>
    <row r="5473" spans="33:33" x14ac:dyDescent="0.25">
      <c r="AG5473">
        <v>5471</v>
      </c>
    </row>
    <row r="5474" spans="33:33" x14ac:dyDescent="0.25">
      <c r="AG5474">
        <v>5472</v>
      </c>
    </row>
    <row r="5475" spans="33:33" x14ac:dyDescent="0.25">
      <c r="AG5475">
        <v>5473</v>
      </c>
    </row>
    <row r="5476" spans="33:33" x14ac:dyDescent="0.25">
      <c r="AG5476">
        <v>5474</v>
      </c>
    </row>
    <row r="5477" spans="33:33" x14ac:dyDescent="0.25">
      <c r="AG5477">
        <v>5475</v>
      </c>
    </row>
    <row r="5478" spans="33:33" x14ac:dyDescent="0.25">
      <c r="AG5478">
        <v>5476</v>
      </c>
    </row>
    <row r="5479" spans="33:33" x14ac:dyDescent="0.25">
      <c r="AG5479">
        <v>5477</v>
      </c>
    </row>
    <row r="5480" spans="33:33" x14ac:dyDescent="0.25">
      <c r="AG5480">
        <v>5478</v>
      </c>
    </row>
    <row r="5481" spans="33:33" x14ac:dyDescent="0.25">
      <c r="AG5481">
        <v>5479</v>
      </c>
    </row>
    <row r="5482" spans="33:33" x14ac:dyDescent="0.25">
      <c r="AG5482">
        <v>5480</v>
      </c>
    </row>
    <row r="5483" spans="33:33" x14ac:dyDescent="0.25">
      <c r="AG5483">
        <v>5481</v>
      </c>
    </row>
    <row r="5484" spans="33:33" x14ac:dyDescent="0.25">
      <c r="AG5484">
        <v>5482</v>
      </c>
    </row>
    <row r="5485" spans="33:33" x14ac:dyDescent="0.25">
      <c r="AG5485">
        <v>5483</v>
      </c>
    </row>
    <row r="5486" spans="33:33" x14ac:dyDescent="0.25">
      <c r="AG5486">
        <v>5484</v>
      </c>
    </row>
    <row r="5487" spans="33:33" x14ac:dyDescent="0.25">
      <c r="AG5487">
        <v>5485</v>
      </c>
    </row>
    <row r="5488" spans="33:33" x14ac:dyDescent="0.25">
      <c r="AG5488">
        <v>5486</v>
      </c>
    </row>
    <row r="5489" spans="33:33" x14ac:dyDescent="0.25">
      <c r="AG5489">
        <v>5487</v>
      </c>
    </row>
    <row r="5490" spans="33:33" x14ac:dyDescent="0.25">
      <c r="AG5490">
        <v>5488</v>
      </c>
    </row>
    <row r="5491" spans="33:33" x14ac:dyDescent="0.25">
      <c r="AG5491">
        <v>5489</v>
      </c>
    </row>
    <row r="5492" spans="33:33" x14ac:dyDescent="0.25">
      <c r="AG5492">
        <v>5490</v>
      </c>
    </row>
    <row r="5493" spans="33:33" x14ac:dyDescent="0.25">
      <c r="AG5493">
        <v>5491</v>
      </c>
    </row>
    <row r="5494" spans="33:33" x14ac:dyDescent="0.25">
      <c r="AG5494">
        <v>5492</v>
      </c>
    </row>
    <row r="5495" spans="33:33" x14ac:dyDescent="0.25">
      <c r="AG5495">
        <v>5493</v>
      </c>
    </row>
    <row r="5496" spans="33:33" x14ac:dyDescent="0.25">
      <c r="AG5496">
        <v>5494</v>
      </c>
    </row>
    <row r="5497" spans="33:33" x14ac:dyDescent="0.25">
      <c r="AG5497">
        <v>5495</v>
      </c>
    </row>
    <row r="5498" spans="33:33" x14ac:dyDescent="0.25">
      <c r="AG5498">
        <v>5496</v>
      </c>
    </row>
    <row r="5499" spans="33:33" x14ac:dyDescent="0.25">
      <c r="AG5499">
        <v>5497</v>
      </c>
    </row>
    <row r="5500" spans="33:33" x14ac:dyDescent="0.25">
      <c r="AG5500">
        <v>5498</v>
      </c>
    </row>
    <row r="5501" spans="33:33" x14ac:dyDescent="0.25">
      <c r="AG5501">
        <v>5499</v>
      </c>
    </row>
    <row r="5502" spans="33:33" x14ac:dyDescent="0.25">
      <c r="AG5502">
        <v>5500</v>
      </c>
    </row>
    <row r="5503" spans="33:33" x14ac:dyDescent="0.25">
      <c r="AG5503">
        <v>5501</v>
      </c>
    </row>
    <row r="5504" spans="33:33" x14ac:dyDescent="0.25">
      <c r="AG5504">
        <v>5502</v>
      </c>
    </row>
    <row r="5505" spans="33:33" x14ac:dyDescent="0.25">
      <c r="AG5505">
        <v>5503</v>
      </c>
    </row>
    <row r="5506" spans="33:33" x14ac:dyDescent="0.25">
      <c r="AG5506">
        <v>5504</v>
      </c>
    </row>
    <row r="5507" spans="33:33" x14ac:dyDescent="0.25">
      <c r="AG5507">
        <v>5505</v>
      </c>
    </row>
    <row r="5508" spans="33:33" x14ac:dyDescent="0.25">
      <c r="AG5508">
        <v>5506</v>
      </c>
    </row>
    <row r="5509" spans="33:33" x14ac:dyDescent="0.25">
      <c r="AG5509">
        <v>5507</v>
      </c>
    </row>
    <row r="5510" spans="33:33" x14ac:dyDescent="0.25">
      <c r="AG5510">
        <v>5508</v>
      </c>
    </row>
    <row r="5511" spans="33:33" x14ac:dyDescent="0.25">
      <c r="AG5511">
        <v>5509</v>
      </c>
    </row>
    <row r="5512" spans="33:33" x14ac:dyDescent="0.25">
      <c r="AG5512">
        <v>5510</v>
      </c>
    </row>
    <row r="5513" spans="33:33" x14ac:dyDescent="0.25">
      <c r="AG5513">
        <v>5511</v>
      </c>
    </row>
    <row r="5514" spans="33:33" x14ac:dyDescent="0.25">
      <c r="AG5514">
        <v>5512</v>
      </c>
    </row>
    <row r="5515" spans="33:33" x14ac:dyDescent="0.25">
      <c r="AG5515">
        <v>5513</v>
      </c>
    </row>
    <row r="5516" spans="33:33" x14ac:dyDescent="0.25">
      <c r="AG5516">
        <v>5514</v>
      </c>
    </row>
    <row r="5517" spans="33:33" x14ac:dyDescent="0.25">
      <c r="AG5517">
        <v>5515</v>
      </c>
    </row>
    <row r="5518" spans="33:33" x14ac:dyDescent="0.25">
      <c r="AG5518">
        <v>5516</v>
      </c>
    </row>
    <row r="5519" spans="33:33" x14ac:dyDescent="0.25">
      <c r="AG5519">
        <v>5517</v>
      </c>
    </row>
    <row r="5520" spans="33:33" x14ac:dyDescent="0.25">
      <c r="AG5520">
        <v>5518</v>
      </c>
    </row>
    <row r="5521" spans="33:33" x14ac:dyDescent="0.25">
      <c r="AG5521">
        <v>5519</v>
      </c>
    </row>
    <row r="5522" spans="33:33" x14ac:dyDescent="0.25">
      <c r="AG5522">
        <v>5520</v>
      </c>
    </row>
    <row r="5523" spans="33:33" x14ac:dyDescent="0.25">
      <c r="AG5523">
        <v>5521</v>
      </c>
    </row>
    <row r="5524" spans="33:33" x14ac:dyDescent="0.25">
      <c r="AG5524">
        <v>5522</v>
      </c>
    </row>
    <row r="5525" spans="33:33" x14ac:dyDescent="0.25">
      <c r="AG5525">
        <v>5523</v>
      </c>
    </row>
    <row r="5526" spans="33:33" x14ac:dyDescent="0.25">
      <c r="AG5526">
        <v>5524</v>
      </c>
    </row>
    <row r="5527" spans="33:33" x14ac:dyDescent="0.25">
      <c r="AG5527">
        <v>5525</v>
      </c>
    </row>
    <row r="5528" spans="33:33" x14ac:dyDescent="0.25">
      <c r="AG5528">
        <v>5526</v>
      </c>
    </row>
    <row r="5529" spans="33:33" x14ac:dyDescent="0.25">
      <c r="AG5529">
        <v>5527</v>
      </c>
    </row>
    <row r="5530" spans="33:33" x14ac:dyDescent="0.25">
      <c r="AG5530">
        <v>5528</v>
      </c>
    </row>
    <row r="5531" spans="33:33" x14ac:dyDescent="0.25">
      <c r="AG5531">
        <v>5529</v>
      </c>
    </row>
    <row r="5532" spans="33:33" x14ac:dyDescent="0.25">
      <c r="AG5532">
        <v>5530</v>
      </c>
    </row>
    <row r="5533" spans="33:33" x14ac:dyDescent="0.25">
      <c r="AG5533">
        <v>5531</v>
      </c>
    </row>
    <row r="5534" spans="33:33" x14ac:dyDescent="0.25">
      <c r="AG5534">
        <v>5532</v>
      </c>
    </row>
    <row r="5535" spans="33:33" x14ac:dyDescent="0.25">
      <c r="AG5535">
        <v>5533</v>
      </c>
    </row>
    <row r="5536" spans="33:33" x14ac:dyDescent="0.25">
      <c r="AG5536">
        <v>5534</v>
      </c>
    </row>
    <row r="5537" spans="33:33" x14ac:dyDescent="0.25">
      <c r="AG5537">
        <v>5535</v>
      </c>
    </row>
    <row r="5538" spans="33:33" x14ac:dyDescent="0.25">
      <c r="AG5538">
        <v>5536</v>
      </c>
    </row>
    <row r="5539" spans="33:33" x14ac:dyDescent="0.25">
      <c r="AG5539">
        <v>5537</v>
      </c>
    </row>
    <row r="5540" spans="33:33" x14ac:dyDescent="0.25">
      <c r="AG5540">
        <v>5538</v>
      </c>
    </row>
    <row r="5541" spans="33:33" x14ac:dyDescent="0.25">
      <c r="AG5541">
        <v>5539</v>
      </c>
    </row>
    <row r="5542" spans="33:33" x14ac:dyDescent="0.25">
      <c r="AG5542">
        <v>5540</v>
      </c>
    </row>
    <row r="5543" spans="33:33" x14ac:dyDescent="0.25">
      <c r="AG5543">
        <v>5541</v>
      </c>
    </row>
    <row r="5544" spans="33:33" x14ac:dyDescent="0.25">
      <c r="AG5544">
        <v>5542</v>
      </c>
    </row>
    <row r="5545" spans="33:33" x14ac:dyDescent="0.25">
      <c r="AG5545">
        <v>5543</v>
      </c>
    </row>
    <row r="5546" spans="33:33" x14ac:dyDescent="0.25">
      <c r="AG5546">
        <v>5544</v>
      </c>
    </row>
    <row r="5547" spans="33:33" x14ac:dyDescent="0.25">
      <c r="AG5547">
        <v>5545</v>
      </c>
    </row>
    <row r="5548" spans="33:33" x14ac:dyDescent="0.25">
      <c r="AG5548">
        <v>5546</v>
      </c>
    </row>
    <row r="5549" spans="33:33" x14ac:dyDescent="0.25">
      <c r="AG5549">
        <v>5547</v>
      </c>
    </row>
    <row r="5550" spans="33:33" x14ac:dyDescent="0.25">
      <c r="AG5550">
        <v>5548</v>
      </c>
    </row>
    <row r="5551" spans="33:33" x14ac:dyDescent="0.25">
      <c r="AG5551">
        <v>5549</v>
      </c>
    </row>
    <row r="5552" spans="33:33" x14ac:dyDescent="0.25">
      <c r="AG5552">
        <v>5550</v>
      </c>
    </row>
    <row r="5553" spans="33:33" x14ac:dyDescent="0.25">
      <c r="AG5553">
        <v>5551</v>
      </c>
    </row>
    <row r="5554" spans="33:33" x14ac:dyDescent="0.25">
      <c r="AG5554">
        <v>5552</v>
      </c>
    </row>
    <row r="5555" spans="33:33" x14ac:dyDescent="0.25">
      <c r="AG5555">
        <v>5553</v>
      </c>
    </row>
    <row r="5556" spans="33:33" x14ac:dyDescent="0.25">
      <c r="AG5556">
        <v>5554</v>
      </c>
    </row>
    <row r="5557" spans="33:33" x14ac:dyDescent="0.25">
      <c r="AG5557">
        <v>5555</v>
      </c>
    </row>
    <row r="5558" spans="33:33" x14ac:dyDescent="0.25">
      <c r="AG5558">
        <v>5556</v>
      </c>
    </row>
    <row r="5559" spans="33:33" x14ac:dyDescent="0.25">
      <c r="AG5559">
        <v>5557</v>
      </c>
    </row>
    <row r="5560" spans="33:33" x14ac:dyDescent="0.25">
      <c r="AG5560">
        <v>5558</v>
      </c>
    </row>
    <row r="5561" spans="33:33" x14ac:dyDescent="0.25">
      <c r="AG5561">
        <v>5559</v>
      </c>
    </row>
    <row r="5562" spans="33:33" x14ac:dyDescent="0.25">
      <c r="AG5562">
        <v>5560</v>
      </c>
    </row>
    <row r="5563" spans="33:33" x14ac:dyDescent="0.25">
      <c r="AG5563">
        <v>5561</v>
      </c>
    </row>
    <row r="5564" spans="33:33" x14ac:dyDescent="0.25">
      <c r="AG5564">
        <v>5562</v>
      </c>
    </row>
    <row r="5565" spans="33:33" x14ac:dyDescent="0.25">
      <c r="AG5565">
        <v>5563</v>
      </c>
    </row>
    <row r="5566" spans="33:33" x14ac:dyDescent="0.25">
      <c r="AG5566">
        <v>5564</v>
      </c>
    </row>
    <row r="5567" spans="33:33" x14ac:dyDescent="0.25">
      <c r="AG5567">
        <v>5565</v>
      </c>
    </row>
    <row r="5568" spans="33:33" x14ac:dyDescent="0.25">
      <c r="AG5568">
        <v>5566</v>
      </c>
    </row>
    <row r="5569" spans="33:33" x14ac:dyDescent="0.25">
      <c r="AG5569">
        <v>5567</v>
      </c>
    </row>
    <row r="5570" spans="33:33" x14ac:dyDescent="0.25">
      <c r="AG5570">
        <v>5568</v>
      </c>
    </row>
    <row r="5571" spans="33:33" x14ac:dyDescent="0.25">
      <c r="AG5571">
        <v>5569</v>
      </c>
    </row>
    <row r="5572" spans="33:33" x14ac:dyDescent="0.25">
      <c r="AG5572">
        <v>5570</v>
      </c>
    </row>
    <row r="5573" spans="33:33" x14ac:dyDescent="0.25">
      <c r="AG5573">
        <v>5571</v>
      </c>
    </row>
    <row r="5574" spans="33:33" x14ac:dyDescent="0.25">
      <c r="AG5574">
        <v>5572</v>
      </c>
    </row>
    <row r="5575" spans="33:33" x14ac:dyDescent="0.25">
      <c r="AG5575">
        <v>5573</v>
      </c>
    </row>
    <row r="5576" spans="33:33" x14ac:dyDescent="0.25">
      <c r="AG5576">
        <v>5574</v>
      </c>
    </row>
    <row r="5577" spans="33:33" x14ac:dyDescent="0.25">
      <c r="AG5577">
        <v>5575</v>
      </c>
    </row>
    <row r="5578" spans="33:33" x14ac:dyDescent="0.25">
      <c r="AG5578">
        <v>5576</v>
      </c>
    </row>
    <row r="5579" spans="33:33" x14ac:dyDescent="0.25">
      <c r="AG5579">
        <v>5577</v>
      </c>
    </row>
    <row r="5580" spans="33:33" x14ac:dyDescent="0.25">
      <c r="AG5580">
        <v>5578</v>
      </c>
    </row>
    <row r="5581" spans="33:33" x14ac:dyDescent="0.25">
      <c r="AG5581">
        <v>5579</v>
      </c>
    </row>
    <row r="5582" spans="33:33" x14ac:dyDescent="0.25">
      <c r="AG5582">
        <v>5580</v>
      </c>
    </row>
    <row r="5583" spans="33:33" x14ac:dyDescent="0.25">
      <c r="AG5583">
        <v>5581</v>
      </c>
    </row>
    <row r="5584" spans="33:33" x14ac:dyDescent="0.25">
      <c r="AG5584">
        <v>5582</v>
      </c>
    </row>
    <row r="5585" spans="33:33" x14ac:dyDescent="0.25">
      <c r="AG5585">
        <v>5583</v>
      </c>
    </row>
    <row r="5586" spans="33:33" x14ac:dyDescent="0.25">
      <c r="AG5586">
        <v>5584</v>
      </c>
    </row>
    <row r="5587" spans="33:33" x14ac:dyDescent="0.25">
      <c r="AG5587">
        <v>5585</v>
      </c>
    </row>
    <row r="5588" spans="33:33" x14ac:dyDescent="0.25">
      <c r="AG5588">
        <v>5586</v>
      </c>
    </row>
    <row r="5589" spans="33:33" x14ac:dyDescent="0.25">
      <c r="AG5589">
        <v>5587</v>
      </c>
    </row>
    <row r="5590" spans="33:33" x14ac:dyDescent="0.25">
      <c r="AG5590">
        <v>5588</v>
      </c>
    </row>
    <row r="5591" spans="33:33" x14ac:dyDescent="0.25">
      <c r="AG5591">
        <v>5589</v>
      </c>
    </row>
    <row r="5592" spans="33:33" x14ac:dyDescent="0.25">
      <c r="AG5592">
        <v>5590</v>
      </c>
    </row>
    <row r="5593" spans="33:33" x14ac:dyDescent="0.25">
      <c r="AG5593">
        <v>5591</v>
      </c>
    </row>
    <row r="5594" spans="33:33" x14ac:dyDescent="0.25">
      <c r="AG5594">
        <v>5592</v>
      </c>
    </row>
    <row r="5595" spans="33:33" x14ac:dyDescent="0.25">
      <c r="AG5595">
        <v>5593</v>
      </c>
    </row>
    <row r="5596" spans="33:33" x14ac:dyDescent="0.25">
      <c r="AG5596">
        <v>5594</v>
      </c>
    </row>
    <row r="5597" spans="33:33" x14ac:dyDescent="0.25">
      <c r="AG5597">
        <v>5595</v>
      </c>
    </row>
    <row r="5598" spans="33:33" x14ac:dyDescent="0.25">
      <c r="AG5598">
        <v>5596</v>
      </c>
    </row>
    <row r="5599" spans="33:33" x14ac:dyDescent="0.25">
      <c r="AG5599">
        <v>5597</v>
      </c>
    </row>
    <row r="5600" spans="33:33" x14ac:dyDescent="0.25">
      <c r="AG5600">
        <v>5598</v>
      </c>
    </row>
    <row r="5601" spans="33:33" x14ac:dyDescent="0.25">
      <c r="AG5601">
        <v>5599</v>
      </c>
    </row>
    <row r="5602" spans="33:33" x14ac:dyDescent="0.25">
      <c r="AG5602">
        <v>5600</v>
      </c>
    </row>
    <row r="5603" spans="33:33" x14ac:dyDescent="0.25">
      <c r="AG5603">
        <v>5601</v>
      </c>
    </row>
    <row r="5604" spans="33:33" x14ac:dyDescent="0.25">
      <c r="AG5604">
        <v>5602</v>
      </c>
    </row>
    <row r="5605" spans="33:33" x14ac:dyDescent="0.25">
      <c r="AG5605">
        <v>5603</v>
      </c>
    </row>
    <row r="5606" spans="33:33" x14ac:dyDescent="0.25">
      <c r="AG5606">
        <v>5604</v>
      </c>
    </row>
    <row r="5607" spans="33:33" x14ac:dyDescent="0.25">
      <c r="AG5607">
        <v>5605</v>
      </c>
    </row>
    <row r="5608" spans="33:33" x14ac:dyDescent="0.25">
      <c r="AG5608">
        <v>5606</v>
      </c>
    </row>
    <row r="5609" spans="33:33" x14ac:dyDescent="0.25">
      <c r="AG5609">
        <v>5607</v>
      </c>
    </row>
    <row r="5610" spans="33:33" x14ac:dyDescent="0.25">
      <c r="AG5610">
        <v>5608</v>
      </c>
    </row>
    <row r="5611" spans="33:33" x14ac:dyDescent="0.25">
      <c r="AG5611">
        <v>5609</v>
      </c>
    </row>
    <row r="5612" spans="33:33" x14ac:dyDescent="0.25">
      <c r="AG5612">
        <v>5610</v>
      </c>
    </row>
    <row r="5613" spans="33:33" x14ac:dyDescent="0.25">
      <c r="AG5613">
        <v>5611</v>
      </c>
    </row>
    <row r="5614" spans="33:33" x14ac:dyDescent="0.25">
      <c r="AG5614">
        <v>5612</v>
      </c>
    </row>
    <row r="5615" spans="33:33" x14ac:dyDescent="0.25">
      <c r="AG5615">
        <v>5613</v>
      </c>
    </row>
    <row r="5616" spans="33:33" x14ac:dyDescent="0.25">
      <c r="AG5616">
        <v>5614</v>
      </c>
    </row>
    <row r="5617" spans="33:33" x14ac:dyDescent="0.25">
      <c r="AG5617">
        <v>5615</v>
      </c>
    </row>
    <row r="5618" spans="33:33" x14ac:dyDescent="0.25">
      <c r="AG5618">
        <v>5616</v>
      </c>
    </row>
    <row r="5619" spans="33:33" x14ac:dyDescent="0.25">
      <c r="AG5619">
        <v>5617</v>
      </c>
    </row>
    <row r="5620" spans="33:33" x14ac:dyDescent="0.25">
      <c r="AG5620">
        <v>5618</v>
      </c>
    </row>
    <row r="5621" spans="33:33" x14ac:dyDescent="0.25">
      <c r="AG5621">
        <v>5619</v>
      </c>
    </row>
    <row r="5622" spans="33:33" x14ac:dyDescent="0.25">
      <c r="AG5622">
        <v>5620</v>
      </c>
    </row>
    <row r="5623" spans="33:33" x14ac:dyDescent="0.25">
      <c r="AG5623">
        <v>5621</v>
      </c>
    </row>
    <row r="5624" spans="33:33" x14ac:dyDescent="0.25">
      <c r="AG5624">
        <v>5622</v>
      </c>
    </row>
    <row r="5625" spans="33:33" x14ac:dyDescent="0.25">
      <c r="AG5625">
        <v>5623</v>
      </c>
    </row>
    <row r="5626" spans="33:33" x14ac:dyDescent="0.25">
      <c r="AG5626">
        <v>5624</v>
      </c>
    </row>
    <row r="5627" spans="33:33" x14ac:dyDescent="0.25">
      <c r="AG5627">
        <v>5625</v>
      </c>
    </row>
    <row r="5628" spans="33:33" x14ac:dyDescent="0.25">
      <c r="AG5628">
        <v>5626</v>
      </c>
    </row>
    <row r="5629" spans="33:33" x14ac:dyDescent="0.25">
      <c r="AG5629">
        <v>5627</v>
      </c>
    </row>
    <row r="5630" spans="33:33" x14ac:dyDescent="0.25">
      <c r="AG5630">
        <v>5628</v>
      </c>
    </row>
    <row r="5631" spans="33:33" x14ac:dyDescent="0.25">
      <c r="AG5631">
        <v>5629</v>
      </c>
    </row>
    <row r="5632" spans="33:33" x14ac:dyDescent="0.25">
      <c r="AG5632">
        <v>5630</v>
      </c>
    </row>
    <row r="5633" spans="33:33" x14ac:dyDescent="0.25">
      <c r="AG5633">
        <v>5631</v>
      </c>
    </row>
    <row r="5634" spans="33:33" x14ac:dyDescent="0.25">
      <c r="AG5634">
        <v>5632</v>
      </c>
    </row>
    <row r="5635" spans="33:33" x14ac:dyDescent="0.25">
      <c r="AG5635">
        <v>5633</v>
      </c>
    </row>
    <row r="5636" spans="33:33" x14ac:dyDescent="0.25">
      <c r="AG5636">
        <v>5634</v>
      </c>
    </row>
    <row r="5637" spans="33:33" x14ac:dyDescent="0.25">
      <c r="AG5637">
        <v>5635</v>
      </c>
    </row>
    <row r="5638" spans="33:33" x14ac:dyDescent="0.25">
      <c r="AG5638">
        <v>5636</v>
      </c>
    </row>
    <row r="5639" spans="33:33" x14ac:dyDescent="0.25">
      <c r="AG5639">
        <v>5637</v>
      </c>
    </row>
    <row r="5640" spans="33:33" x14ac:dyDescent="0.25">
      <c r="AG5640">
        <v>5638</v>
      </c>
    </row>
    <row r="5641" spans="33:33" x14ac:dyDescent="0.25">
      <c r="AG5641">
        <v>5639</v>
      </c>
    </row>
    <row r="5642" spans="33:33" x14ac:dyDescent="0.25">
      <c r="AG5642">
        <v>5640</v>
      </c>
    </row>
    <row r="5643" spans="33:33" x14ac:dyDescent="0.25">
      <c r="AG5643">
        <v>5641</v>
      </c>
    </row>
    <row r="5644" spans="33:33" x14ac:dyDescent="0.25">
      <c r="AG5644">
        <v>5642</v>
      </c>
    </row>
    <row r="5645" spans="33:33" x14ac:dyDescent="0.25">
      <c r="AG5645">
        <v>5643</v>
      </c>
    </row>
    <row r="5646" spans="33:33" x14ac:dyDescent="0.25">
      <c r="AG5646">
        <v>5644</v>
      </c>
    </row>
    <row r="5647" spans="33:33" x14ac:dyDescent="0.25">
      <c r="AG5647">
        <v>5645</v>
      </c>
    </row>
    <row r="5648" spans="33:33" x14ac:dyDescent="0.25">
      <c r="AG5648">
        <v>5646</v>
      </c>
    </row>
    <row r="5649" spans="33:33" x14ac:dyDescent="0.25">
      <c r="AG5649">
        <v>5647</v>
      </c>
    </row>
    <row r="5650" spans="33:33" x14ac:dyDescent="0.25">
      <c r="AG5650">
        <v>5648</v>
      </c>
    </row>
    <row r="5651" spans="33:33" x14ac:dyDescent="0.25">
      <c r="AG5651">
        <v>5649</v>
      </c>
    </row>
    <row r="5652" spans="33:33" x14ac:dyDescent="0.25">
      <c r="AG5652">
        <v>5650</v>
      </c>
    </row>
    <row r="5653" spans="33:33" x14ac:dyDescent="0.25">
      <c r="AG5653">
        <v>5651</v>
      </c>
    </row>
    <row r="5654" spans="33:33" x14ac:dyDescent="0.25">
      <c r="AG5654">
        <v>5652</v>
      </c>
    </row>
    <row r="5655" spans="33:33" x14ac:dyDescent="0.25">
      <c r="AG5655">
        <v>5653</v>
      </c>
    </row>
    <row r="5656" spans="33:33" x14ac:dyDescent="0.25">
      <c r="AG5656">
        <v>5654</v>
      </c>
    </row>
    <row r="5657" spans="33:33" x14ac:dyDescent="0.25">
      <c r="AG5657">
        <v>5655</v>
      </c>
    </row>
    <row r="5658" spans="33:33" x14ac:dyDescent="0.25">
      <c r="AG5658">
        <v>5656</v>
      </c>
    </row>
    <row r="5659" spans="33:33" x14ac:dyDescent="0.25">
      <c r="AG5659">
        <v>5657</v>
      </c>
    </row>
    <row r="5660" spans="33:33" x14ac:dyDescent="0.25">
      <c r="AG5660">
        <v>5658</v>
      </c>
    </row>
    <row r="5661" spans="33:33" x14ac:dyDescent="0.25">
      <c r="AG5661">
        <v>5659</v>
      </c>
    </row>
    <row r="5662" spans="33:33" x14ac:dyDescent="0.25">
      <c r="AG5662">
        <v>5660</v>
      </c>
    </row>
    <row r="5663" spans="33:33" x14ac:dyDescent="0.25">
      <c r="AG5663">
        <v>5661</v>
      </c>
    </row>
    <row r="5664" spans="33:33" x14ac:dyDescent="0.25">
      <c r="AG5664">
        <v>5662</v>
      </c>
    </row>
    <row r="5665" spans="33:33" x14ac:dyDescent="0.25">
      <c r="AG5665">
        <v>5663</v>
      </c>
    </row>
    <row r="5666" spans="33:33" x14ac:dyDescent="0.25">
      <c r="AG5666">
        <v>5664</v>
      </c>
    </row>
    <row r="5667" spans="33:33" x14ac:dyDescent="0.25">
      <c r="AG5667">
        <v>5665</v>
      </c>
    </row>
    <row r="5668" spans="33:33" x14ac:dyDescent="0.25">
      <c r="AG5668">
        <v>5666</v>
      </c>
    </row>
    <row r="5669" spans="33:33" x14ac:dyDescent="0.25">
      <c r="AG5669">
        <v>5667</v>
      </c>
    </row>
    <row r="5670" spans="33:33" x14ac:dyDescent="0.25">
      <c r="AG5670">
        <v>5668</v>
      </c>
    </row>
    <row r="5671" spans="33:33" x14ac:dyDescent="0.25">
      <c r="AG5671">
        <v>5669</v>
      </c>
    </row>
    <row r="5672" spans="33:33" x14ac:dyDescent="0.25">
      <c r="AG5672">
        <v>5670</v>
      </c>
    </row>
    <row r="5673" spans="33:33" x14ac:dyDescent="0.25">
      <c r="AG5673">
        <v>5671</v>
      </c>
    </row>
    <row r="5674" spans="33:33" x14ac:dyDescent="0.25">
      <c r="AG5674">
        <v>5672</v>
      </c>
    </row>
    <row r="5675" spans="33:33" x14ac:dyDescent="0.25">
      <c r="AG5675">
        <v>5673</v>
      </c>
    </row>
    <row r="5676" spans="33:33" x14ac:dyDescent="0.25">
      <c r="AG5676">
        <v>5674</v>
      </c>
    </row>
    <row r="5677" spans="33:33" x14ac:dyDescent="0.25">
      <c r="AG5677">
        <v>5675</v>
      </c>
    </row>
    <row r="5678" spans="33:33" x14ac:dyDescent="0.25">
      <c r="AG5678">
        <v>5676</v>
      </c>
    </row>
    <row r="5679" spans="33:33" x14ac:dyDescent="0.25">
      <c r="AG5679">
        <v>5677</v>
      </c>
    </row>
    <row r="5680" spans="33:33" x14ac:dyDescent="0.25">
      <c r="AG5680">
        <v>5678</v>
      </c>
    </row>
    <row r="5681" spans="33:33" x14ac:dyDescent="0.25">
      <c r="AG5681">
        <v>5679</v>
      </c>
    </row>
    <row r="5682" spans="33:33" x14ac:dyDescent="0.25">
      <c r="AG5682">
        <v>5680</v>
      </c>
    </row>
    <row r="5683" spans="33:33" x14ac:dyDescent="0.25">
      <c r="AG5683">
        <v>5681</v>
      </c>
    </row>
    <row r="5684" spans="33:33" x14ac:dyDescent="0.25">
      <c r="AG5684">
        <v>5682</v>
      </c>
    </row>
    <row r="5685" spans="33:33" x14ac:dyDescent="0.25">
      <c r="AG5685">
        <v>5683</v>
      </c>
    </row>
    <row r="5686" spans="33:33" x14ac:dyDescent="0.25">
      <c r="AG5686">
        <v>5684</v>
      </c>
    </row>
    <row r="5687" spans="33:33" x14ac:dyDescent="0.25">
      <c r="AG5687">
        <v>5685</v>
      </c>
    </row>
    <row r="5688" spans="33:33" x14ac:dyDescent="0.25">
      <c r="AG5688">
        <v>5686</v>
      </c>
    </row>
    <row r="5689" spans="33:33" x14ac:dyDescent="0.25">
      <c r="AG5689">
        <v>5687</v>
      </c>
    </row>
    <row r="5690" spans="33:33" x14ac:dyDescent="0.25">
      <c r="AG5690">
        <v>5688</v>
      </c>
    </row>
    <row r="5691" spans="33:33" x14ac:dyDescent="0.25">
      <c r="AG5691">
        <v>5689</v>
      </c>
    </row>
    <row r="5692" spans="33:33" x14ac:dyDescent="0.25">
      <c r="AG5692">
        <v>5690</v>
      </c>
    </row>
    <row r="5693" spans="33:33" x14ac:dyDescent="0.25">
      <c r="AG5693">
        <v>5691</v>
      </c>
    </row>
    <row r="5694" spans="33:33" x14ac:dyDescent="0.25">
      <c r="AG5694">
        <v>5692</v>
      </c>
    </row>
    <row r="5695" spans="33:33" x14ac:dyDescent="0.25">
      <c r="AG5695">
        <v>5693</v>
      </c>
    </row>
    <row r="5696" spans="33:33" x14ac:dyDescent="0.25">
      <c r="AG5696">
        <v>5694</v>
      </c>
    </row>
    <row r="5697" spans="33:33" x14ac:dyDescent="0.25">
      <c r="AG5697">
        <v>5695</v>
      </c>
    </row>
    <row r="5698" spans="33:33" x14ac:dyDescent="0.25">
      <c r="AG5698">
        <v>5696</v>
      </c>
    </row>
    <row r="5699" spans="33:33" x14ac:dyDescent="0.25">
      <c r="AG5699">
        <v>5697</v>
      </c>
    </row>
    <row r="5700" spans="33:33" x14ac:dyDescent="0.25">
      <c r="AG5700">
        <v>5698</v>
      </c>
    </row>
    <row r="5701" spans="33:33" x14ac:dyDescent="0.25">
      <c r="AG5701">
        <v>5699</v>
      </c>
    </row>
    <row r="5702" spans="33:33" x14ac:dyDescent="0.25">
      <c r="AG5702">
        <v>5700</v>
      </c>
    </row>
    <row r="5703" spans="33:33" x14ac:dyDescent="0.25">
      <c r="AG5703">
        <v>5701</v>
      </c>
    </row>
    <row r="5704" spans="33:33" x14ac:dyDescent="0.25">
      <c r="AG5704">
        <v>5702</v>
      </c>
    </row>
    <row r="5705" spans="33:33" x14ac:dyDescent="0.25">
      <c r="AG5705">
        <v>5703</v>
      </c>
    </row>
    <row r="5706" spans="33:33" x14ac:dyDescent="0.25">
      <c r="AG5706">
        <v>5704</v>
      </c>
    </row>
    <row r="5707" spans="33:33" x14ac:dyDescent="0.25">
      <c r="AG5707">
        <v>5705</v>
      </c>
    </row>
    <row r="5708" spans="33:33" x14ac:dyDescent="0.25">
      <c r="AG5708">
        <v>5706</v>
      </c>
    </row>
    <row r="5709" spans="33:33" x14ac:dyDescent="0.25">
      <c r="AG5709">
        <v>5707</v>
      </c>
    </row>
    <row r="5710" spans="33:33" x14ac:dyDescent="0.25">
      <c r="AG5710">
        <v>5708</v>
      </c>
    </row>
    <row r="5711" spans="33:33" x14ac:dyDescent="0.25">
      <c r="AG5711">
        <v>5709</v>
      </c>
    </row>
    <row r="5712" spans="33:33" x14ac:dyDescent="0.25">
      <c r="AG5712">
        <v>5710</v>
      </c>
    </row>
    <row r="5713" spans="33:33" x14ac:dyDescent="0.25">
      <c r="AG5713">
        <v>5711</v>
      </c>
    </row>
    <row r="5714" spans="33:33" x14ac:dyDescent="0.25">
      <c r="AG5714">
        <v>5712</v>
      </c>
    </row>
    <row r="5715" spans="33:33" x14ac:dyDescent="0.25">
      <c r="AG5715">
        <v>5713</v>
      </c>
    </row>
    <row r="5716" spans="33:33" x14ac:dyDescent="0.25">
      <c r="AG5716">
        <v>5714</v>
      </c>
    </row>
    <row r="5717" spans="33:33" x14ac:dyDescent="0.25">
      <c r="AG5717">
        <v>5715</v>
      </c>
    </row>
    <row r="5718" spans="33:33" x14ac:dyDescent="0.25">
      <c r="AG5718">
        <v>5716</v>
      </c>
    </row>
    <row r="5719" spans="33:33" x14ac:dyDescent="0.25">
      <c r="AG5719">
        <v>5717</v>
      </c>
    </row>
    <row r="5720" spans="33:33" x14ac:dyDescent="0.25">
      <c r="AG5720">
        <v>5718</v>
      </c>
    </row>
    <row r="5721" spans="33:33" x14ac:dyDescent="0.25">
      <c r="AG5721">
        <v>5719</v>
      </c>
    </row>
    <row r="5722" spans="33:33" x14ac:dyDescent="0.25">
      <c r="AG5722">
        <v>5720</v>
      </c>
    </row>
    <row r="5723" spans="33:33" x14ac:dyDescent="0.25">
      <c r="AG5723">
        <v>5721</v>
      </c>
    </row>
    <row r="5724" spans="33:33" x14ac:dyDescent="0.25">
      <c r="AG5724">
        <v>5722</v>
      </c>
    </row>
    <row r="5725" spans="33:33" x14ac:dyDescent="0.25">
      <c r="AG5725">
        <v>5723</v>
      </c>
    </row>
    <row r="5726" spans="33:33" x14ac:dyDescent="0.25">
      <c r="AG5726">
        <v>5724</v>
      </c>
    </row>
    <row r="5727" spans="33:33" x14ac:dyDescent="0.25">
      <c r="AG5727">
        <v>5725</v>
      </c>
    </row>
    <row r="5728" spans="33:33" x14ac:dyDescent="0.25">
      <c r="AG5728">
        <v>5726</v>
      </c>
    </row>
    <row r="5729" spans="33:33" x14ac:dyDescent="0.25">
      <c r="AG5729">
        <v>5727</v>
      </c>
    </row>
    <row r="5730" spans="33:33" x14ac:dyDescent="0.25">
      <c r="AG5730">
        <v>5728</v>
      </c>
    </row>
    <row r="5731" spans="33:33" x14ac:dyDescent="0.25">
      <c r="AG5731">
        <v>5729</v>
      </c>
    </row>
    <row r="5732" spans="33:33" x14ac:dyDescent="0.25">
      <c r="AG5732">
        <v>5730</v>
      </c>
    </row>
    <row r="5733" spans="33:33" x14ac:dyDescent="0.25">
      <c r="AG5733">
        <v>5731</v>
      </c>
    </row>
    <row r="5734" spans="33:33" x14ac:dyDescent="0.25">
      <c r="AG5734">
        <v>5732</v>
      </c>
    </row>
    <row r="5735" spans="33:33" x14ac:dyDescent="0.25">
      <c r="AG5735">
        <v>5733</v>
      </c>
    </row>
    <row r="5736" spans="33:33" x14ac:dyDescent="0.25">
      <c r="AG5736">
        <v>5734</v>
      </c>
    </row>
    <row r="5737" spans="33:33" x14ac:dyDescent="0.25">
      <c r="AG5737">
        <v>5735</v>
      </c>
    </row>
    <row r="5738" spans="33:33" x14ac:dyDescent="0.25">
      <c r="AG5738">
        <v>5736</v>
      </c>
    </row>
    <row r="5739" spans="33:33" x14ac:dyDescent="0.25">
      <c r="AG5739">
        <v>5737</v>
      </c>
    </row>
    <row r="5740" spans="33:33" x14ac:dyDescent="0.25">
      <c r="AG5740">
        <v>5738</v>
      </c>
    </row>
    <row r="5741" spans="33:33" x14ac:dyDescent="0.25">
      <c r="AG5741">
        <v>5739</v>
      </c>
    </row>
    <row r="5742" spans="33:33" x14ac:dyDescent="0.25">
      <c r="AG5742">
        <v>5740</v>
      </c>
    </row>
    <row r="5743" spans="33:33" x14ac:dyDescent="0.25">
      <c r="AG5743">
        <v>5741</v>
      </c>
    </row>
    <row r="5744" spans="33:33" x14ac:dyDescent="0.25">
      <c r="AG5744">
        <v>5742</v>
      </c>
    </row>
    <row r="5745" spans="33:33" x14ac:dyDescent="0.25">
      <c r="AG5745">
        <v>5743</v>
      </c>
    </row>
    <row r="5746" spans="33:33" x14ac:dyDescent="0.25">
      <c r="AG5746">
        <v>5744</v>
      </c>
    </row>
    <row r="5747" spans="33:33" x14ac:dyDescent="0.25">
      <c r="AG5747">
        <v>5745</v>
      </c>
    </row>
    <row r="5748" spans="33:33" x14ac:dyDescent="0.25">
      <c r="AG5748">
        <v>5746</v>
      </c>
    </row>
    <row r="5749" spans="33:33" x14ac:dyDescent="0.25">
      <c r="AG5749">
        <v>5747</v>
      </c>
    </row>
    <row r="5750" spans="33:33" x14ac:dyDescent="0.25">
      <c r="AG5750">
        <v>5748</v>
      </c>
    </row>
    <row r="5751" spans="33:33" x14ac:dyDescent="0.25">
      <c r="AG5751">
        <v>5749</v>
      </c>
    </row>
    <row r="5752" spans="33:33" x14ac:dyDescent="0.25">
      <c r="AG5752">
        <v>5750</v>
      </c>
    </row>
    <row r="5753" spans="33:33" x14ac:dyDescent="0.25">
      <c r="AG5753">
        <v>5751</v>
      </c>
    </row>
    <row r="5754" spans="33:33" x14ac:dyDescent="0.25">
      <c r="AG5754">
        <v>5752</v>
      </c>
    </row>
    <row r="5755" spans="33:33" x14ac:dyDescent="0.25">
      <c r="AG5755">
        <v>5753</v>
      </c>
    </row>
    <row r="5756" spans="33:33" x14ac:dyDescent="0.25">
      <c r="AG5756">
        <v>5754</v>
      </c>
    </row>
    <row r="5757" spans="33:33" x14ac:dyDescent="0.25">
      <c r="AG5757">
        <v>5755</v>
      </c>
    </row>
    <row r="5758" spans="33:33" x14ac:dyDescent="0.25">
      <c r="AG5758">
        <v>5756</v>
      </c>
    </row>
    <row r="5759" spans="33:33" x14ac:dyDescent="0.25">
      <c r="AG5759">
        <v>5757</v>
      </c>
    </row>
    <row r="5760" spans="33:33" x14ac:dyDescent="0.25">
      <c r="AG5760">
        <v>5758</v>
      </c>
    </row>
    <row r="5761" spans="33:33" x14ac:dyDescent="0.25">
      <c r="AG5761">
        <v>5759</v>
      </c>
    </row>
    <row r="5762" spans="33:33" x14ac:dyDescent="0.25">
      <c r="AG5762">
        <v>5760</v>
      </c>
    </row>
    <row r="5763" spans="33:33" x14ac:dyDescent="0.25">
      <c r="AG5763">
        <v>5761</v>
      </c>
    </row>
    <row r="5764" spans="33:33" x14ac:dyDescent="0.25">
      <c r="AG5764">
        <v>5762</v>
      </c>
    </row>
    <row r="5765" spans="33:33" x14ac:dyDescent="0.25">
      <c r="AG5765">
        <v>5763</v>
      </c>
    </row>
    <row r="5766" spans="33:33" x14ac:dyDescent="0.25">
      <c r="AG5766">
        <v>5764</v>
      </c>
    </row>
    <row r="5767" spans="33:33" x14ac:dyDescent="0.25">
      <c r="AG5767">
        <v>5765</v>
      </c>
    </row>
    <row r="5768" spans="33:33" x14ac:dyDescent="0.25">
      <c r="AG5768">
        <v>5766</v>
      </c>
    </row>
    <row r="5769" spans="33:33" x14ac:dyDescent="0.25">
      <c r="AG5769">
        <v>5767</v>
      </c>
    </row>
    <row r="5770" spans="33:33" x14ac:dyDescent="0.25">
      <c r="AG5770">
        <v>5768</v>
      </c>
    </row>
    <row r="5771" spans="33:33" x14ac:dyDescent="0.25">
      <c r="AG5771">
        <v>5769</v>
      </c>
    </row>
    <row r="5772" spans="33:33" x14ac:dyDescent="0.25">
      <c r="AG5772">
        <v>5770</v>
      </c>
    </row>
    <row r="5773" spans="33:33" x14ac:dyDescent="0.25">
      <c r="AG5773">
        <v>5771</v>
      </c>
    </row>
    <row r="5774" spans="33:33" x14ac:dyDescent="0.25">
      <c r="AG5774">
        <v>5772</v>
      </c>
    </row>
    <row r="5775" spans="33:33" x14ac:dyDescent="0.25">
      <c r="AG5775">
        <v>5773</v>
      </c>
    </row>
    <row r="5776" spans="33:33" x14ac:dyDescent="0.25">
      <c r="AG5776">
        <v>5774</v>
      </c>
    </row>
    <row r="5777" spans="33:33" x14ac:dyDescent="0.25">
      <c r="AG5777">
        <v>5775</v>
      </c>
    </row>
    <row r="5778" spans="33:33" x14ac:dyDescent="0.25">
      <c r="AG5778">
        <v>5776</v>
      </c>
    </row>
    <row r="5779" spans="33:33" x14ac:dyDescent="0.25">
      <c r="AG5779">
        <v>5777</v>
      </c>
    </row>
    <row r="5780" spans="33:33" x14ac:dyDescent="0.25">
      <c r="AG5780">
        <v>5778</v>
      </c>
    </row>
    <row r="5781" spans="33:33" x14ac:dyDescent="0.25">
      <c r="AG5781">
        <v>5779</v>
      </c>
    </row>
    <row r="5782" spans="33:33" x14ac:dyDescent="0.25">
      <c r="AG5782">
        <v>5780</v>
      </c>
    </row>
    <row r="5783" spans="33:33" x14ac:dyDescent="0.25">
      <c r="AG5783">
        <v>5781</v>
      </c>
    </row>
    <row r="5784" spans="33:33" x14ac:dyDescent="0.25">
      <c r="AG5784">
        <v>5782</v>
      </c>
    </row>
    <row r="5785" spans="33:33" x14ac:dyDescent="0.25">
      <c r="AG5785">
        <v>5783</v>
      </c>
    </row>
    <row r="5786" spans="33:33" x14ac:dyDescent="0.25">
      <c r="AG5786">
        <v>5784</v>
      </c>
    </row>
    <row r="5787" spans="33:33" x14ac:dyDescent="0.25">
      <c r="AG5787">
        <v>5785</v>
      </c>
    </row>
    <row r="5788" spans="33:33" x14ac:dyDescent="0.25">
      <c r="AG5788">
        <v>5786</v>
      </c>
    </row>
    <row r="5789" spans="33:33" x14ac:dyDescent="0.25">
      <c r="AG5789">
        <v>5787</v>
      </c>
    </row>
    <row r="5790" spans="33:33" x14ac:dyDescent="0.25">
      <c r="AG5790">
        <v>5788</v>
      </c>
    </row>
    <row r="5791" spans="33:33" x14ac:dyDescent="0.25">
      <c r="AG5791">
        <v>5789</v>
      </c>
    </row>
    <row r="5792" spans="33:33" x14ac:dyDescent="0.25">
      <c r="AG5792">
        <v>5790</v>
      </c>
    </row>
    <row r="5793" spans="33:33" x14ac:dyDescent="0.25">
      <c r="AG5793">
        <v>5791</v>
      </c>
    </row>
    <row r="5794" spans="33:33" x14ac:dyDescent="0.25">
      <c r="AG5794">
        <v>5792</v>
      </c>
    </row>
    <row r="5795" spans="33:33" x14ac:dyDescent="0.25">
      <c r="AG5795">
        <v>5793</v>
      </c>
    </row>
    <row r="5796" spans="33:33" x14ac:dyDescent="0.25">
      <c r="AG5796">
        <v>5794</v>
      </c>
    </row>
    <row r="5797" spans="33:33" x14ac:dyDescent="0.25">
      <c r="AG5797">
        <v>5795</v>
      </c>
    </row>
    <row r="5798" spans="33:33" x14ac:dyDescent="0.25">
      <c r="AG5798">
        <v>5796</v>
      </c>
    </row>
    <row r="5799" spans="33:33" x14ac:dyDescent="0.25">
      <c r="AG5799">
        <v>5797</v>
      </c>
    </row>
    <row r="5800" spans="33:33" x14ac:dyDescent="0.25">
      <c r="AG5800">
        <v>5798</v>
      </c>
    </row>
    <row r="5801" spans="33:33" x14ac:dyDescent="0.25">
      <c r="AG5801">
        <v>5799</v>
      </c>
    </row>
    <row r="5802" spans="33:33" x14ac:dyDescent="0.25">
      <c r="AG5802">
        <v>5800</v>
      </c>
    </row>
    <row r="5803" spans="33:33" x14ac:dyDescent="0.25">
      <c r="AG5803">
        <v>5801</v>
      </c>
    </row>
    <row r="5804" spans="33:33" x14ac:dyDescent="0.25">
      <c r="AG5804">
        <v>5802</v>
      </c>
    </row>
    <row r="5805" spans="33:33" x14ac:dyDescent="0.25">
      <c r="AG5805">
        <v>5803</v>
      </c>
    </row>
    <row r="5806" spans="33:33" x14ac:dyDescent="0.25">
      <c r="AG5806">
        <v>5804</v>
      </c>
    </row>
    <row r="5807" spans="33:33" x14ac:dyDescent="0.25">
      <c r="AG5807">
        <v>5805</v>
      </c>
    </row>
    <row r="5808" spans="33:33" x14ac:dyDescent="0.25">
      <c r="AG5808">
        <v>5806</v>
      </c>
    </row>
    <row r="5809" spans="33:33" x14ac:dyDescent="0.25">
      <c r="AG5809">
        <v>5807</v>
      </c>
    </row>
    <row r="5810" spans="33:33" x14ac:dyDescent="0.25">
      <c r="AG5810">
        <v>5808</v>
      </c>
    </row>
    <row r="5811" spans="33:33" x14ac:dyDescent="0.25">
      <c r="AG5811">
        <v>5809</v>
      </c>
    </row>
    <row r="5812" spans="33:33" x14ac:dyDescent="0.25">
      <c r="AG5812">
        <v>5810</v>
      </c>
    </row>
    <row r="5813" spans="33:33" x14ac:dyDescent="0.25">
      <c r="AG5813">
        <v>5811</v>
      </c>
    </row>
    <row r="5814" spans="33:33" x14ac:dyDescent="0.25">
      <c r="AG5814">
        <v>5812</v>
      </c>
    </row>
    <row r="5815" spans="33:33" x14ac:dyDescent="0.25">
      <c r="AG5815">
        <v>5813</v>
      </c>
    </row>
    <row r="5816" spans="33:33" x14ac:dyDescent="0.25">
      <c r="AG5816">
        <v>5814</v>
      </c>
    </row>
    <row r="5817" spans="33:33" x14ac:dyDescent="0.25">
      <c r="AG5817">
        <v>5815</v>
      </c>
    </row>
    <row r="5818" spans="33:33" x14ac:dyDescent="0.25">
      <c r="AG5818">
        <v>5816</v>
      </c>
    </row>
    <row r="5819" spans="33:33" x14ac:dyDescent="0.25">
      <c r="AG5819">
        <v>5817</v>
      </c>
    </row>
    <row r="5820" spans="33:33" x14ac:dyDescent="0.25">
      <c r="AG5820">
        <v>5818</v>
      </c>
    </row>
    <row r="5821" spans="33:33" x14ac:dyDescent="0.25">
      <c r="AG5821">
        <v>5819</v>
      </c>
    </row>
    <row r="5822" spans="33:33" x14ac:dyDescent="0.25">
      <c r="AG5822">
        <v>5820</v>
      </c>
    </row>
    <row r="5823" spans="33:33" x14ac:dyDescent="0.25">
      <c r="AG5823">
        <v>5821</v>
      </c>
    </row>
    <row r="5824" spans="33:33" x14ac:dyDescent="0.25">
      <c r="AG5824">
        <v>5822</v>
      </c>
    </row>
    <row r="5825" spans="33:33" x14ac:dyDescent="0.25">
      <c r="AG5825">
        <v>5823</v>
      </c>
    </row>
    <row r="5826" spans="33:33" x14ac:dyDescent="0.25">
      <c r="AG5826">
        <v>5824</v>
      </c>
    </row>
    <row r="5827" spans="33:33" x14ac:dyDescent="0.25">
      <c r="AG5827">
        <v>5825</v>
      </c>
    </row>
    <row r="5828" spans="33:33" x14ac:dyDescent="0.25">
      <c r="AG5828">
        <v>5826</v>
      </c>
    </row>
    <row r="5829" spans="33:33" x14ac:dyDescent="0.25">
      <c r="AG5829">
        <v>5827</v>
      </c>
    </row>
    <row r="5830" spans="33:33" x14ac:dyDescent="0.25">
      <c r="AG5830">
        <v>5828</v>
      </c>
    </row>
    <row r="5831" spans="33:33" x14ac:dyDescent="0.25">
      <c r="AG5831">
        <v>5829</v>
      </c>
    </row>
    <row r="5832" spans="33:33" x14ac:dyDescent="0.25">
      <c r="AG5832">
        <v>5830</v>
      </c>
    </row>
    <row r="5833" spans="33:33" x14ac:dyDescent="0.25">
      <c r="AG5833">
        <v>5831</v>
      </c>
    </row>
    <row r="5834" spans="33:33" x14ac:dyDescent="0.25">
      <c r="AG5834">
        <v>5832</v>
      </c>
    </row>
    <row r="5835" spans="33:33" x14ac:dyDescent="0.25">
      <c r="AG5835">
        <v>5833</v>
      </c>
    </row>
    <row r="5836" spans="33:33" x14ac:dyDescent="0.25">
      <c r="AG5836">
        <v>5834</v>
      </c>
    </row>
    <row r="5837" spans="33:33" x14ac:dyDescent="0.25">
      <c r="AG5837">
        <v>5835</v>
      </c>
    </row>
    <row r="5838" spans="33:33" x14ac:dyDescent="0.25">
      <c r="AG5838">
        <v>5836</v>
      </c>
    </row>
    <row r="5839" spans="33:33" x14ac:dyDescent="0.25">
      <c r="AG5839">
        <v>5837</v>
      </c>
    </row>
    <row r="5840" spans="33:33" x14ac:dyDescent="0.25">
      <c r="AG5840">
        <v>5838</v>
      </c>
    </row>
    <row r="5841" spans="33:33" x14ac:dyDescent="0.25">
      <c r="AG5841">
        <v>5839</v>
      </c>
    </row>
    <row r="5842" spans="33:33" x14ac:dyDescent="0.25">
      <c r="AG5842">
        <v>5840</v>
      </c>
    </row>
    <row r="5843" spans="33:33" x14ac:dyDescent="0.25">
      <c r="AG5843">
        <v>5841</v>
      </c>
    </row>
    <row r="5844" spans="33:33" x14ac:dyDescent="0.25">
      <c r="AG5844">
        <v>5842</v>
      </c>
    </row>
    <row r="5845" spans="33:33" x14ac:dyDescent="0.25">
      <c r="AG5845">
        <v>5843</v>
      </c>
    </row>
    <row r="5846" spans="33:33" x14ac:dyDescent="0.25">
      <c r="AG5846">
        <v>5844</v>
      </c>
    </row>
    <row r="5847" spans="33:33" x14ac:dyDescent="0.25">
      <c r="AG5847">
        <v>5845</v>
      </c>
    </row>
    <row r="5848" spans="33:33" x14ac:dyDescent="0.25">
      <c r="AG5848">
        <v>5846</v>
      </c>
    </row>
    <row r="5849" spans="33:33" x14ac:dyDescent="0.25">
      <c r="AG5849">
        <v>5847</v>
      </c>
    </row>
    <row r="5850" spans="33:33" x14ac:dyDescent="0.25">
      <c r="AG5850">
        <v>5848</v>
      </c>
    </row>
    <row r="5851" spans="33:33" x14ac:dyDescent="0.25">
      <c r="AG5851">
        <v>5849</v>
      </c>
    </row>
    <row r="5852" spans="33:33" x14ac:dyDescent="0.25">
      <c r="AG5852">
        <v>5850</v>
      </c>
    </row>
    <row r="5853" spans="33:33" x14ac:dyDescent="0.25">
      <c r="AG5853">
        <v>5851</v>
      </c>
    </row>
    <row r="5854" spans="33:33" x14ac:dyDescent="0.25">
      <c r="AG5854">
        <v>5852</v>
      </c>
    </row>
    <row r="5855" spans="33:33" x14ac:dyDescent="0.25">
      <c r="AG5855">
        <v>5853</v>
      </c>
    </row>
    <row r="5856" spans="33:33" x14ac:dyDescent="0.25">
      <c r="AG5856">
        <v>5854</v>
      </c>
    </row>
    <row r="5857" spans="33:33" x14ac:dyDescent="0.25">
      <c r="AG5857">
        <v>5855</v>
      </c>
    </row>
    <row r="5858" spans="33:33" x14ac:dyDescent="0.25">
      <c r="AG5858">
        <v>5856</v>
      </c>
    </row>
    <row r="5859" spans="33:33" x14ac:dyDescent="0.25">
      <c r="AG5859">
        <v>5857</v>
      </c>
    </row>
    <row r="5860" spans="33:33" x14ac:dyDescent="0.25">
      <c r="AG5860">
        <v>5858</v>
      </c>
    </row>
    <row r="5861" spans="33:33" x14ac:dyDescent="0.25">
      <c r="AG5861">
        <v>5859</v>
      </c>
    </row>
    <row r="5862" spans="33:33" x14ac:dyDescent="0.25">
      <c r="AG5862">
        <v>5860</v>
      </c>
    </row>
    <row r="5863" spans="33:33" x14ac:dyDescent="0.25">
      <c r="AG5863">
        <v>5861</v>
      </c>
    </row>
    <row r="5864" spans="33:33" x14ac:dyDescent="0.25">
      <c r="AG5864">
        <v>5862</v>
      </c>
    </row>
    <row r="5865" spans="33:33" x14ac:dyDescent="0.25">
      <c r="AG5865">
        <v>5863</v>
      </c>
    </row>
    <row r="5866" spans="33:33" x14ac:dyDescent="0.25">
      <c r="AG5866">
        <v>5864</v>
      </c>
    </row>
    <row r="5867" spans="33:33" x14ac:dyDescent="0.25">
      <c r="AG5867">
        <v>5865</v>
      </c>
    </row>
    <row r="5868" spans="33:33" x14ac:dyDescent="0.25">
      <c r="AG5868">
        <v>5866</v>
      </c>
    </row>
    <row r="5869" spans="33:33" x14ac:dyDescent="0.25">
      <c r="AG5869">
        <v>5867</v>
      </c>
    </row>
    <row r="5870" spans="33:33" x14ac:dyDescent="0.25">
      <c r="AG5870">
        <v>5868</v>
      </c>
    </row>
    <row r="5871" spans="33:33" x14ac:dyDescent="0.25">
      <c r="AG5871">
        <v>5869</v>
      </c>
    </row>
    <row r="5872" spans="33:33" x14ac:dyDescent="0.25">
      <c r="AG5872">
        <v>5870</v>
      </c>
    </row>
    <row r="5873" spans="33:33" x14ac:dyDescent="0.25">
      <c r="AG5873">
        <v>5871</v>
      </c>
    </row>
    <row r="5874" spans="33:33" x14ac:dyDescent="0.25">
      <c r="AG5874">
        <v>5872</v>
      </c>
    </row>
    <row r="5875" spans="33:33" x14ac:dyDescent="0.25">
      <c r="AG5875">
        <v>5873</v>
      </c>
    </row>
    <row r="5876" spans="33:33" x14ac:dyDescent="0.25">
      <c r="AG5876">
        <v>5874</v>
      </c>
    </row>
    <row r="5877" spans="33:33" x14ac:dyDescent="0.25">
      <c r="AG5877">
        <v>5875</v>
      </c>
    </row>
    <row r="5878" spans="33:33" x14ac:dyDescent="0.25">
      <c r="AG5878">
        <v>5876</v>
      </c>
    </row>
    <row r="5879" spans="33:33" x14ac:dyDescent="0.25">
      <c r="AG5879">
        <v>5877</v>
      </c>
    </row>
    <row r="5880" spans="33:33" x14ac:dyDescent="0.25">
      <c r="AG5880">
        <v>5878</v>
      </c>
    </row>
    <row r="5881" spans="33:33" x14ac:dyDescent="0.25">
      <c r="AG5881">
        <v>5879</v>
      </c>
    </row>
    <row r="5882" spans="33:33" x14ac:dyDescent="0.25">
      <c r="AG5882">
        <v>5880</v>
      </c>
    </row>
    <row r="5883" spans="33:33" x14ac:dyDescent="0.25">
      <c r="AG5883">
        <v>5881</v>
      </c>
    </row>
    <row r="5884" spans="33:33" x14ac:dyDescent="0.25">
      <c r="AG5884">
        <v>5882</v>
      </c>
    </row>
    <row r="5885" spans="33:33" x14ac:dyDescent="0.25">
      <c r="AG5885">
        <v>5883</v>
      </c>
    </row>
    <row r="5886" spans="33:33" x14ac:dyDescent="0.25">
      <c r="AG5886">
        <v>5884</v>
      </c>
    </row>
    <row r="5887" spans="33:33" x14ac:dyDescent="0.25">
      <c r="AG5887">
        <v>5885</v>
      </c>
    </row>
    <row r="5888" spans="33:33" x14ac:dyDescent="0.25">
      <c r="AG5888">
        <v>5886</v>
      </c>
    </row>
    <row r="5889" spans="33:33" x14ac:dyDescent="0.25">
      <c r="AG5889">
        <v>5887</v>
      </c>
    </row>
    <row r="5890" spans="33:33" x14ac:dyDescent="0.25">
      <c r="AG5890">
        <v>5888</v>
      </c>
    </row>
    <row r="5891" spans="33:33" x14ac:dyDescent="0.25">
      <c r="AG5891">
        <v>5889</v>
      </c>
    </row>
    <row r="5892" spans="33:33" x14ac:dyDescent="0.25">
      <c r="AG5892">
        <v>5890</v>
      </c>
    </row>
    <row r="5893" spans="33:33" x14ac:dyDescent="0.25">
      <c r="AG5893">
        <v>5891</v>
      </c>
    </row>
    <row r="5894" spans="33:33" x14ac:dyDescent="0.25">
      <c r="AG5894">
        <v>5892</v>
      </c>
    </row>
    <row r="5895" spans="33:33" x14ac:dyDescent="0.25">
      <c r="AG5895">
        <v>5893</v>
      </c>
    </row>
    <row r="5896" spans="33:33" x14ac:dyDescent="0.25">
      <c r="AG5896">
        <v>5894</v>
      </c>
    </row>
    <row r="5897" spans="33:33" x14ac:dyDescent="0.25">
      <c r="AG5897">
        <v>5895</v>
      </c>
    </row>
    <row r="5898" spans="33:33" x14ac:dyDescent="0.25">
      <c r="AG5898">
        <v>5896</v>
      </c>
    </row>
    <row r="5899" spans="33:33" x14ac:dyDescent="0.25">
      <c r="AG5899">
        <v>5897</v>
      </c>
    </row>
    <row r="5900" spans="33:33" x14ac:dyDescent="0.25">
      <c r="AG5900">
        <v>5898</v>
      </c>
    </row>
    <row r="5901" spans="33:33" x14ac:dyDescent="0.25">
      <c r="AG5901">
        <v>5899</v>
      </c>
    </row>
    <row r="5902" spans="33:33" x14ac:dyDescent="0.25">
      <c r="AG5902">
        <v>5900</v>
      </c>
    </row>
    <row r="5903" spans="33:33" x14ac:dyDescent="0.25">
      <c r="AG5903">
        <v>5901</v>
      </c>
    </row>
    <row r="5904" spans="33:33" x14ac:dyDescent="0.25">
      <c r="AG5904">
        <v>5902</v>
      </c>
    </row>
    <row r="5905" spans="33:33" x14ac:dyDescent="0.25">
      <c r="AG5905">
        <v>5903</v>
      </c>
    </row>
    <row r="5906" spans="33:33" x14ac:dyDescent="0.25">
      <c r="AG5906">
        <v>5904</v>
      </c>
    </row>
    <row r="5907" spans="33:33" x14ac:dyDescent="0.25">
      <c r="AG5907">
        <v>5905</v>
      </c>
    </row>
    <row r="5908" spans="33:33" x14ac:dyDescent="0.25">
      <c r="AG5908">
        <v>5906</v>
      </c>
    </row>
    <row r="5909" spans="33:33" x14ac:dyDescent="0.25">
      <c r="AG5909">
        <v>5907</v>
      </c>
    </row>
    <row r="5910" spans="33:33" x14ac:dyDescent="0.25">
      <c r="AG5910">
        <v>5908</v>
      </c>
    </row>
    <row r="5911" spans="33:33" x14ac:dyDescent="0.25">
      <c r="AG5911">
        <v>5909</v>
      </c>
    </row>
    <row r="5912" spans="33:33" x14ac:dyDescent="0.25">
      <c r="AG5912">
        <v>5910</v>
      </c>
    </row>
    <row r="5913" spans="33:33" x14ac:dyDescent="0.25">
      <c r="AG5913">
        <v>5911</v>
      </c>
    </row>
    <row r="5914" spans="33:33" x14ac:dyDescent="0.25">
      <c r="AG5914">
        <v>5912</v>
      </c>
    </row>
    <row r="5915" spans="33:33" x14ac:dyDescent="0.25">
      <c r="AG5915">
        <v>5913</v>
      </c>
    </row>
    <row r="5916" spans="33:33" x14ac:dyDescent="0.25">
      <c r="AG5916">
        <v>5914</v>
      </c>
    </row>
    <row r="5917" spans="33:33" x14ac:dyDescent="0.25">
      <c r="AG5917">
        <v>5915</v>
      </c>
    </row>
    <row r="5918" spans="33:33" x14ac:dyDescent="0.25">
      <c r="AG5918">
        <v>5916</v>
      </c>
    </row>
    <row r="5919" spans="33:33" x14ac:dyDescent="0.25">
      <c r="AG5919">
        <v>5917</v>
      </c>
    </row>
    <row r="5920" spans="33:33" x14ac:dyDescent="0.25">
      <c r="AG5920">
        <v>5918</v>
      </c>
    </row>
    <row r="5921" spans="33:33" x14ac:dyDescent="0.25">
      <c r="AG5921">
        <v>5919</v>
      </c>
    </row>
    <row r="5922" spans="33:33" x14ac:dyDescent="0.25">
      <c r="AG5922">
        <v>5920</v>
      </c>
    </row>
    <row r="5923" spans="33:33" x14ac:dyDescent="0.25">
      <c r="AG5923">
        <v>5921</v>
      </c>
    </row>
    <row r="5924" spans="33:33" x14ac:dyDescent="0.25">
      <c r="AG5924">
        <v>5922</v>
      </c>
    </row>
    <row r="5925" spans="33:33" x14ac:dyDescent="0.25">
      <c r="AG5925">
        <v>5923</v>
      </c>
    </row>
    <row r="5926" spans="33:33" x14ac:dyDescent="0.25">
      <c r="AG5926">
        <v>5924</v>
      </c>
    </row>
    <row r="5927" spans="33:33" x14ac:dyDescent="0.25">
      <c r="AG5927">
        <v>5925</v>
      </c>
    </row>
    <row r="5928" spans="33:33" x14ac:dyDescent="0.25">
      <c r="AG5928">
        <v>5926</v>
      </c>
    </row>
    <row r="5929" spans="33:33" x14ac:dyDescent="0.25">
      <c r="AG5929">
        <v>5927</v>
      </c>
    </row>
    <row r="5930" spans="33:33" x14ac:dyDescent="0.25">
      <c r="AG5930">
        <v>5928</v>
      </c>
    </row>
    <row r="5931" spans="33:33" x14ac:dyDescent="0.25">
      <c r="AG5931">
        <v>5929</v>
      </c>
    </row>
    <row r="5932" spans="33:33" x14ac:dyDescent="0.25">
      <c r="AG5932">
        <v>5930</v>
      </c>
    </row>
    <row r="5933" spans="33:33" x14ac:dyDescent="0.25">
      <c r="AG5933">
        <v>5931</v>
      </c>
    </row>
    <row r="5934" spans="33:33" x14ac:dyDescent="0.25">
      <c r="AG5934">
        <v>5932</v>
      </c>
    </row>
    <row r="5935" spans="33:33" x14ac:dyDescent="0.25">
      <c r="AG5935">
        <v>5933</v>
      </c>
    </row>
    <row r="5936" spans="33:33" x14ac:dyDescent="0.25">
      <c r="AG5936">
        <v>5934</v>
      </c>
    </row>
    <row r="5937" spans="33:33" x14ac:dyDescent="0.25">
      <c r="AG5937">
        <v>5935</v>
      </c>
    </row>
    <row r="5938" spans="33:33" x14ac:dyDescent="0.25">
      <c r="AG5938">
        <v>5936</v>
      </c>
    </row>
    <row r="5939" spans="33:33" x14ac:dyDescent="0.25">
      <c r="AG5939">
        <v>5937</v>
      </c>
    </row>
    <row r="5940" spans="33:33" x14ac:dyDescent="0.25">
      <c r="AG5940">
        <v>5938</v>
      </c>
    </row>
    <row r="5941" spans="33:33" x14ac:dyDescent="0.25">
      <c r="AG5941">
        <v>5939</v>
      </c>
    </row>
    <row r="5942" spans="33:33" x14ac:dyDescent="0.25">
      <c r="AG5942">
        <v>5940</v>
      </c>
    </row>
    <row r="5943" spans="33:33" x14ac:dyDescent="0.25">
      <c r="AG5943">
        <v>5941</v>
      </c>
    </row>
    <row r="5944" spans="33:33" x14ac:dyDescent="0.25">
      <c r="AG5944">
        <v>5942</v>
      </c>
    </row>
    <row r="5945" spans="33:33" x14ac:dyDescent="0.25">
      <c r="AG5945">
        <v>5943</v>
      </c>
    </row>
    <row r="5946" spans="33:33" x14ac:dyDescent="0.25">
      <c r="AG5946">
        <v>5944</v>
      </c>
    </row>
    <row r="5947" spans="33:33" x14ac:dyDescent="0.25">
      <c r="AG5947">
        <v>5945</v>
      </c>
    </row>
    <row r="5948" spans="33:33" x14ac:dyDescent="0.25">
      <c r="AG5948">
        <v>5946</v>
      </c>
    </row>
    <row r="5949" spans="33:33" x14ac:dyDescent="0.25">
      <c r="AG5949">
        <v>5947</v>
      </c>
    </row>
    <row r="5950" spans="33:33" x14ac:dyDescent="0.25">
      <c r="AG5950">
        <v>5948</v>
      </c>
    </row>
    <row r="5951" spans="33:33" x14ac:dyDescent="0.25">
      <c r="AG5951">
        <v>5949</v>
      </c>
    </row>
    <row r="5952" spans="33:33" x14ac:dyDescent="0.25">
      <c r="AG5952">
        <v>5950</v>
      </c>
    </row>
    <row r="5953" spans="33:33" x14ac:dyDescent="0.25">
      <c r="AG5953">
        <v>5951</v>
      </c>
    </row>
    <row r="5954" spans="33:33" x14ac:dyDescent="0.25">
      <c r="AG5954">
        <v>5952</v>
      </c>
    </row>
    <row r="5955" spans="33:33" x14ac:dyDescent="0.25">
      <c r="AG5955">
        <v>5953</v>
      </c>
    </row>
    <row r="5956" spans="33:33" x14ac:dyDescent="0.25">
      <c r="AG5956">
        <v>5954</v>
      </c>
    </row>
    <row r="5957" spans="33:33" x14ac:dyDescent="0.25">
      <c r="AG5957">
        <v>5955</v>
      </c>
    </row>
    <row r="5958" spans="33:33" x14ac:dyDescent="0.25">
      <c r="AG5958">
        <v>5956</v>
      </c>
    </row>
    <row r="5959" spans="33:33" x14ac:dyDescent="0.25">
      <c r="AG5959">
        <v>5957</v>
      </c>
    </row>
    <row r="5960" spans="33:33" x14ac:dyDescent="0.25">
      <c r="AG5960">
        <v>5958</v>
      </c>
    </row>
    <row r="5961" spans="33:33" x14ac:dyDescent="0.25">
      <c r="AG5961">
        <v>5959</v>
      </c>
    </row>
    <row r="5962" spans="33:33" x14ac:dyDescent="0.25">
      <c r="AG5962">
        <v>5960</v>
      </c>
    </row>
    <row r="5963" spans="33:33" x14ac:dyDescent="0.25">
      <c r="AG5963">
        <v>5961</v>
      </c>
    </row>
    <row r="5964" spans="33:33" x14ac:dyDescent="0.25">
      <c r="AG5964">
        <v>5962</v>
      </c>
    </row>
    <row r="5965" spans="33:33" x14ac:dyDescent="0.25">
      <c r="AG5965">
        <v>5963</v>
      </c>
    </row>
    <row r="5966" spans="33:33" x14ac:dyDescent="0.25">
      <c r="AG5966">
        <v>5964</v>
      </c>
    </row>
    <row r="5967" spans="33:33" x14ac:dyDescent="0.25">
      <c r="AG5967">
        <v>5965</v>
      </c>
    </row>
    <row r="5968" spans="33:33" x14ac:dyDescent="0.25">
      <c r="AG5968">
        <v>5966</v>
      </c>
    </row>
    <row r="5969" spans="33:33" x14ac:dyDescent="0.25">
      <c r="AG5969">
        <v>5967</v>
      </c>
    </row>
    <row r="5970" spans="33:33" x14ac:dyDescent="0.25">
      <c r="AG5970">
        <v>5968</v>
      </c>
    </row>
    <row r="5971" spans="33:33" x14ac:dyDescent="0.25">
      <c r="AG5971">
        <v>5969</v>
      </c>
    </row>
    <row r="5972" spans="33:33" x14ac:dyDescent="0.25">
      <c r="AG5972">
        <v>5970</v>
      </c>
    </row>
    <row r="5973" spans="33:33" x14ac:dyDescent="0.25">
      <c r="AG5973">
        <v>5971</v>
      </c>
    </row>
    <row r="5974" spans="33:33" x14ac:dyDescent="0.25">
      <c r="AG5974">
        <v>5972</v>
      </c>
    </row>
    <row r="5975" spans="33:33" x14ac:dyDescent="0.25">
      <c r="AG5975">
        <v>5973</v>
      </c>
    </row>
    <row r="5976" spans="33:33" x14ac:dyDescent="0.25">
      <c r="AG5976">
        <v>5974</v>
      </c>
    </row>
    <row r="5977" spans="33:33" x14ac:dyDescent="0.25">
      <c r="AG5977">
        <v>5975</v>
      </c>
    </row>
    <row r="5978" spans="33:33" x14ac:dyDescent="0.25">
      <c r="AG5978">
        <v>5976</v>
      </c>
    </row>
    <row r="5979" spans="33:33" x14ac:dyDescent="0.25">
      <c r="AG5979">
        <v>5977</v>
      </c>
    </row>
    <row r="5980" spans="33:33" x14ac:dyDescent="0.25">
      <c r="AG5980">
        <v>5978</v>
      </c>
    </row>
    <row r="5981" spans="33:33" x14ac:dyDescent="0.25">
      <c r="AG5981">
        <v>5979</v>
      </c>
    </row>
    <row r="5982" spans="33:33" x14ac:dyDescent="0.25">
      <c r="AG5982">
        <v>5980</v>
      </c>
    </row>
    <row r="5983" spans="33:33" x14ac:dyDescent="0.25">
      <c r="AG5983">
        <v>5981</v>
      </c>
    </row>
    <row r="5984" spans="33:33" x14ac:dyDescent="0.25">
      <c r="AG5984">
        <v>5982</v>
      </c>
    </row>
    <row r="5985" spans="33:33" x14ac:dyDescent="0.25">
      <c r="AG5985">
        <v>5983</v>
      </c>
    </row>
    <row r="5986" spans="33:33" x14ac:dyDescent="0.25">
      <c r="AG5986">
        <v>5984</v>
      </c>
    </row>
    <row r="5987" spans="33:33" x14ac:dyDescent="0.25">
      <c r="AG5987">
        <v>5985</v>
      </c>
    </row>
    <row r="5988" spans="33:33" x14ac:dyDescent="0.25">
      <c r="AG5988">
        <v>5986</v>
      </c>
    </row>
    <row r="5989" spans="33:33" x14ac:dyDescent="0.25">
      <c r="AG5989">
        <v>5987</v>
      </c>
    </row>
    <row r="5990" spans="33:33" x14ac:dyDescent="0.25">
      <c r="AG5990">
        <v>5988</v>
      </c>
    </row>
    <row r="5991" spans="33:33" x14ac:dyDescent="0.25">
      <c r="AG5991">
        <v>5989</v>
      </c>
    </row>
    <row r="5992" spans="33:33" x14ac:dyDescent="0.25">
      <c r="AG5992">
        <v>5990</v>
      </c>
    </row>
    <row r="5993" spans="33:33" x14ac:dyDescent="0.25">
      <c r="AG5993">
        <v>5991</v>
      </c>
    </row>
    <row r="5994" spans="33:33" x14ac:dyDescent="0.25">
      <c r="AG5994">
        <v>5992</v>
      </c>
    </row>
    <row r="5995" spans="33:33" x14ac:dyDescent="0.25">
      <c r="AG5995">
        <v>5993</v>
      </c>
    </row>
    <row r="5996" spans="33:33" x14ac:dyDescent="0.25">
      <c r="AG5996">
        <v>5994</v>
      </c>
    </row>
    <row r="5997" spans="33:33" x14ac:dyDescent="0.25">
      <c r="AG5997">
        <v>5995</v>
      </c>
    </row>
    <row r="5998" spans="33:33" x14ac:dyDescent="0.25">
      <c r="AG5998">
        <v>5996</v>
      </c>
    </row>
    <row r="5999" spans="33:33" x14ac:dyDescent="0.25">
      <c r="AG5999">
        <v>5997</v>
      </c>
    </row>
    <row r="6000" spans="33:33" x14ac:dyDescent="0.25">
      <c r="AG6000">
        <v>5998</v>
      </c>
    </row>
    <row r="6001" spans="33:33" x14ac:dyDescent="0.25">
      <c r="AG6001">
        <v>5999</v>
      </c>
    </row>
    <row r="6002" spans="33:33" x14ac:dyDescent="0.25">
      <c r="AG6002">
        <v>6000</v>
      </c>
    </row>
    <row r="6003" spans="33:33" x14ac:dyDescent="0.25">
      <c r="AG6003">
        <v>6001</v>
      </c>
    </row>
    <row r="6004" spans="33:33" x14ac:dyDescent="0.25">
      <c r="AG6004">
        <v>6002</v>
      </c>
    </row>
    <row r="6005" spans="33:33" x14ac:dyDescent="0.25">
      <c r="AG6005">
        <v>6003</v>
      </c>
    </row>
    <row r="6006" spans="33:33" x14ac:dyDescent="0.25">
      <c r="AG6006">
        <v>6004</v>
      </c>
    </row>
    <row r="6007" spans="33:33" x14ac:dyDescent="0.25">
      <c r="AG6007">
        <v>6005</v>
      </c>
    </row>
    <row r="6008" spans="33:33" x14ac:dyDescent="0.25">
      <c r="AG6008">
        <v>6006</v>
      </c>
    </row>
    <row r="6009" spans="33:33" x14ac:dyDescent="0.25">
      <c r="AG6009">
        <v>6007</v>
      </c>
    </row>
    <row r="6010" spans="33:33" x14ac:dyDescent="0.25">
      <c r="AG6010">
        <v>6008</v>
      </c>
    </row>
    <row r="6011" spans="33:33" x14ac:dyDescent="0.25">
      <c r="AG6011">
        <v>6009</v>
      </c>
    </row>
    <row r="6012" spans="33:33" x14ac:dyDescent="0.25">
      <c r="AG6012">
        <v>6010</v>
      </c>
    </row>
    <row r="6013" spans="33:33" x14ac:dyDescent="0.25">
      <c r="AG6013">
        <v>6011</v>
      </c>
    </row>
    <row r="6014" spans="33:33" x14ac:dyDescent="0.25">
      <c r="AG6014">
        <v>6012</v>
      </c>
    </row>
    <row r="6015" spans="33:33" x14ac:dyDescent="0.25">
      <c r="AG6015">
        <v>6013</v>
      </c>
    </row>
    <row r="6016" spans="33:33" x14ac:dyDescent="0.25">
      <c r="AG6016">
        <v>6014</v>
      </c>
    </row>
    <row r="6017" spans="33:33" x14ac:dyDescent="0.25">
      <c r="AG6017">
        <v>6015</v>
      </c>
    </row>
    <row r="6018" spans="33:33" x14ac:dyDescent="0.25">
      <c r="AG6018">
        <v>6016</v>
      </c>
    </row>
    <row r="6019" spans="33:33" x14ac:dyDescent="0.25">
      <c r="AG6019">
        <v>6017</v>
      </c>
    </row>
    <row r="6020" spans="33:33" x14ac:dyDescent="0.25">
      <c r="AG6020">
        <v>6018</v>
      </c>
    </row>
    <row r="6021" spans="33:33" x14ac:dyDescent="0.25">
      <c r="AG6021">
        <v>6019</v>
      </c>
    </row>
    <row r="6022" spans="33:33" x14ac:dyDescent="0.25">
      <c r="AG6022">
        <v>6020</v>
      </c>
    </row>
    <row r="6023" spans="33:33" x14ac:dyDescent="0.25">
      <c r="AG6023">
        <v>6021</v>
      </c>
    </row>
    <row r="6024" spans="33:33" x14ac:dyDescent="0.25">
      <c r="AG6024">
        <v>6022</v>
      </c>
    </row>
    <row r="6025" spans="33:33" x14ac:dyDescent="0.25">
      <c r="AG6025">
        <v>6023</v>
      </c>
    </row>
    <row r="6026" spans="33:33" x14ac:dyDescent="0.25">
      <c r="AG6026">
        <v>6024</v>
      </c>
    </row>
    <row r="6027" spans="33:33" x14ac:dyDescent="0.25">
      <c r="AG6027">
        <v>6025</v>
      </c>
    </row>
    <row r="6028" spans="33:33" x14ac:dyDescent="0.25">
      <c r="AG6028">
        <v>6026</v>
      </c>
    </row>
    <row r="6029" spans="33:33" x14ac:dyDescent="0.25">
      <c r="AG6029">
        <v>6027</v>
      </c>
    </row>
    <row r="6030" spans="33:33" x14ac:dyDescent="0.25">
      <c r="AG6030">
        <v>6028</v>
      </c>
    </row>
    <row r="6031" spans="33:33" x14ac:dyDescent="0.25">
      <c r="AG6031">
        <v>6029</v>
      </c>
    </row>
    <row r="6032" spans="33:33" x14ac:dyDescent="0.25">
      <c r="AG6032">
        <v>6030</v>
      </c>
    </row>
    <row r="6033" spans="33:33" x14ac:dyDescent="0.25">
      <c r="AG6033">
        <v>6031</v>
      </c>
    </row>
    <row r="6034" spans="33:33" x14ac:dyDescent="0.25">
      <c r="AG6034">
        <v>6032</v>
      </c>
    </row>
    <row r="6035" spans="33:33" x14ac:dyDescent="0.25">
      <c r="AG6035">
        <v>6033</v>
      </c>
    </row>
    <row r="6036" spans="33:33" x14ac:dyDescent="0.25">
      <c r="AG6036">
        <v>6034</v>
      </c>
    </row>
    <row r="6037" spans="33:33" x14ac:dyDescent="0.25">
      <c r="AG6037">
        <v>6035</v>
      </c>
    </row>
    <row r="6038" spans="33:33" x14ac:dyDescent="0.25">
      <c r="AG6038">
        <v>6036</v>
      </c>
    </row>
    <row r="6039" spans="33:33" x14ac:dyDescent="0.25">
      <c r="AG6039">
        <v>6037</v>
      </c>
    </row>
    <row r="6040" spans="33:33" x14ac:dyDescent="0.25">
      <c r="AG6040">
        <v>6038</v>
      </c>
    </row>
    <row r="6041" spans="33:33" x14ac:dyDescent="0.25">
      <c r="AG6041">
        <v>6039</v>
      </c>
    </row>
    <row r="6042" spans="33:33" x14ac:dyDescent="0.25">
      <c r="AG6042">
        <v>6040</v>
      </c>
    </row>
    <row r="6043" spans="33:33" x14ac:dyDescent="0.25">
      <c r="AG6043">
        <v>6041</v>
      </c>
    </row>
    <row r="6044" spans="33:33" x14ac:dyDescent="0.25">
      <c r="AG6044">
        <v>6042</v>
      </c>
    </row>
    <row r="6045" spans="33:33" x14ac:dyDescent="0.25">
      <c r="AG6045">
        <v>6043</v>
      </c>
    </row>
    <row r="6046" spans="33:33" x14ac:dyDescent="0.25">
      <c r="AG6046">
        <v>6044</v>
      </c>
    </row>
    <row r="6047" spans="33:33" x14ac:dyDescent="0.25">
      <c r="AG6047">
        <v>6045</v>
      </c>
    </row>
    <row r="6048" spans="33:33" x14ac:dyDescent="0.25">
      <c r="AG6048">
        <v>6046</v>
      </c>
    </row>
    <row r="6049" spans="33:33" x14ac:dyDescent="0.25">
      <c r="AG6049">
        <v>6047</v>
      </c>
    </row>
    <row r="6050" spans="33:33" x14ac:dyDescent="0.25">
      <c r="AG6050">
        <v>6048</v>
      </c>
    </row>
    <row r="6051" spans="33:33" x14ac:dyDescent="0.25">
      <c r="AG6051">
        <v>6049</v>
      </c>
    </row>
    <row r="6052" spans="33:33" x14ac:dyDescent="0.25">
      <c r="AG6052">
        <v>6050</v>
      </c>
    </row>
    <row r="6053" spans="33:33" x14ac:dyDescent="0.25">
      <c r="AG6053">
        <v>6051</v>
      </c>
    </row>
    <row r="6054" spans="33:33" x14ac:dyDescent="0.25">
      <c r="AG6054">
        <v>6052</v>
      </c>
    </row>
    <row r="6055" spans="33:33" x14ac:dyDescent="0.25">
      <c r="AG6055">
        <v>6053</v>
      </c>
    </row>
    <row r="6056" spans="33:33" x14ac:dyDescent="0.25">
      <c r="AG6056">
        <v>6054</v>
      </c>
    </row>
    <row r="6057" spans="33:33" x14ac:dyDescent="0.25">
      <c r="AG6057">
        <v>6055</v>
      </c>
    </row>
    <row r="6058" spans="33:33" x14ac:dyDescent="0.25">
      <c r="AG6058">
        <v>6056</v>
      </c>
    </row>
    <row r="6059" spans="33:33" x14ac:dyDescent="0.25">
      <c r="AG6059">
        <v>6057</v>
      </c>
    </row>
    <row r="6060" spans="33:33" x14ac:dyDescent="0.25">
      <c r="AG6060">
        <v>6058</v>
      </c>
    </row>
    <row r="6061" spans="33:33" x14ac:dyDescent="0.25">
      <c r="AG6061">
        <v>6059</v>
      </c>
    </row>
    <row r="6062" spans="33:33" x14ac:dyDescent="0.25">
      <c r="AG6062">
        <v>6060</v>
      </c>
    </row>
    <row r="6063" spans="33:33" x14ac:dyDescent="0.25">
      <c r="AG6063">
        <v>6061</v>
      </c>
    </row>
    <row r="6064" spans="33:33" x14ac:dyDescent="0.25">
      <c r="AG6064">
        <v>6062</v>
      </c>
    </row>
    <row r="6065" spans="33:33" x14ac:dyDescent="0.25">
      <c r="AG6065">
        <v>6063</v>
      </c>
    </row>
    <row r="6066" spans="33:33" x14ac:dyDescent="0.25">
      <c r="AG6066">
        <v>6064</v>
      </c>
    </row>
    <row r="6067" spans="33:33" x14ac:dyDescent="0.25">
      <c r="AG6067">
        <v>6065</v>
      </c>
    </row>
    <row r="6068" spans="33:33" x14ac:dyDescent="0.25">
      <c r="AG6068">
        <v>6066</v>
      </c>
    </row>
    <row r="6069" spans="33:33" x14ac:dyDescent="0.25">
      <c r="AG6069">
        <v>6067</v>
      </c>
    </row>
    <row r="6070" spans="33:33" x14ac:dyDescent="0.25">
      <c r="AG6070">
        <v>6068</v>
      </c>
    </row>
    <row r="6071" spans="33:33" x14ac:dyDescent="0.25">
      <c r="AG6071">
        <v>6069</v>
      </c>
    </row>
    <row r="6072" spans="33:33" x14ac:dyDescent="0.25">
      <c r="AG6072">
        <v>6070</v>
      </c>
    </row>
    <row r="6073" spans="33:33" x14ac:dyDescent="0.25">
      <c r="AG6073">
        <v>6071</v>
      </c>
    </row>
    <row r="6074" spans="33:33" x14ac:dyDescent="0.25">
      <c r="AG6074">
        <v>6072</v>
      </c>
    </row>
    <row r="6075" spans="33:33" x14ac:dyDescent="0.25">
      <c r="AG6075">
        <v>6073</v>
      </c>
    </row>
    <row r="6076" spans="33:33" x14ac:dyDescent="0.25">
      <c r="AG6076">
        <v>6074</v>
      </c>
    </row>
    <row r="6077" spans="33:33" x14ac:dyDescent="0.25">
      <c r="AG6077">
        <v>6075</v>
      </c>
    </row>
    <row r="6078" spans="33:33" x14ac:dyDescent="0.25">
      <c r="AG6078">
        <v>6076</v>
      </c>
    </row>
    <row r="6079" spans="33:33" x14ac:dyDescent="0.25">
      <c r="AG6079">
        <v>6077</v>
      </c>
    </row>
    <row r="6080" spans="33:33" x14ac:dyDescent="0.25">
      <c r="AG6080">
        <v>6078</v>
      </c>
    </row>
    <row r="6081" spans="33:33" x14ac:dyDescent="0.25">
      <c r="AG6081">
        <v>6079</v>
      </c>
    </row>
    <row r="6082" spans="33:33" x14ac:dyDescent="0.25">
      <c r="AG6082">
        <v>6080</v>
      </c>
    </row>
    <row r="6083" spans="33:33" x14ac:dyDescent="0.25">
      <c r="AG6083">
        <v>6081</v>
      </c>
    </row>
    <row r="6084" spans="33:33" x14ac:dyDescent="0.25">
      <c r="AG6084">
        <v>6082</v>
      </c>
    </row>
    <row r="6085" spans="33:33" x14ac:dyDescent="0.25">
      <c r="AG6085">
        <v>6083</v>
      </c>
    </row>
    <row r="6086" spans="33:33" x14ac:dyDescent="0.25">
      <c r="AG6086">
        <v>6084</v>
      </c>
    </row>
    <row r="6087" spans="33:33" x14ac:dyDescent="0.25">
      <c r="AG6087">
        <v>6085</v>
      </c>
    </row>
    <row r="6088" spans="33:33" x14ac:dyDescent="0.25">
      <c r="AG6088">
        <v>6086</v>
      </c>
    </row>
    <row r="6089" spans="33:33" x14ac:dyDescent="0.25">
      <c r="AG6089">
        <v>6087</v>
      </c>
    </row>
    <row r="6090" spans="33:33" x14ac:dyDescent="0.25">
      <c r="AG6090">
        <v>6088</v>
      </c>
    </row>
    <row r="6091" spans="33:33" x14ac:dyDescent="0.25">
      <c r="AG6091">
        <v>6089</v>
      </c>
    </row>
    <row r="6092" spans="33:33" x14ac:dyDescent="0.25">
      <c r="AG6092">
        <v>6090</v>
      </c>
    </row>
    <row r="6093" spans="33:33" x14ac:dyDescent="0.25">
      <c r="AG6093">
        <v>6091</v>
      </c>
    </row>
    <row r="6094" spans="33:33" x14ac:dyDescent="0.25">
      <c r="AG6094">
        <v>6092</v>
      </c>
    </row>
    <row r="6095" spans="33:33" x14ac:dyDescent="0.25">
      <c r="AG6095">
        <v>6093</v>
      </c>
    </row>
    <row r="6096" spans="33:33" x14ac:dyDescent="0.25">
      <c r="AG6096">
        <v>6094</v>
      </c>
    </row>
    <row r="6097" spans="33:33" x14ac:dyDescent="0.25">
      <c r="AG6097">
        <v>6095</v>
      </c>
    </row>
    <row r="6098" spans="33:33" x14ac:dyDescent="0.25">
      <c r="AG6098">
        <v>6096</v>
      </c>
    </row>
    <row r="6099" spans="33:33" x14ac:dyDescent="0.25">
      <c r="AG6099">
        <v>6097</v>
      </c>
    </row>
    <row r="6100" spans="33:33" x14ac:dyDescent="0.25">
      <c r="AG6100">
        <v>6098</v>
      </c>
    </row>
    <row r="6101" spans="33:33" x14ac:dyDescent="0.25">
      <c r="AG6101">
        <v>6099</v>
      </c>
    </row>
    <row r="6102" spans="33:33" x14ac:dyDescent="0.25">
      <c r="AG6102">
        <v>6100</v>
      </c>
    </row>
    <row r="6103" spans="33:33" x14ac:dyDescent="0.25">
      <c r="AG6103">
        <v>6101</v>
      </c>
    </row>
    <row r="6104" spans="33:33" x14ac:dyDescent="0.25">
      <c r="AG6104">
        <v>6102</v>
      </c>
    </row>
    <row r="6105" spans="33:33" x14ac:dyDescent="0.25">
      <c r="AG6105">
        <v>6103</v>
      </c>
    </row>
    <row r="6106" spans="33:33" x14ac:dyDescent="0.25">
      <c r="AG6106">
        <v>6104</v>
      </c>
    </row>
    <row r="6107" spans="33:33" x14ac:dyDescent="0.25">
      <c r="AG6107">
        <v>6105</v>
      </c>
    </row>
    <row r="6108" spans="33:33" x14ac:dyDescent="0.25">
      <c r="AG6108">
        <v>6106</v>
      </c>
    </row>
    <row r="6109" spans="33:33" x14ac:dyDescent="0.25">
      <c r="AG6109">
        <v>6107</v>
      </c>
    </row>
    <row r="6110" spans="33:33" x14ac:dyDescent="0.25">
      <c r="AG6110">
        <v>6108</v>
      </c>
    </row>
    <row r="6111" spans="33:33" x14ac:dyDescent="0.25">
      <c r="AG6111">
        <v>6109</v>
      </c>
    </row>
    <row r="6112" spans="33:33" x14ac:dyDescent="0.25">
      <c r="AG6112">
        <v>6110</v>
      </c>
    </row>
    <row r="6113" spans="33:33" x14ac:dyDescent="0.25">
      <c r="AG6113">
        <v>6111</v>
      </c>
    </row>
    <row r="6114" spans="33:33" x14ac:dyDescent="0.25">
      <c r="AG6114">
        <v>6112</v>
      </c>
    </row>
    <row r="6115" spans="33:33" x14ac:dyDescent="0.25">
      <c r="AG6115">
        <v>6113</v>
      </c>
    </row>
    <row r="6116" spans="33:33" x14ac:dyDescent="0.25">
      <c r="AG6116">
        <v>6114</v>
      </c>
    </row>
    <row r="6117" spans="33:33" x14ac:dyDescent="0.25">
      <c r="AG6117">
        <v>6115</v>
      </c>
    </row>
    <row r="6118" spans="33:33" x14ac:dyDescent="0.25">
      <c r="AG6118">
        <v>6116</v>
      </c>
    </row>
    <row r="6119" spans="33:33" x14ac:dyDescent="0.25">
      <c r="AG6119">
        <v>6117</v>
      </c>
    </row>
    <row r="6120" spans="33:33" x14ac:dyDescent="0.25">
      <c r="AG6120">
        <v>6118</v>
      </c>
    </row>
    <row r="6121" spans="33:33" x14ac:dyDescent="0.25">
      <c r="AG6121">
        <v>6119</v>
      </c>
    </row>
    <row r="6122" spans="33:33" x14ac:dyDescent="0.25">
      <c r="AG6122">
        <v>6120</v>
      </c>
    </row>
    <row r="6123" spans="33:33" x14ac:dyDescent="0.25">
      <c r="AG6123">
        <v>6121</v>
      </c>
    </row>
    <row r="6124" spans="33:33" x14ac:dyDescent="0.25">
      <c r="AG6124">
        <v>6122</v>
      </c>
    </row>
    <row r="6125" spans="33:33" x14ac:dyDescent="0.25">
      <c r="AG6125">
        <v>6123</v>
      </c>
    </row>
    <row r="6126" spans="33:33" x14ac:dyDescent="0.25">
      <c r="AG6126">
        <v>6124</v>
      </c>
    </row>
    <row r="6127" spans="33:33" x14ac:dyDescent="0.25">
      <c r="AG6127">
        <v>6125</v>
      </c>
    </row>
    <row r="6128" spans="33:33" x14ac:dyDescent="0.25">
      <c r="AG6128">
        <v>6126</v>
      </c>
    </row>
    <row r="6129" spans="33:33" x14ac:dyDescent="0.25">
      <c r="AG6129">
        <v>6127</v>
      </c>
    </row>
    <row r="6130" spans="33:33" x14ac:dyDescent="0.25">
      <c r="AG6130">
        <v>6128</v>
      </c>
    </row>
    <row r="6131" spans="33:33" x14ac:dyDescent="0.25">
      <c r="AG6131">
        <v>6129</v>
      </c>
    </row>
    <row r="6132" spans="33:33" x14ac:dyDescent="0.25">
      <c r="AG6132">
        <v>6130</v>
      </c>
    </row>
    <row r="6133" spans="33:33" x14ac:dyDescent="0.25">
      <c r="AG6133">
        <v>6131</v>
      </c>
    </row>
    <row r="6134" spans="33:33" x14ac:dyDescent="0.25">
      <c r="AG6134">
        <v>6132</v>
      </c>
    </row>
    <row r="6135" spans="33:33" x14ac:dyDescent="0.25">
      <c r="AG6135">
        <v>6133</v>
      </c>
    </row>
    <row r="6136" spans="33:33" x14ac:dyDescent="0.25">
      <c r="AG6136">
        <v>6134</v>
      </c>
    </row>
    <row r="6137" spans="33:33" x14ac:dyDescent="0.25">
      <c r="AG6137">
        <v>6135</v>
      </c>
    </row>
    <row r="6138" spans="33:33" x14ac:dyDescent="0.25">
      <c r="AG6138">
        <v>6136</v>
      </c>
    </row>
    <row r="6139" spans="33:33" x14ac:dyDescent="0.25">
      <c r="AG6139">
        <v>6137</v>
      </c>
    </row>
    <row r="6140" spans="33:33" x14ac:dyDescent="0.25">
      <c r="AG6140">
        <v>6138</v>
      </c>
    </row>
    <row r="6141" spans="33:33" x14ac:dyDescent="0.25">
      <c r="AG6141">
        <v>6139</v>
      </c>
    </row>
    <row r="6142" spans="33:33" x14ac:dyDescent="0.25">
      <c r="AG6142">
        <v>6140</v>
      </c>
    </row>
    <row r="6143" spans="33:33" x14ac:dyDescent="0.25">
      <c r="AG6143">
        <v>6141</v>
      </c>
    </row>
    <row r="6144" spans="33:33" x14ac:dyDescent="0.25">
      <c r="AG6144">
        <v>6142</v>
      </c>
    </row>
    <row r="6145" spans="33:33" x14ac:dyDescent="0.25">
      <c r="AG6145">
        <v>6143</v>
      </c>
    </row>
    <row r="6146" spans="33:33" x14ac:dyDescent="0.25">
      <c r="AG6146">
        <v>6144</v>
      </c>
    </row>
    <row r="6147" spans="33:33" x14ac:dyDescent="0.25">
      <c r="AG6147">
        <v>6145</v>
      </c>
    </row>
    <row r="6148" spans="33:33" x14ac:dyDescent="0.25">
      <c r="AG6148">
        <v>6146</v>
      </c>
    </row>
    <row r="6149" spans="33:33" x14ac:dyDescent="0.25">
      <c r="AG6149">
        <v>6147</v>
      </c>
    </row>
    <row r="6150" spans="33:33" x14ac:dyDescent="0.25">
      <c r="AG6150">
        <v>6148</v>
      </c>
    </row>
    <row r="6151" spans="33:33" x14ac:dyDescent="0.25">
      <c r="AG6151">
        <v>6149</v>
      </c>
    </row>
    <row r="6152" spans="33:33" x14ac:dyDescent="0.25">
      <c r="AG6152">
        <v>6150</v>
      </c>
    </row>
    <row r="6153" spans="33:33" x14ac:dyDescent="0.25">
      <c r="AG6153">
        <v>6151</v>
      </c>
    </row>
    <row r="6154" spans="33:33" x14ac:dyDescent="0.25">
      <c r="AG6154">
        <v>6152</v>
      </c>
    </row>
    <row r="6155" spans="33:33" x14ac:dyDescent="0.25">
      <c r="AG6155">
        <v>6153</v>
      </c>
    </row>
    <row r="6156" spans="33:33" x14ac:dyDescent="0.25">
      <c r="AG6156">
        <v>6154</v>
      </c>
    </row>
    <row r="6157" spans="33:33" x14ac:dyDescent="0.25">
      <c r="AG6157">
        <v>6155</v>
      </c>
    </row>
    <row r="6158" spans="33:33" x14ac:dyDescent="0.25">
      <c r="AG6158">
        <v>6156</v>
      </c>
    </row>
    <row r="6159" spans="33:33" x14ac:dyDescent="0.25">
      <c r="AG6159">
        <v>6157</v>
      </c>
    </row>
    <row r="6160" spans="33:33" x14ac:dyDescent="0.25">
      <c r="AG6160">
        <v>6158</v>
      </c>
    </row>
    <row r="6161" spans="33:33" x14ac:dyDescent="0.25">
      <c r="AG6161">
        <v>6159</v>
      </c>
    </row>
    <row r="6162" spans="33:33" x14ac:dyDescent="0.25">
      <c r="AG6162">
        <v>6160</v>
      </c>
    </row>
    <row r="6163" spans="33:33" x14ac:dyDescent="0.25">
      <c r="AG6163">
        <v>6161</v>
      </c>
    </row>
    <row r="6164" spans="33:33" x14ac:dyDescent="0.25">
      <c r="AG6164">
        <v>6162</v>
      </c>
    </row>
    <row r="6165" spans="33:33" x14ac:dyDescent="0.25">
      <c r="AG6165">
        <v>6163</v>
      </c>
    </row>
    <row r="6166" spans="33:33" x14ac:dyDescent="0.25">
      <c r="AG6166">
        <v>6164</v>
      </c>
    </row>
    <row r="6167" spans="33:33" x14ac:dyDescent="0.25">
      <c r="AG6167">
        <v>6165</v>
      </c>
    </row>
    <row r="6168" spans="33:33" x14ac:dyDescent="0.25">
      <c r="AG6168">
        <v>6166</v>
      </c>
    </row>
    <row r="6169" spans="33:33" x14ac:dyDescent="0.25">
      <c r="AG6169">
        <v>6167</v>
      </c>
    </row>
    <row r="6170" spans="33:33" x14ac:dyDescent="0.25">
      <c r="AG6170">
        <v>6168</v>
      </c>
    </row>
    <row r="6171" spans="33:33" x14ac:dyDescent="0.25">
      <c r="AG6171">
        <v>6169</v>
      </c>
    </row>
    <row r="6172" spans="33:33" x14ac:dyDescent="0.25">
      <c r="AG6172">
        <v>6170</v>
      </c>
    </row>
    <row r="6173" spans="33:33" x14ac:dyDescent="0.25">
      <c r="AG6173">
        <v>6171</v>
      </c>
    </row>
    <row r="6174" spans="33:33" x14ac:dyDescent="0.25">
      <c r="AG6174">
        <v>6172</v>
      </c>
    </row>
    <row r="6175" spans="33:33" x14ac:dyDescent="0.25">
      <c r="AG6175">
        <v>6173</v>
      </c>
    </row>
    <row r="6176" spans="33:33" x14ac:dyDescent="0.25">
      <c r="AG6176">
        <v>6174</v>
      </c>
    </row>
    <row r="6177" spans="33:33" x14ac:dyDescent="0.25">
      <c r="AG6177">
        <v>6175</v>
      </c>
    </row>
    <row r="6178" spans="33:33" x14ac:dyDescent="0.25">
      <c r="AG6178">
        <v>6176</v>
      </c>
    </row>
    <row r="6179" spans="33:33" x14ac:dyDescent="0.25">
      <c r="AG6179">
        <v>6177</v>
      </c>
    </row>
    <row r="6180" spans="33:33" x14ac:dyDescent="0.25">
      <c r="AG6180">
        <v>6178</v>
      </c>
    </row>
    <row r="6181" spans="33:33" x14ac:dyDescent="0.25">
      <c r="AG6181">
        <v>6179</v>
      </c>
    </row>
    <row r="6182" spans="33:33" x14ac:dyDescent="0.25">
      <c r="AG6182">
        <v>6180</v>
      </c>
    </row>
    <row r="6183" spans="33:33" x14ac:dyDescent="0.25">
      <c r="AG6183">
        <v>6181</v>
      </c>
    </row>
    <row r="6184" spans="33:33" x14ac:dyDescent="0.25">
      <c r="AG6184">
        <v>6182</v>
      </c>
    </row>
    <row r="6185" spans="33:33" x14ac:dyDescent="0.25">
      <c r="AG6185">
        <v>6183</v>
      </c>
    </row>
    <row r="6186" spans="33:33" x14ac:dyDescent="0.25">
      <c r="AG6186">
        <v>6184</v>
      </c>
    </row>
    <row r="6187" spans="33:33" x14ac:dyDescent="0.25">
      <c r="AG6187">
        <v>6185</v>
      </c>
    </row>
    <row r="6188" spans="33:33" x14ac:dyDescent="0.25">
      <c r="AG6188">
        <v>6186</v>
      </c>
    </row>
    <row r="6189" spans="33:33" x14ac:dyDescent="0.25">
      <c r="AG6189">
        <v>6187</v>
      </c>
    </row>
    <row r="6190" spans="33:33" x14ac:dyDescent="0.25">
      <c r="AG6190">
        <v>6188</v>
      </c>
    </row>
    <row r="6191" spans="33:33" x14ac:dyDescent="0.25">
      <c r="AG6191">
        <v>6189</v>
      </c>
    </row>
    <row r="6192" spans="33:33" x14ac:dyDescent="0.25">
      <c r="AG6192">
        <v>6190</v>
      </c>
    </row>
    <row r="6193" spans="33:33" x14ac:dyDescent="0.25">
      <c r="AG6193">
        <v>6191</v>
      </c>
    </row>
    <row r="6194" spans="33:33" x14ac:dyDescent="0.25">
      <c r="AG6194">
        <v>6192</v>
      </c>
    </row>
    <row r="6195" spans="33:33" x14ac:dyDescent="0.25">
      <c r="AG6195">
        <v>6193</v>
      </c>
    </row>
    <row r="6196" spans="33:33" x14ac:dyDescent="0.25">
      <c r="AG6196">
        <v>6194</v>
      </c>
    </row>
    <row r="6197" spans="33:33" x14ac:dyDescent="0.25">
      <c r="AG6197">
        <v>6195</v>
      </c>
    </row>
    <row r="6198" spans="33:33" x14ac:dyDescent="0.25">
      <c r="AG6198">
        <v>6196</v>
      </c>
    </row>
    <row r="6199" spans="33:33" x14ac:dyDescent="0.25">
      <c r="AG6199">
        <v>6197</v>
      </c>
    </row>
    <row r="6200" spans="33:33" x14ac:dyDescent="0.25">
      <c r="AG6200">
        <v>6198</v>
      </c>
    </row>
    <row r="6201" spans="33:33" x14ac:dyDescent="0.25">
      <c r="AG6201">
        <v>6199</v>
      </c>
    </row>
    <row r="6202" spans="33:33" x14ac:dyDescent="0.25">
      <c r="AG6202">
        <v>6200</v>
      </c>
    </row>
    <row r="6203" spans="33:33" x14ac:dyDescent="0.25">
      <c r="AG6203">
        <v>6201</v>
      </c>
    </row>
    <row r="6204" spans="33:33" x14ac:dyDescent="0.25">
      <c r="AG6204">
        <v>6202</v>
      </c>
    </row>
    <row r="6205" spans="33:33" x14ac:dyDescent="0.25">
      <c r="AG6205">
        <v>6203</v>
      </c>
    </row>
    <row r="6206" spans="33:33" x14ac:dyDescent="0.25">
      <c r="AG6206">
        <v>6204</v>
      </c>
    </row>
    <row r="6207" spans="33:33" x14ac:dyDescent="0.25">
      <c r="AG6207">
        <v>6205</v>
      </c>
    </row>
    <row r="6208" spans="33:33" x14ac:dyDescent="0.25">
      <c r="AG6208">
        <v>6206</v>
      </c>
    </row>
    <row r="6209" spans="33:33" x14ac:dyDescent="0.25">
      <c r="AG6209">
        <v>6207</v>
      </c>
    </row>
    <row r="6210" spans="33:33" x14ac:dyDescent="0.25">
      <c r="AG6210">
        <v>6208</v>
      </c>
    </row>
    <row r="6211" spans="33:33" x14ac:dyDescent="0.25">
      <c r="AG6211">
        <v>6209</v>
      </c>
    </row>
    <row r="6212" spans="33:33" x14ac:dyDescent="0.25">
      <c r="AG6212">
        <v>6210</v>
      </c>
    </row>
    <row r="6213" spans="33:33" x14ac:dyDescent="0.25">
      <c r="AG6213">
        <v>6211</v>
      </c>
    </row>
    <row r="6214" spans="33:33" x14ac:dyDescent="0.25">
      <c r="AG6214">
        <v>6212</v>
      </c>
    </row>
    <row r="6215" spans="33:33" x14ac:dyDescent="0.25">
      <c r="AG6215">
        <v>6213</v>
      </c>
    </row>
    <row r="6216" spans="33:33" x14ac:dyDescent="0.25">
      <c r="AG6216">
        <v>6214</v>
      </c>
    </row>
    <row r="6217" spans="33:33" x14ac:dyDescent="0.25">
      <c r="AG6217">
        <v>6215</v>
      </c>
    </row>
    <row r="6218" spans="33:33" x14ac:dyDescent="0.25">
      <c r="AG6218">
        <v>6216</v>
      </c>
    </row>
    <row r="6219" spans="33:33" x14ac:dyDescent="0.25">
      <c r="AG6219">
        <v>6217</v>
      </c>
    </row>
    <row r="6220" spans="33:33" x14ac:dyDescent="0.25">
      <c r="AG6220">
        <v>6218</v>
      </c>
    </row>
    <row r="6221" spans="33:33" x14ac:dyDescent="0.25">
      <c r="AG6221">
        <v>6219</v>
      </c>
    </row>
    <row r="6222" spans="33:33" x14ac:dyDescent="0.25">
      <c r="AG6222">
        <v>6220</v>
      </c>
    </row>
    <row r="6223" spans="33:33" x14ac:dyDescent="0.25">
      <c r="AG6223">
        <v>6221</v>
      </c>
    </row>
    <row r="6224" spans="33:33" x14ac:dyDescent="0.25">
      <c r="AG6224">
        <v>6222</v>
      </c>
    </row>
    <row r="6225" spans="33:33" x14ac:dyDescent="0.25">
      <c r="AG6225">
        <v>6223</v>
      </c>
    </row>
    <row r="6226" spans="33:33" x14ac:dyDescent="0.25">
      <c r="AG6226">
        <v>6224</v>
      </c>
    </row>
    <row r="6227" spans="33:33" x14ac:dyDescent="0.25">
      <c r="AG6227">
        <v>6225</v>
      </c>
    </row>
    <row r="6228" spans="33:33" x14ac:dyDescent="0.25">
      <c r="AG6228">
        <v>6226</v>
      </c>
    </row>
    <row r="6229" spans="33:33" x14ac:dyDescent="0.25">
      <c r="AG6229">
        <v>6227</v>
      </c>
    </row>
    <row r="6230" spans="33:33" x14ac:dyDescent="0.25">
      <c r="AG6230">
        <v>6228</v>
      </c>
    </row>
    <row r="6231" spans="33:33" x14ac:dyDescent="0.25">
      <c r="AG6231">
        <v>6229</v>
      </c>
    </row>
    <row r="6232" spans="33:33" x14ac:dyDescent="0.25">
      <c r="AG6232">
        <v>6230</v>
      </c>
    </row>
    <row r="6233" spans="33:33" x14ac:dyDescent="0.25">
      <c r="AG6233">
        <v>6231</v>
      </c>
    </row>
    <row r="6234" spans="33:33" x14ac:dyDescent="0.25">
      <c r="AG6234">
        <v>6232</v>
      </c>
    </row>
    <row r="6235" spans="33:33" x14ac:dyDescent="0.25">
      <c r="AG6235">
        <v>6233</v>
      </c>
    </row>
    <row r="6236" spans="33:33" x14ac:dyDescent="0.25">
      <c r="AG6236">
        <v>6234</v>
      </c>
    </row>
    <row r="6237" spans="33:33" x14ac:dyDescent="0.25">
      <c r="AG6237">
        <v>6235</v>
      </c>
    </row>
    <row r="6238" spans="33:33" x14ac:dyDescent="0.25">
      <c r="AG6238">
        <v>6236</v>
      </c>
    </row>
    <row r="6239" spans="33:33" x14ac:dyDescent="0.25">
      <c r="AG6239">
        <v>6237</v>
      </c>
    </row>
    <row r="6240" spans="33:33" x14ac:dyDescent="0.25">
      <c r="AG6240">
        <v>6238</v>
      </c>
    </row>
    <row r="6241" spans="33:33" x14ac:dyDescent="0.25">
      <c r="AG6241">
        <v>6239</v>
      </c>
    </row>
    <row r="6242" spans="33:33" x14ac:dyDescent="0.25">
      <c r="AG6242">
        <v>6240</v>
      </c>
    </row>
    <row r="6243" spans="33:33" x14ac:dyDescent="0.25">
      <c r="AG6243">
        <v>6241</v>
      </c>
    </row>
    <row r="6244" spans="33:33" x14ac:dyDescent="0.25">
      <c r="AG6244">
        <v>6242</v>
      </c>
    </row>
    <row r="6245" spans="33:33" x14ac:dyDescent="0.25">
      <c r="AG6245">
        <v>6243</v>
      </c>
    </row>
    <row r="6246" spans="33:33" x14ac:dyDescent="0.25">
      <c r="AG6246">
        <v>6244</v>
      </c>
    </row>
    <row r="6247" spans="33:33" x14ac:dyDescent="0.25">
      <c r="AG6247">
        <v>6245</v>
      </c>
    </row>
    <row r="6248" spans="33:33" x14ac:dyDescent="0.25">
      <c r="AG6248">
        <v>6246</v>
      </c>
    </row>
    <row r="6249" spans="33:33" x14ac:dyDescent="0.25">
      <c r="AG6249">
        <v>6247</v>
      </c>
    </row>
    <row r="6250" spans="33:33" x14ac:dyDescent="0.25">
      <c r="AG6250">
        <v>6248</v>
      </c>
    </row>
    <row r="6251" spans="33:33" x14ac:dyDescent="0.25">
      <c r="AG6251">
        <v>6249</v>
      </c>
    </row>
    <row r="6252" spans="33:33" x14ac:dyDescent="0.25">
      <c r="AG6252">
        <v>6250</v>
      </c>
    </row>
    <row r="6253" spans="33:33" x14ac:dyDescent="0.25">
      <c r="AG6253">
        <v>6251</v>
      </c>
    </row>
    <row r="6254" spans="33:33" x14ac:dyDescent="0.25">
      <c r="AG6254">
        <v>6252</v>
      </c>
    </row>
    <row r="6255" spans="33:33" x14ac:dyDescent="0.25">
      <c r="AG6255">
        <v>6253</v>
      </c>
    </row>
    <row r="6256" spans="33:33" x14ac:dyDescent="0.25">
      <c r="AG6256">
        <v>6254</v>
      </c>
    </row>
    <row r="6257" spans="33:33" x14ac:dyDescent="0.25">
      <c r="AG6257">
        <v>6255</v>
      </c>
    </row>
    <row r="6258" spans="33:33" x14ac:dyDescent="0.25">
      <c r="AG6258">
        <v>6256</v>
      </c>
    </row>
    <row r="6259" spans="33:33" x14ac:dyDescent="0.25">
      <c r="AG6259">
        <v>6257</v>
      </c>
    </row>
    <row r="6260" spans="33:33" x14ac:dyDescent="0.25">
      <c r="AG6260">
        <v>6258</v>
      </c>
    </row>
    <row r="6261" spans="33:33" x14ac:dyDescent="0.25">
      <c r="AG6261">
        <v>6259</v>
      </c>
    </row>
    <row r="6262" spans="33:33" x14ac:dyDescent="0.25">
      <c r="AG6262">
        <v>6260</v>
      </c>
    </row>
    <row r="6263" spans="33:33" x14ac:dyDescent="0.25">
      <c r="AG6263">
        <v>6261</v>
      </c>
    </row>
    <row r="6264" spans="33:33" x14ac:dyDescent="0.25">
      <c r="AG6264">
        <v>6262</v>
      </c>
    </row>
    <row r="6265" spans="33:33" x14ac:dyDescent="0.25">
      <c r="AG6265">
        <v>6263</v>
      </c>
    </row>
    <row r="6266" spans="33:33" x14ac:dyDescent="0.25">
      <c r="AG6266">
        <v>6264</v>
      </c>
    </row>
    <row r="6267" spans="33:33" x14ac:dyDescent="0.25">
      <c r="AG6267">
        <v>6265</v>
      </c>
    </row>
    <row r="6268" spans="33:33" x14ac:dyDescent="0.25">
      <c r="AG6268">
        <v>6266</v>
      </c>
    </row>
    <row r="6269" spans="33:33" x14ac:dyDescent="0.25">
      <c r="AG6269">
        <v>6267</v>
      </c>
    </row>
    <row r="6270" spans="33:33" x14ac:dyDescent="0.25">
      <c r="AG6270">
        <v>6268</v>
      </c>
    </row>
    <row r="6271" spans="33:33" x14ac:dyDescent="0.25">
      <c r="AG6271">
        <v>6269</v>
      </c>
    </row>
    <row r="6272" spans="33:33" x14ac:dyDescent="0.25">
      <c r="AG6272">
        <v>6270</v>
      </c>
    </row>
    <row r="6273" spans="33:33" x14ac:dyDescent="0.25">
      <c r="AG6273">
        <v>6271</v>
      </c>
    </row>
    <row r="6274" spans="33:33" x14ac:dyDescent="0.25">
      <c r="AG6274">
        <v>6272</v>
      </c>
    </row>
    <row r="6275" spans="33:33" x14ac:dyDescent="0.25">
      <c r="AG6275">
        <v>6273</v>
      </c>
    </row>
    <row r="6276" spans="33:33" x14ac:dyDescent="0.25">
      <c r="AG6276">
        <v>6274</v>
      </c>
    </row>
    <row r="6277" spans="33:33" x14ac:dyDescent="0.25">
      <c r="AG6277">
        <v>6275</v>
      </c>
    </row>
    <row r="6278" spans="33:33" x14ac:dyDescent="0.25">
      <c r="AG6278">
        <v>6276</v>
      </c>
    </row>
    <row r="6279" spans="33:33" x14ac:dyDescent="0.25">
      <c r="AG6279">
        <v>6277</v>
      </c>
    </row>
    <row r="6280" spans="33:33" x14ac:dyDescent="0.25">
      <c r="AG6280">
        <v>6278</v>
      </c>
    </row>
    <row r="6281" spans="33:33" x14ac:dyDescent="0.25">
      <c r="AG6281">
        <v>6279</v>
      </c>
    </row>
    <row r="6282" spans="33:33" x14ac:dyDescent="0.25">
      <c r="AG6282">
        <v>6280</v>
      </c>
    </row>
    <row r="6283" spans="33:33" x14ac:dyDescent="0.25">
      <c r="AG6283">
        <v>6281</v>
      </c>
    </row>
    <row r="6284" spans="33:33" x14ac:dyDescent="0.25">
      <c r="AG6284">
        <v>6282</v>
      </c>
    </row>
    <row r="6285" spans="33:33" x14ac:dyDescent="0.25">
      <c r="AG6285">
        <v>6283</v>
      </c>
    </row>
    <row r="6286" spans="33:33" x14ac:dyDescent="0.25">
      <c r="AG6286">
        <v>6284</v>
      </c>
    </row>
    <row r="6287" spans="33:33" x14ac:dyDescent="0.25">
      <c r="AG6287">
        <v>6285</v>
      </c>
    </row>
    <row r="6288" spans="33:33" x14ac:dyDescent="0.25">
      <c r="AG6288">
        <v>6286</v>
      </c>
    </row>
    <row r="6289" spans="33:33" x14ac:dyDescent="0.25">
      <c r="AG6289">
        <v>6287</v>
      </c>
    </row>
    <row r="6290" spans="33:33" x14ac:dyDescent="0.25">
      <c r="AG6290">
        <v>6288</v>
      </c>
    </row>
    <row r="6291" spans="33:33" x14ac:dyDescent="0.25">
      <c r="AG6291">
        <v>6289</v>
      </c>
    </row>
    <row r="6292" spans="33:33" x14ac:dyDescent="0.25">
      <c r="AG6292">
        <v>6290</v>
      </c>
    </row>
    <row r="6293" spans="33:33" x14ac:dyDescent="0.25">
      <c r="AG6293">
        <v>6291</v>
      </c>
    </row>
    <row r="6294" spans="33:33" x14ac:dyDescent="0.25">
      <c r="AG6294">
        <v>6292</v>
      </c>
    </row>
    <row r="6295" spans="33:33" x14ac:dyDescent="0.25">
      <c r="AG6295">
        <v>6293</v>
      </c>
    </row>
    <row r="6296" spans="33:33" x14ac:dyDescent="0.25">
      <c r="AG6296">
        <v>6294</v>
      </c>
    </row>
    <row r="6297" spans="33:33" x14ac:dyDescent="0.25">
      <c r="AG6297">
        <v>6295</v>
      </c>
    </row>
    <row r="6298" spans="33:33" x14ac:dyDescent="0.25">
      <c r="AG6298">
        <v>6296</v>
      </c>
    </row>
    <row r="6299" spans="33:33" x14ac:dyDescent="0.25">
      <c r="AG6299">
        <v>6297</v>
      </c>
    </row>
    <row r="6300" spans="33:33" x14ac:dyDescent="0.25">
      <c r="AG6300">
        <v>6298</v>
      </c>
    </row>
    <row r="6301" spans="33:33" x14ac:dyDescent="0.25">
      <c r="AG6301">
        <v>6299</v>
      </c>
    </row>
    <row r="6302" spans="33:33" x14ac:dyDescent="0.25">
      <c r="AG6302">
        <v>6300</v>
      </c>
    </row>
    <row r="6303" spans="33:33" x14ac:dyDescent="0.25">
      <c r="AG6303">
        <v>6301</v>
      </c>
    </row>
    <row r="6304" spans="33:33" x14ac:dyDescent="0.25">
      <c r="AG6304">
        <v>6302</v>
      </c>
    </row>
    <row r="6305" spans="33:33" x14ac:dyDescent="0.25">
      <c r="AG6305">
        <v>6303</v>
      </c>
    </row>
    <row r="6306" spans="33:33" x14ac:dyDescent="0.25">
      <c r="AG6306">
        <v>6304</v>
      </c>
    </row>
    <row r="6307" spans="33:33" x14ac:dyDescent="0.25">
      <c r="AG6307">
        <v>6305</v>
      </c>
    </row>
    <row r="6308" spans="33:33" x14ac:dyDescent="0.25">
      <c r="AG6308">
        <v>6306</v>
      </c>
    </row>
    <row r="6309" spans="33:33" x14ac:dyDescent="0.25">
      <c r="AG6309">
        <v>6307</v>
      </c>
    </row>
    <row r="6310" spans="33:33" x14ac:dyDescent="0.25">
      <c r="AG6310">
        <v>6308</v>
      </c>
    </row>
    <row r="6311" spans="33:33" x14ac:dyDescent="0.25">
      <c r="AG6311">
        <v>6309</v>
      </c>
    </row>
    <row r="6312" spans="33:33" x14ac:dyDescent="0.25">
      <c r="AG6312">
        <v>6310</v>
      </c>
    </row>
    <row r="6313" spans="33:33" x14ac:dyDescent="0.25">
      <c r="AG6313">
        <v>6311</v>
      </c>
    </row>
    <row r="6314" spans="33:33" x14ac:dyDescent="0.25">
      <c r="AG6314">
        <v>6312</v>
      </c>
    </row>
    <row r="6315" spans="33:33" x14ac:dyDescent="0.25">
      <c r="AG6315">
        <v>6313</v>
      </c>
    </row>
    <row r="6316" spans="33:33" x14ac:dyDescent="0.25">
      <c r="AG6316">
        <v>6314</v>
      </c>
    </row>
    <row r="6317" spans="33:33" x14ac:dyDescent="0.25">
      <c r="AG6317">
        <v>6315</v>
      </c>
    </row>
    <row r="6318" spans="33:33" x14ac:dyDescent="0.25">
      <c r="AG6318">
        <v>6316</v>
      </c>
    </row>
    <row r="6319" spans="33:33" x14ac:dyDescent="0.25">
      <c r="AG6319">
        <v>6317</v>
      </c>
    </row>
    <row r="6320" spans="33:33" x14ac:dyDescent="0.25">
      <c r="AG6320">
        <v>6318</v>
      </c>
    </row>
    <row r="6321" spans="33:33" x14ac:dyDescent="0.25">
      <c r="AG6321">
        <v>6319</v>
      </c>
    </row>
    <row r="6322" spans="33:33" x14ac:dyDescent="0.25">
      <c r="AG6322">
        <v>6320</v>
      </c>
    </row>
    <row r="6323" spans="33:33" x14ac:dyDescent="0.25">
      <c r="AG6323">
        <v>6321</v>
      </c>
    </row>
    <row r="6324" spans="33:33" x14ac:dyDescent="0.25">
      <c r="AG6324">
        <v>6322</v>
      </c>
    </row>
    <row r="6325" spans="33:33" x14ac:dyDescent="0.25">
      <c r="AG6325">
        <v>6323</v>
      </c>
    </row>
    <row r="6326" spans="33:33" x14ac:dyDescent="0.25">
      <c r="AG6326">
        <v>6324</v>
      </c>
    </row>
    <row r="6327" spans="33:33" x14ac:dyDescent="0.25">
      <c r="AG6327">
        <v>6325</v>
      </c>
    </row>
    <row r="6328" spans="33:33" x14ac:dyDescent="0.25">
      <c r="AG6328">
        <v>6326</v>
      </c>
    </row>
    <row r="6329" spans="33:33" x14ac:dyDescent="0.25">
      <c r="AG6329">
        <v>6327</v>
      </c>
    </row>
    <row r="6330" spans="33:33" x14ac:dyDescent="0.25">
      <c r="AG6330">
        <v>6328</v>
      </c>
    </row>
    <row r="6331" spans="33:33" x14ac:dyDescent="0.25">
      <c r="AG6331">
        <v>6329</v>
      </c>
    </row>
    <row r="6332" spans="33:33" x14ac:dyDescent="0.25">
      <c r="AG6332">
        <v>6330</v>
      </c>
    </row>
    <row r="6333" spans="33:33" x14ac:dyDescent="0.25">
      <c r="AG6333">
        <v>6331</v>
      </c>
    </row>
    <row r="6334" spans="33:33" x14ac:dyDescent="0.25">
      <c r="AG6334">
        <v>6332</v>
      </c>
    </row>
    <row r="6335" spans="33:33" x14ac:dyDescent="0.25">
      <c r="AG6335">
        <v>6333</v>
      </c>
    </row>
    <row r="6336" spans="33:33" x14ac:dyDescent="0.25">
      <c r="AG6336">
        <v>6334</v>
      </c>
    </row>
    <row r="6337" spans="33:33" x14ac:dyDescent="0.25">
      <c r="AG6337">
        <v>6335</v>
      </c>
    </row>
    <row r="6338" spans="33:33" x14ac:dyDescent="0.25">
      <c r="AG6338">
        <v>6336</v>
      </c>
    </row>
    <row r="6339" spans="33:33" x14ac:dyDescent="0.25">
      <c r="AG6339">
        <v>6337</v>
      </c>
    </row>
    <row r="6340" spans="33:33" x14ac:dyDescent="0.25">
      <c r="AG6340">
        <v>6338</v>
      </c>
    </row>
    <row r="6341" spans="33:33" x14ac:dyDescent="0.25">
      <c r="AG6341">
        <v>6339</v>
      </c>
    </row>
    <row r="6342" spans="33:33" x14ac:dyDescent="0.25">
      <c r="AG6342">
        <v>6340</v>
      </c>
    </row>
    <row r="6343" spans="33:33" x14ac:dyDescent="0.25">
      <c r="AG6343">
        <v>6341</v>
      </c>
    </row>
    <row r="6344" spans="33:33" x14ac:dyDescent="0.25">
      <c r="AG6344">
        <v>6342</v>
      </c>
    </row>
    <row r="6345" spans="33:33" x14ac:dyDescent="0.25">
      <c r="AG6345">
        <v>6343</v>
      </c>
    </row>
    <row r="6346" spans="33:33" x14ac:dyDescent="0.25">
      <c r="AG6346">
        <v>6344</v>
      </c>
    </row>
    <row r="6347" spans="33:33" x14ac:dyDescent="0.25">
      <c r="AG6347">
        <v>6345</v>
      </c>
    </row>
    <row r="6348" spans="33:33" x14ac:dyDescent="0.25">
      <c r="AG6348">
        <v>6346</v>
      </c>
    </row>
    <row r="6349" spans="33:33" x14ac:dyDescent="0.25">
      <c r="AG6349">
        <v>6347</v>
      </c>
    </row>
    <row r="6350" spans="33:33" x14ac:dyDescent="0.25">
      <c r="AG6350">
        <v>6348</v>
      </c>
    </row>
    <row r="6351" spans="33:33" x14ac:dyDescent="0.25">
      <c r="AG6351">
        <v>6349</v>
      </c>
    </row>
    <row r="6352" spans="33:33" x14ac:dyDescent="0.25">
      <c r="AG6352">
        <v>6350</v>
      </c>
    </row>
    <row r="6353" spans="33:33" x14ac:dyDescent="0.25">
      <c r="AG6353">
        <v>6351</v>
      </c>
    </row>
    <row r="6354" spans="33:33" x14ac:dyDescent="0.25">
      <c r="AG6354">
        <v>6352</v>
      </c>
    </row>
    <row r="6355" spans="33:33" x14ac:dyDescent="0.25">
      <c r="AG6355">
        <v>6353</v>
      </c>
    </row>
    <row r="6356" spans="33:33" x14ac:dyDescent="0.25">
      <c r="AG6356">
        <v>6354</v>
      </c>
    </row>
    <row r="6357" spans="33:33" x14ac:dyDescent="0.25">
      <c r="AG6357">
        <v>6355</v>
      </c>
    </row>
    <row r="6358" spans="33:33" x14ac:dyDescent="0.25">
      <c r="AG6358">
        <v>6356</v>
      </c>
    </row>
    <row r="6359" spans="33:33" x14ac:dyDescent="0.25">
      <c r="AG6359">
        <v>6357</v>
      </c>
    </row>
    <row r="6360" spans="33:33" x14ac:dyDescent="0.25">
      <c r="AG6360">
        <v>6358</v>
      </c>
    </row>
    <row r="6361" spans="33:33" x14ac:dyDescent="0.25">
      <c r="AG6361">
        <v>6359</v>
      </c>
    </row>
    <row r="6362" spans="33:33" x14ac:dyDescent="0.25">
      <c r="AG6362">
        <v>6360</v>
      </c>
    </row>
    <row r="6363" spans="33:33" x14ac:dyDescent="0.25">
      <c r="AG6363">
        <v>6361</v>
      </c>
    </row>
    <row r="6364" spans="33:33" x14ac:dyDescent="0.25">
      <c r="AG6364">
        <v>6362</v>
      </c>
    </row>
    <row r="6365" spans="33:33" x14ac:dyDescent="0.25">
      <c r="AG6365">
        <v>6363</v>
      </c>
    </row>
    <row r="6366" spans="33:33" x14ac:dyDescent="0.25">
      <c r="AG6366">
        <v>6364</v>
      </c>
    </row>
    <row r="6367" spans="33:33" x14ac:dyDescent="0.25">
      <c r="AG6367">
        <v>6365</v>
      </c>
    </row>
    <row r="6368" spans="33:33" x14ac:dyDescent="0.25">
      <c r="AG6368">
        <v>6366</v>
      </c>
    </row>
    <row r="6369" spans="33:33" x14ac:dyDescent="0.25">
      <c r="AG6369">
        <v>6367</v>
      </c>
    </row>
    <row r="6370" spans="33:33" x14ac:dyDescent="0.25">
      <c r="AG6370">
        <v>6368</v>
      </c>
    </row>
    <row r="6371" spans="33:33" x14ac:dyDescent="0.25">
      <c r="AG6371">
        <v>6369</v>
      </c>
    </row>
    <row r="6372" spans="33:33" x14ac:dyDescent="0.25">
      <c r="AG6372">
        <v>6370</v>
      </c>
    </row>
    <row r="6373" spans="33:33" x14ac:dyDescent="0.25">
      <c r="AG6373">
        <v>6371</v>
      </c>
    </row>
    <row r="6374" spans="33:33" x14ac:dyDescent="0.25">
      <c r="AG6374">
        <v>6372</v>
      </c>
    </row>
    <row r="6375" spans="33:33" x14ac:dyDescent="0.25">
      <c r="AG6375">
        <v>6373</v>
      </c>
    </row>
    <row r="6376" spans="33:33" x14ac:dyDescent="0.25">
      <c r="AG6376">
        <v>6374</v>
      </c>
    </row>
    <row r="6377" spans="33:33" x14ac:dyDescent="0.25">
      <c r="AG6377">
        <v>6375</v>
      </c>
    </row>
    <row r="6378" spans="33:33" x14ac:dyDescent="0.25">
      <c r="AG6378">
        <v>6376</v>
      </c>
    </row>
    <row r="6379" spans="33:33" x14ac:dyDescent="0.25">
      <c r="AG6379">
        <v>6377</v>
      </c>
    </row>
    <row r="6380" spans="33:33" x14ac:dyDescent="0.25">
      <c r="AG6380">
        <v>6378</v>
      </c>
    </row>
    <row r="6381" spans="33:33" x14ac:dyDescent="0.25">
      <c r="AG6381">
        <v>6379</v>
      </c>
    </row>
    <row r="6382" spans="33:33" x14ac:dyDescent="0.25">
      <c r="AG6382">
        <v>6380</v>
      </c>
    </row>
    <row r="6383" spans="33:33" x14ac:dyDescent="0.25">
      <c r="AG6383">
        <v>6381</v>
      </c>
    </row>
    <row r="6384" spans="33:33" x14ac:dyDescent="0.25">
      <c r="AG6384">
        <v>6382</v>
      </c>
    </row>
    <row r="6385" spans="33:33" x14ac:dyDescent="0.25">
      <c r="AG6385">
        <v>6383</v>
      </c>
    </row>
    <row r="6386" spans="33:33" x14ac:dyDescent="0.25">
      <c r="AG6386">
        <v>6384</v>
      </c>
    </row>
    <row r="6387" spans="33:33" x14ac:dyDescent="0.25">
      <c r="AG6387">
        <v>6385</v>
      </c>
    </row>
    <row r="6388" spans="33:33" x14ac:dyDescent="0.25">
      <c r="AG6388">
        <v>6386</v>
      </c>
    </row>
    <row r="6389" spans="33:33" x14ac:dyDescent="0.25">
      <c r="AG6389">
        <v>6387</v>
      </c>
    </row>
    <row r="6390" spans="33:33" x14ac:dyDescent="0.25">
      <c r="AG6390">
        <v>6388</v>
      </c>
    </row>
    <row r="6391" spans="33:33" x14ac:dyDescent="0.25">
      <c r="AG6391">
        <v>6389</v>
      </c>
    </row>
    <row r="6392" spans="33:33" x14ac:dyDescent="0.25">
      <c r="AG6392">
        <v>6390</v>
      </c>
    </row>
    <row r="6393" spans="33:33" x14ac:dyDescent="0.25">
      <c r="AG6393">
        <v>6391</v>
      </c>
    </row>
    <row r="6394" spans="33:33" x14ac:dyDescent="0.25">
      <c r="AG6394">
        <v>6392</v>
      </c>
    </row>
    <row r="6395" spans="33:33" x14ac:dyDescent="0.25">
      <c r="AG6395">
        <v>6393</v>
      </c>
    </row>
    <row r="6396" spans="33:33" x14ac:dyDescent="0.25">
      <c r="AG6396">
        <v>6394</v>
      </c>
    </row>
    <row r="6397" spans="33:33" x14ac:dyDescent="0.25">
      <c r="AG6397">
        <v>6395</v>
      </c>
    </row>
    <row r="6398" spans="33:33" x14ac:dyDescent="0.25">
      <c r="AG6398">
        <v>6396</v>
      </c>
    </row>
    <row r="6399" spans="33:33" x14ac:dyDescent="0.25">
      <c r="AG6399">
        <v>6397</v>
      </c>
    </row>
    <row r="6400" spans="33:33" x14ac:dyDescent="0.25">
      <c r="AG6400">
        <v>6398</v>
      </c>
    </row>
    <row r="6401" spans="33:33" x14ac:dyDescent="0.25">
      <c r="AG6401">
        <v>6399</v>
      </c>
    </row>
    <row r="6402" spans="33:33" x14ac:dyDescent="0.25">
      <c r="AG6402">
        <v>6400</v>
      </c>
    </row>
    <row r="6403" spans="33:33" x14ac:dyDescent="0.25">
      <c r="AG6403">
        <v>6401</v>
      </c>
    </row>
    <row r="6404" spans="33:33" x14ac:dyDescent="0.25">
      <c r="AG6404">
        <v>6402</v>
      </c>
    </row>
    <row r="6405" spans="33:33" x14ac:dyDescent="0.25">
      <c r="AG6405">
        <v>6403</v>
      </c>
    </row>
    <row r="6406" spans="33:33" x14ac:dyDescent="0.25">
      <c r="AG6406">
        <v>6404</v>
      </c>
    </row>
    <row r="6407" spans="33:33" x14ac:dyDescent="0.25">
      <c r="AG6407">
        <v>6405</v>
      </c>
    </row>
    <row r="6408" spans="33:33" x14ac:dyDescent="0.25">
      <c r="AG6408">
        <v>6406</v>
      </c>
    </row>
    <row r="6409" spans="33:33" x14ac:dyDescent="0.25">
      <c r="AG6409">
        <v>6407</v>
      </c>
    </row>
    <row r="6410" spans="33:33" x14ac:dyDescent="0.25">
      <c r="AG6410">
        <v>6408</v>
      </c>
    </row>
    <row r="6411" spans="33:33" x14ac:dyDescent="0.25">
      <c r="AG6411">
        <v>6409</v>
      </c>
    </row>
    <row r="6412" spans="33:33" x14ac:dyDescent="0.25">
      <c r="AG6412">
        <v>6410</v>
      </c>
    </row>
    <row r="6413" spans="33:33" x14ac:dyDescent="0.25">
      <c r="AG6413">
        <v>6411</v>
      </c>
    </row>
    <row r="6414" spans="33:33" x14ac:dyDescent="0.25">
      <c r="AG6414">
        <v>6412</v>
      </c>
    </row>
    <row r="6415" spans="33:33" x14ac:dyDescent="0.25">
      <c r="AG6415">
        <v>6413</v>
      </c>
    </row>
    <row r="6416" spans="33:33" x14ac:dyDescent="0.25">
      <c r="AG6416">
        <v>6414</v>
      </c>
    </row>
    <row r="6417" spans="33:33" x14ac:dyDescent="0.25">
      <c r="AG6417">
        <v>6415</v>
      </c>
    </row>
    <row r="6418" spans="33:33" x14ac:dyDescent="0.25">
      <c r="AG6418">
        <v>6416</v>
      </c>
    </row>
    <row r="6419" spans="33:33" x14ac:dyDescent="0.25">
      <c r="AG6419">
        <v>6417</v>
      </c>
    </row>
    <row r="6420" spans="33:33" x14ac:dyDescent="0.25">
      <c r="AG6420">
        <v>6418</v>
      </c>
    </row>
    <row r="6421" spans="33:33" x14ac:dyDescent="0.25">
      <c r="AG6421">
        <v>6419</v>
      </c>
    </row>
    <row r="6422" spans="33:33" x14ac:dyDescent="0.25">
      <c r="AG6422">
        <v>6420</v>
      </c>
    </row>
    <row r="6423" spans="33:33" x14ac:dyDescent="0.25">
      <c r="AG6423">
        <v>6421</v>
      </c>
    </row>
    <row r="6424" spans="33:33" x14ac:dyDescent="0.25">
      <c r="AG6424">
        <v>6422</v>
      </c>
    </row>
    <row r="6425" spans="33:33" x14ac:dyDescent="0.25">
      <c r="AG6425">
        <v>6423</v>
      </c>
    </row>
    <row r="6426" spans="33:33" x14ac:dyDescent="0.25">
      <c r="AG6426">
        <v>6424</v>
      </c>
    </row>
    <row r="6427" spans="33:33" x14ac:dyDescent="0.25">
      <c r="AG6427">
        <v>6425</v>
      </c>
    </row>
    <row r="6428" spans="33:33" x14ac:dyDescent="0.25">
      <c r="AG6428">
        <v>6426</v>
      </c>
    </row>
    <row r="6429" spans="33:33" x14ac:dyDescent="0.25">
      <c r="AG6429">
        <v>6427</v>
      </c>
    </row>
    <row r="6430" spans="33:33" x14ac:dyDescent="0.25">
      <c r="AG6430">
        <v>6428</v>
      </c>
    </row>
    <row r="6431" spans="33:33" x14ac:dyDescent="0.25">
      <c r="AG6431">
        <v>6429</v>
      </c>
    </row>
    <row r="6432" spans="33:33" x14ac:dyDescent="0.25">
      <c r="AG6432">
        <v>6430</v>
      </c>
    </row>
    <row r="6433" spans="33:33" x14ac:dyDescent="0.25">
      <c r="AG6433">
        <v>6431</v>
      </c>
    </row>
    <row r="6434" spans="33:33" x14ac:dyDescent="0.25">
      <c r="AG6434">
        <v>6432</v>
      </c>
    </row>
    <row r="6435" spans="33:33" x14ac:dyDescent="0.25">
      <c r="AG6435">
        <v>6433</v>
      </c>
    </row>
    <row r="6436" spans="33:33" x14ac:dyDescent="0.25">
      <c r="AG6436">
        <v>6434</v>
      </c>
    </row>
    <row r="6437" spans="33:33" x14ac:dyDescent="0.25">
      <c r="AG6437">
        <v>6435</v>
      </c>
    </row>
    <row r="6438" spans="33:33" x14ac:dyDescent="0.25">
      <c r="AG6438">
        <v>6436</v>
      </c>
    </row>
    <row r="6439" spans="33:33" x14ac:dyDescent="0.25">
      <c r="AG6439">
        <v>6437</v>
      </c>
    </row>
    <row r="6440" spans="33:33" x14ac:dyDescent="0.25">
      <c r="AG6440">
        <v>6438</v>
      </c>
    </row>
    <row r="6441" spans="33:33" x14ac:dyDescent="0.25">
      <c r="AG6441">
        <v>6439</v>
      </c>
    </row>
    <row r="6442" spans="33:33" x14ac:dyDescent="0.25">
      <c r="AG6442">
        <v>6440</v>
      </c>
    </row>
    <row r="6443" spans="33:33" x14ac:dyDescent="0.25">
      <c r="AG6443">
        <v>6441</v>
      </c>
    </row>
    <row r="6444" spans="33:33" x14ac:dyDescent="0.25">
      <c r="AG6444">
        <v>6442</v>
      </c>
    </row>
    <row r="6445" spans="33:33" x14ac:dyDescent="0.25">
      <c r="AG6445">
        <v>6443</v>
      </c>
    </row>
    <row r="6446" spans="33:33" x14ac:dyDescent="0.25">
      <c r="AG6446">
        <v>6444</v>
      </c>
    </row>
    <row r="6447" spans="33:33" x14ac:dyDescent="0.25">
      <c r="AG6447">
        <v>6445</v>
      </c>
    </row>
    <row r="6448" spans="33:33" x14ac:dyDescent="0.25">
      <c r="AG6448">
        <v>6446</v>
      </c>
    </row>
    <row r="6449" spans="33:33" x14ac:dyDescent="0.25">
      <c r="AG6449">
        <v>6447</v>
      </c>
    </row>
    <row r="6450" spans="33:33" x14ac:dyDescent="0.25">
      <c r="AG6450">
        <v>6448</v>
      </c>
    </row>
    <row r="6451" spans="33:33" x14ac:dyDescent="0.25">
      <c r="AG6451">
        <v>6449</v>
      </c>
    </row>
    <row r="6452" spans="33:33" x14ac:dyDescent="0.25">
      <c r="AG6452">
        <v>6450</v>
      </c>
    </row>
    <row r="6453" spans="33:33" x14ac:dyDescent="0.25">
      <c r="AG6453">
        <v>6451</v>
      </c>
    </row>
    <row r="6454" spans="33:33" x14ac:dyDescent="0.25">
      <c r="AG6454">
        <v>6452</v>
      </c>
    </row>
    <row r="6455" spans="33:33" x14ac:dyDescent="0.25">
      <c r="AG6455">
        <v>6453</v>
      </c>
    </row>
    <row r="6456" spans="33:33" x14ac:dyDescent="0.25">
      <c r="AG6456">
        <v>6454</v>
      </c>
    </row>
    <row r="6457" spans="33:33" x14ac:dyDescent="0.25">
      <c r="AG6457">
        <v>6455</v>
      </c>
    </row>
    <row r="6458" spans="33:33" x14ac:dyDescent="0.25">
      <c r="AG6458">
        <v>6456</v>
      </c>
    </row>
    <row r="6459" spans="33:33" x14ac:dyDescent="0.25">
      <c r="AG6459">
        <v>6457</v>
      </c>
    </row>
    <row r="6460" spans="33:33" x14ac:dyDescent="0.25">
      <c r="AG6460">
        <v>6458</v>
      </c>
    </row>
    <row r="6461" spans="33:33" x14ac:dyDescent="0.25">
      <c r="AG6461">
        <v>6459</v>
      </c>
    </row>
    <row r="6462" spans="33:33" x14ac:dyDescent="0.25">
      <c r="AG6462">
        <v>6460</v>
      </c>
    </row>
    <row r="6463" spans="33:33" x14ac:dyDescent="0.25">
      <c r="AG6463">
        <v>6461</v>
      </c>
    </row>
    <row r="6464" spans="33:33" x14ac:dyDescent="0.25">
      <c r="AG6464">
        <v>6462</v>
      </c>
    </row>
    <row r="6465" spans="33:33" x14ac:dyDescent="0.25">
      <c r="AG6465">
        <v>6463</v>
      </c>
    </row>
    <row r="6466" spans="33:33" x14ac:dyDescent="0.25">
      <c r="AG6466">
        <v>6464</v>
      </c>
    </row>
    <row r="6467" spans="33:33" x14ac:dyDescent="0.25">
      <c r="AG6467">
        <v>6465</v>
      </c>
    </row>
    <row r="6468" spans="33:33" x14ac:dyDescent="0.25">
      <c r="AG6468">
        <v>6466</v>
      </c>
    </row>
    <row r="6469" spans="33:33" x14ac:dyDescent="0.25">
      <c r="AG6469">
        <v>6467</v>
      </c>
    </row>
    <row r="6470" spans="33:33" x14ac:dyDescent="0.25">
      <c r="AG6470">
        <v>6468</v>
      </c>
    </row>
    <row r="6471" spans="33:33" x14ac:dyDescent="0.25">
      <c r="AG6471">
        <v>6469</v>
      </c>
    </row>
    <row r="6472" spans="33:33" x14ac:dyDescent="0.25">
      <c r="AG6472">
        <v>6470</v>
      </c>
    </row>
    <row r="6473" spans="33:33" x14ac:dyDescent="0.25">
      <c r="AG6473">
        <v>6471</v>
      </c>
    </row>
    <row r="6474" spans="33:33" x14ac:dyDescent="0.25">
      <c r="AG6474">
        <v>6472</v>
      </c>
    </row>
    <row r="6475" spans="33:33" x14ac:dyDescent="0.25">
      <c r="AG6475">
        <v>6473</v>
      </c>
    </row>
    <row r="6476" spans="33:33" x14ac:dyDescent="0.25">
      <c r="AG6476">
        <v>6474</v>
      </c>
    </row>
    <row r="6477" spans="33:33" x14ac:dyDescent="0.25">
      <c r="AG6477">
        <v>6475</v>
      </c>
    </row>
    <row r="6478" spans="33:33" x14ac:dyDescent="0.25">
      <c r="AG6478">
        <v>6476</v>
      </c>
    </row>
    <row r="6479" spans="33:33" x14ac:dyDescent="0.25">
      <c r="AG6479">
        <v>6477</v>
      </c>
    </row>
    <row r="6480" spans="33:33" x14ac:dyDescent="0.25">
      <c r="AG6480">
        <v>6478</v>
      </c>
    </row>
    <row r="6481" spans="33:33" x14ac:dyDescent="0.25">
      <c r="AG6481">
        <v>6479</v>
      </c>
    </row>
    <row r="6482" spans="33:33" x14ac:dyDescent="0.25">
      <c r="AG6482">
        <v>6480</v>
      </c>
    </row>
    <row r="6483" spans="33:33" x14ac:dyDescent="0.25">
      <c r="AG6483">
        <v>6481</v>
      </c>
    </row>
    <row r="6484" spans="33:33" x14ac:dyDescent="0.25">
      <c r="AG6484">
        <v>6482</v>
      </c>
    </row>
    <row r="6485" spans="33:33" x14ac:dyDescent="0.25">
      <c r="AG6485">
        <v>6483</v>
      </c>
    </row>
    <row r="6486" spans="33:33" x14ac:dyDescent="0.25">
      <c r="AG6486">
        <v>6484</v>
      </c>
    </row>
    <row r="6487" spans="33:33" x14ac:dyDescent="0.25">
      <c r="AG6487">
        <v>6485</v>
      </c>
    </row>
    <row r="6488" spans="33:33" x14ac:dyDescent="0.25">
      <c r="AG6488">
        <v>6486</v>
      </c>
    </row>
    <row r="6489" spans="33:33" x14ac:dyDescent="0.25">
      <c r="AG6489">
        <v>6487</v>
      </c>
    </row>
    <row r="6490" spans="33:33" x14ac:dyDescent="0.25">
      <c r="AG6490">
        <v>6488</v>
      </c>
    </row>
    <row r="6491" spans="33:33" x14ac:dyDescent="0.25">
      <c r="AG6491">
        <v>6489</v>
      </c>
    </row>
    <row r="6492" spans="33:33" x14ac:dyDescent="0.25">
      <c r="AG6492">
        <v>6490</v>
      </c>
    </row>
    <row r="6493" spans="33:33" x14ac:dyDescent="0.25">
      <c r="AG6493">
        <v>6491</v>
      </c>
    </row>
    <row r="6494" spans="33:33" x14ac:dyDescent="0.25">
      <c r="AG6494">
        <v>6492</v>
      </c>
    </row>
    <row r="6495" spans="33:33" x14ac:dyDescent="0.25">
      <c r="AG6495">
        <v>6493</v>
      </c>
    </row>
    <row r="6496" spans="33:33" x14ac:dyDescent="0.25">
      <c r="AG6496">
        <v>6494</v>
      </c>
    </row>
    <row r="6497" spans="33:33" x14ac:dyDescent="0.25">
      <c r="AG6497">
        <v>6495</v>
      </c>
    </row>
    <row r="6498" spans="33:33" x14ac:dyDescent="0.25">
      <c r="AG6498">
        <v>6496</v>
      </c>
    </row>
    <row r="6499" spans="33:33" x14ac:dyDescent="0.25">
      <c r="AG6499">
        <v>6497</v>
      </c>
    </row>
    <row r="6500" spans="33:33" x14ac:dyDescent="0.25">
      <c r="AG6500">
        <v>6498</v>
      </c>
    </row>
    <row r="6501" spans="33:33" x14ac:dyDescent="0.25">
      <c r="AG6501">
        <v>6499</v>
      </c>
    </row>
    <row r="6502" spans="33:33" x14ac:dyDescent="0.25">
      <c r="AG6502">
        <v>6500</v>
      </c>
    </row>
    <row r="6503" spans="33:33" x14ac:dyDescent="0.25">
      <c r="AG6503">
        <v>6501</v>
      </c>
    </row>
    <row r="6504" spans="33:33" x14ac:dyDescent="0.25">
      <c r="AG6504">
        <v>6502</v>
      </c>
    </row>
    <row r="6505" spans="33:33" x14ac:dyDescent="0.25">
      <c r="AG6505">
        <v>6503</v>
      </c>
    </row>
    <row r="6506" spans="33:33" x14ac:dyDescent="0.25">
      <c r="AG6506">
        <v>6504</v>
      </c>
    </row>
    <row r="6507" spans="33:33" x14ac:dyDescent="0.25">
      <c r="AG6507">
        <v>6505</v>
      </c>
    </row>
    <row r="6508" spans="33:33" x14ac:dyDescent="0.25">
      <c r="AG6508">
        <v>6506</v>
      </c>
    </row>
    <row r="6509" spans="33:33" x14ac:dyDescent="0.25">
      <c r="AG6509">
        <v>6507</v>
      </c>
    </row>
    <row r="6510" spans="33:33" x14ac:dyDescent="0.25">
      <c r="AG6510">
        <v>6508</v>
      </c>
    </row>
    <row r="6511" spans="33:33" x14ac:dyDescent="0.25">
      <c r="AG6511">
        <v>6509</v>
      </c>
    </row>
    <row r="6512" spans="33:33" x14ac:dyDescent="0.25">
      <c r="AG6512">
        <v>6510</v>
      </c>
    </row>
    <row r="6513" spans="33:33" x14ac:dyDescent="0.25">
      <c r="AG6513">
        <v>6511</v>
      </c>
    </row>
    <row r="6514" spans="33:33" x14ac:dyDescent="0.25">
      <c r="AG6514">
        <v>6512</v>
      </c>
    </row>
    <row r="6515" spans="33:33" x14ac:dyDescent="0.25">
      <c r="AG6515">
        <v>6513</v>
      </c>
    </row>
    <row r="6516" spans="33:33" x14ac:dyDescent="0.25">
      <c r="AG6516">
        <v>6514</v>
      </c>
    </row>
    <row r="6517" spans="33:33" x14ac:dyDescent="0.25">
      <c r="AG6517">
        <v>6515</v>
      </c>
    </row>
    <row r="6518" spans="33:33" x14ac:dyDescent="0.25">
      <c r="AG6518">
        <v>6516</v>
      </c>
    </row>
    <row r="6519" spans="33:33" x14ac:dyDescent="0.25">
      <c r="AG6519">
        <v>6517</v>
      </c>
    </row>
    <row r="6520" spans="33:33" x14ac:dyDescent="0.25">
      <c r="AG6520">
        <v>6518</v>
      </c>
    </row>
    <row r="6521" spans="33:33" x14ac:dyDescent="0.25">
      <c r="AG6521">
        <v>6519</v>
      </c>
    </row>
    <row r="6522" spans="33:33" x14ac:dyDescent="0.25">
      <c r="AG6522">
        <v>6520</v>
      </c>
    </row>
    <row r="6523" spans="33:33" x14ac:dyDescent="0.25">
      <c r="AG6523">
        <v>6521</v>
      </c>
    </row>
    <row r="6524" spans="33:33" x14ac:dyDescent="0.25">
      <c r="AG6524">
        <v>6522</v>
      </c>
    </row>
    <row r="6525" spans="33:33" x14ac:dyDescent="0.25">
      <c r="AG6525">
        <v>6523</v>
      </c>
    </row>
    <row r="6526" spans="33:33" x14ac:dyDescent="0.25">
      <c r="AG6526">
        <v>6524</v>
      </c>
    </row>
    <row r="6527" spans="33:33" x14ac:dyDescent="0.25">
      <c r="AG6527">
        <v>6525</v>
      </c>
    </row>
    <row r="6528" spans="33:33" x14ac:dyDescent="0.25">
      <c r="AG6528">
        <v>6526</v>
      </c>
    </row>
    <row r="6529" spans="33:33" x14ac:dyDescent="0.25">
      <c r="AG6529">
        <v>6527</v>
      </c>
    </row>
    <row r="6530" spans="33:33" x14ac:dyDescent="0.25">
      <c r="AG6530">
        <v>6528</v>
      </c>
    </row>
    <row r="6531" spans="33:33" x14ac:dyDescent="0.25">
      <c r="AG6531">
        <v>6529</v>
      </c>
    </row>
    <row r="6532" spans="33:33" x14ac:dyDescent="0.25">
      <c r="AG6532">
        <v>6530</v>
      </c>
    </row>
    <row r="6533" spans="33:33" x14ac:dyDescent="0.25">
      <c r="AG6533">
        <v>6531</v>
      </c>
    </row>
    <row r="6534" spans="33:33" x14ac:dyDescent="0.25">
      <c r="AG6534">
        <v>6532</v>
      </c>
    </row>
    <row r="6535" spans="33:33" x14ac:dyDescent="0.25">
      <c r="AG6535">
        <v>6533</v>
      </c>
    </row>
    <row r="6536" spans="33:33" x14ac:dyDescent="0.25">
      <c r="AG6536">
        <v>6534</v>
      </c>
    </row>
    <row r="6537" spans="33:33" x14ac:dyDescent="0.25">
      <c r="AG6537">
        <v>6535</v>
      </c>
    </row>
    <row r="6538" spans="33:33" x14ac:dyDescent="0.25">
      <c r="AG6538">
        <v>6536</v>
      </c>
    </row>
    <row r="6539" spans="33:33" x14ac:dyDescent="0.25">
      <c r="AG6539">
        <v>6537</v>
      </c>
    </row>
    <row r="6540" spans="33:33" x14ac:dyDescent="0.25">
      <c r="AG6540">
        <v>6538</v>
      </c>
    </row>
    <row r="6541" spans="33:33" x14ac:dyDescent="0.25">
      <c r="AG6541">
        <v>6539</v>
      </c>
    </row>
    <row r="6542" spans="33:33" x14ac:dyDescent="0.25">
      <c r="AG6542">
        <v>6540</v>
      </c>
    </row>
    <row r="6543" spans="33:33" x14ac:dyDescent="0.25">
      <c r="AG6543">
        <v>6541</v>
      </c>
    </row>
    <row r="6544" spans="33:33" x14ac:dyDescent="0.25">
      <c r="AG6544">
        <v>6542</v>
      </c>
    </row>
    <row r="6545" spans="33:33" x14ac:dyDescent="0.25">
      <c r="AG6545">
        <v>6543</v>
      </c>
    </row>
    <row r="6546" spans="33:33" x14ac:dyDescent="0.25">
      <c r="AG6546">
        <v>6544</v>
      </c>
    </row>
    <row r="6547" spans="33:33" x14ac:dyDescent="0.25">
      <c r="AG6547">
        <v>6545</v>
      </c>
    </row>
    <row r="6548" spans="33:33" x14ac:dyDescent="0.25">
      <c r="AG6548">
        <v>6546</v>
      </c>
    </row>
    <row r="6549" spans="33:33" x14ac:dyDescent="0.25">
      <c r="AG6549">
        <v>6547</v>
      </c>
    </row>
    <row r="6550" spans="33:33" x14ac:dyDescent="0.25">
      <c r="AG6550">
        <v>6548</v>
      </c>
    </row>
    <row r="6551" spans="33:33" x14ac:dyDescent="0.25">
      <c r="AG6551">
        <v>6549</v>
      </c>
    </row>
    <row r="6552" spans="33:33" x14ac:dyDescent="0.25">
      <c r="AG6552">
        <v>6550</v>
      </c>
    </row>
    <row r="6553" spans="33:33" x14ac:dyDescent="0.25">
      <c r="AG6553">
        <v>6551</v>
      </c>
    </row>
    <row r="6554" spans="33:33" x14ac:dyDescent="0.25">
      <c r="AG6554">
        <v>6552</v>
      </c>
    </row>
    <row r="6555" spans="33:33" x14ac:dyDescent="0.25">
      <c r="AG6555">
        <v>6553</v>
      </c>
    </row>
    <row r="6556" spans="33:33" x14ac:dyDescent="0.25">
      <c r="AG6556">
        <v>6554</v>
      </c>
    </row>
    <row r="6557" spans="33:33" x14ac:dyDescent="0.25">
      <c r="AG6557">
        <v>6555</v>
      </c>
    </row>
    <row r="6558" spans="33:33" x14ac:dyDescent="0.25">
      <c r="AG6558">
        <v>6556</v>
      </c>
    </row>
    <row r="6559" spans="33:33" x14ac:dyDescent="0.25">
      <c r="AG6559">
        <v>6557</v>
      </c>
    </row>
    <row r="6560" spans="33:33" x14ac:dyDescent="0.25">
      <c r="AG6560">
        <v>6558</v>
      </c>
    </row>
    <row r="6561" spans="33:33" x14ac:dyDescent="0.25">
      <c r="AG6561">
        <v>6559</v>
      </c>
    </row>
    <row r="6562" spans="33:33" x14ac:dyDescent="0.25">
      <c r="AG6562">
        <v>6560</v>
      </c>
    </row>
    <row r="6563" spans="33:33" x14ac:dyDescent="0.25">
      <c r="AG6563">
        <v>6561</v>
      </c>
    </row>
    <row r="6564" spans="33:33" x14ac:dyDescent="0.25">
      <c r="AG6564">
        <v>6562</v>
      </c>
    </row>
    <row r="6565" spans="33:33" x14ac:dyDescent="0.25">
      <c r="AG6565">
        <v>6563</v>
      </c>
    </row>
    <row r="6566" spans="33:33" x14ac:dyDescent="0.25">
      <c r="AG6566">
        <v>6564</v>
      </c>
    </row>
    <row r="6567" spans="33:33" x14ac:dyDescent="0.25">
      <c r="AG6567">
        <v>6565</v>
      </c>
    </row>
    <row r="6568" spans="33:33" x14ac:dyDescent="0.25">
      <c r="AG6568">
        <v>6566</v>
      </c>
    </row>
    <row r="6569" spans="33:33" x14ac:dyDescent="0.25">
      <c r="AG6569">
        <v>6567</v>
      </c>
    </row>
    <row r="6570" spans="33:33" x14ac:dyDescent="0.25">
      <c r="AG6570">
        <v>6568</v>
      </c>
    </row>
    <row r="6571" spans="33:33" x14ac:dyDescent="0.25">
      <c r="AG6571">
        <v>6569</v>
      </c>
    </row>
    <row r="6572" spans="33:33" x14ac:dyDescent="0.25">
      <c r="AG6572">
        <v>6570</v>
      </c>
    </row>
    <row r="6573" spans="33:33" x14ac:dyDescent="0.25">
      <c r="AG6573">
        <v>6571</v>
      </c>
    </row>
    <row r="6574" spans="33:33" x14ac:dyDescent="0.25">
      <c r="AG6574">
        <v>6572</v>
      </c>
    </row>
    <row r="6575" spans="33:33" x14ac:dyDescent="0.25">
      <c r="AG6575">
        <v>6573</v>
      </c>
    </row>
    <row r="6576" spans="33:33" x14ac:dyDescent="0.25">
      <c r="AG6576">
        <v>6574</v>
      </c>
    </row>
    <row r="6577" spans="33:33" x14ac:dyDescent="0.25">
      <c r="AG6577">
        <v>6575</v>
      </c>
    </row>
    <row r="6578" spans="33:33" x14ac:dyDescent="0.25">
      <c r="AG6578">
        <v>6576</v>
      </c>
    </row>
    <row r="6579" spans="33:33" x14ac:dyDescent="0.25">
      <c r="AG6579">
        <v>6577</v>
      </c>
    </row>
    <row r="6580" spans="33:33" x14ac:dyDescent="0.25">
      <c r="AG6580">
        <v>6578</v>
      </c>
    </row>
    <row r="6581" spans="33:33" x14ac:dyDescent="0.25">
      <c r="AG6581">
        <v>6579</v>
      </c>
    </row>
    <row r="6582" spans="33:33" x14ac:dyDescent="0.25">
      <c r="AG6582">
        <v>6580</v>
      </c>
    </row>
    <row r="6583" spans="33:33" x14ac:dyDescent="0.25">
      <c r="AG6583">
        <v>6581</v>
      </c>
    </row>
    <row r="6584" spans="33:33" x14ac:dyDescent="0.25">
      <c r="AG6584">
        <v>6582</v>
      </c>
    </row>
    <row r="6585" spans="33:33" x14ac:dyDescent="0.25">
      <c r="AG6585">
        <v>6583</v>
      </c>
    </row>
    <row r="6586" spans="33:33" x14ac:dyDescent="0.25">
      <c r="AG6586">
        <v>6584</v>
      </c>
    </row>
    <row r="6587" spans="33:33" x14ac:dyDescent="0.25">
      <c r="AG6587">
        <v>6585</v>
      </c>
    </row>
    <row r="6588" spans="33:33" x14ac:dyDescent="0.25">
      <c r="AG6588">
        <v>6586</v>
      </c>
    </row>
    <row r="6589" spans="33:33" x14ac:dyDescent="0.25">
      <c r="AG6589">
        <v>6587</v>
      </c>
    </row>
    <row r="6590" spans="33:33" x14ac:dyDescent="0.25">
      <c r="AG6590">
        <v>6588</v>
      </c>
    </row>
    <row r="6591" spans="33:33" x14ac:dyDescent="0.25">
      <c r="AG6591">
        <v>6589</v>
      </c>
    </row>
    <row r="6592" spans="33:33" x14ac:dyDescent="0.25">
      <c r="AG6592">
        <v>6590</v>
      </c>
    </row>
    <row r="6593" spans="33:33" x14ac:dyDescent="0.25">
      <c r="AG6593">
        <v>6591</v>
      </c>
    </row>
    <row r="6594" spans="33:33" x14ac:dyDescent="0.25">
      <c r="AG6594">
        <v>6592</v>
      </c>
    </row>
    <row r="6595" spans="33:33" x14ac:dyDescent="0.25">
      <c r="AG6595">
        <v>6593</v>
      </c>
    </row>
    <row r="6596" spans="33:33" x14ac:dyDescent="0.25">
      <c r="AG6596">
        <v>6594</v>
      </c>
    </row>
    <row r="6597" spans="33:33" x14ac:dyDescent="0.25">
      <c r="AG6597">
        <v>6595</v>
      </c>
    </row>
    <row r="6598" spans="33:33" x14ac:dyDescent="0.25">
      <c r="AG6598">
        <v>6596</v>
      </c>
    </row>
    <row r="6599" spans="33:33" x14ac:dyDescent="0.25">
      <c r="AG6599">
        <v>6597</v>
      </c>
    </row>
    <row r="6600" spans="33:33" x14ac:dyDescent="0.25">
      <c r="AG6600">
        <v>6598</v>
      </c>
    </row>
    <row r="6601" spans="33:33" x14ac:dyDescent="0.25">
      <c r="AG6601">
        <v>6599</v>
      </c>
    </row>
    <row r="6602" spans="33:33" x14ac:dyDescent="0.25">
      <c r="AG6602">
        <v>6600</v>
      </c>
    </row>
    <row r="6603" spans="33:33" x14ac:dyDescent="0.25">
      <c r="AG6603">
        <v>6601</v>
      </c>
    </row>
    <row r="6604" spans="33:33" x14ac:dyDescent="0.25">
      <c r="AG6604">
        <v>6602</v>
      </c>
    </row>
    <row r="6605" spans="33:33" x14ac:dyDescent="0.25">
      <c r="AG6605">
        <v>6603</v>
      </c>
    </row>
    <row r="6606" spans="33:33" x14ac:dyDescent="0.25">
      <c r="AG6606">
        <v>6604</v>
      </c>
    </row>
    <row r="6607" spans="33:33" x14ac:dyDescent="0.25">
      <c r="AG6607">
        <v>6605</v>
      </c>
    </row>
    <row r="6608" spans="33:33" x14ac:dyDescent="0.25">
      <c r="AG6608">
        <v>6606</v>
      </c>
    </row>
    <row r="6609" spans="33:33" x14ac:dyDescent="0.25">
      <c r="AG6609">
        <v>6607</v>
      </c>
    </row>
    <row r="6610" spans="33:33" x14ac:dyDescent="0.25">
      <c r="AG6610">
        <v>6608</v>
      </c>
    </row>
    <row r="6611" spans="33:33" x14ac:dyDescent="0.25">
      <c r="AG6611">
        <v>6609</v>
      </c>
    </row>
    <row r="6612" spans="33:33" x14ac:dyDescent="0.25">
      <c r="AG6612">
        <v>6610</v>
      </c>
    </row>
    <row r="6613" spans="33:33" x14ac:dyDescent="0.25">
      <c r="AG6613">
        <v>6611</v>
      </c>
    </row>
    <row r="6614" spans="33:33" x14ac:dyDescent="0.25">
      <c r="AG6614">
        <v>6612</v>
      </c>
    </row>
    <row r="6615" spans="33:33" x14ac:dyDescent="0.25">
      <c r="AG6615">
        <v>6613</v>
      </c>
    </row>
    <row r="6616" spans="33:33" x14ac:dyDescent="0.25">
      <c r="AG6616">
        <v>6614</v>
      </c>
    </row>
    <row r="6617" spans="33:33" x14ac:dyDescent="0.25">
      <c r="AG6617">
        <v>6615</v>
      </c>
    </row>
    <row r="6618" spans="33:33" x14ac:dyDescent="0.25">
      <c r="AG6618">
        <v>6616</v>
      </c>
    </row>
    <row r="6619" spans="33:33" x14ac:dyDescent="0.25">
      <c r="AG6619">
        <v>6617</v>
      </c>
    </row>
    <row r="6620" spans="33:33" x14ac:dyDescent="0.25">
      <c r="AG6620">
        <v>6618</v>
      </c>
    </row>
    <row r="6621" spans="33:33" x14ac:dyDescent="0.25">
      <c r="AG6621">
        <v>6619</v>
      </c>
    </row>
    <row r="6622" spans="33:33" x14ac:dyDescent="0.25">
      <c r="AG6622">
        <v>6620</v>
      </c>
    </row>
    <row r="6623" spans="33:33" x14ac:dyDescent="0.25">
      <c r="AG6623">
        <v>6621</v>
      </c>
    </row>
    <row r="6624" spans="33:33" x14ac:dyDescent="0.25">
      <c r="AG6624">
        <v>6622</v>
      </c>
    </row>
    <row r="6625" spans="33:33" x14ac:dyDescent="0.25">
      <c r="AG6625">
        <v>6623</v>
      </c>
    </row>
    <row r="6626" spans="33:33" x14ac:dyDescent="0.25">
      <c r="AG6626">
        <v>6624</v>
      </c>
    </row>
    <row r="6627" spans="33:33" x14ac:dyDescent="0.25">
      <c r="AG6627">
        <v>6625</v>
      </c>
    </row>
    <row r="6628" spans="33:33" x14ac:dyDescent="0.25">
      <c r="AG6628">
        <v>6626</v>
      </c>
    </row>
    <row r="6629" spans="33:33" x14ac:dyDescent="0.25">
      <c r="AG6629">
        <v>6627</v>
      </c>
    </row>
    <row r="6630" spans="33:33" x14ac:dyDescent="0.25">
      <c r="AG6630">
        <v>6628</v>
      </c>
    </row>
    <row r="6631" spans="33:33" x14ac:dyDescent="0.25">
      <c r="AG6631">
        <v>6629</v>
      </c>
    </row>
    <row r="6632" spans="33:33" x14ac:dyDescent="0.25">
      <c r="AG6632">
        <v>6630</v>
      </c>
    </row>
    <row r="6633" spans="33:33" x14ac:dyDescent="0.25">
      <c r="AG6633">
        <v>6631</v>
      </c>
    </row>
    <row r="6634" spans="33:33" x14ac:dyDescent="0.25">
      <c r="AG6634">
        <v>6632</v>
      </c>
    </row>
    <row r="6635" spans="33:33" x14ac:dyDescent="0.25">
      <c r="AG6635">
        <v>6633</v>
      </c>
    </row>
    <row r="6636" spans="33:33" x14ac:dyDescent="0.25">
      <c r="AG6636">
        <v>6634</v>
      </c>
    </row>
    <row r="6637" spans="33:33" x14ac:dyDescent="0.25">
      <c r="AG6637">
        <v>6635</v>
      </c>
    </row>
    <row r="6638" spans="33:33" x14ac:dyDescent="0.25">
      <c r="AG6638">
        <v>6636</v>
      </c>
    </row>
    <row r="6639" spans="33:33" x14ac:dyDescent="0.25">
      <c r="AG6639">
        <v>6637</v>
      </c>
    </row>
    <row r="6640" spans="33:33" x14ac:dyDescent="0.25">
      <c r="AG6640">
        <v>6638</v>
      </c>
    </row>
    <row r="6641" spans="33:33" x14ac:dyDescent="0.25">
      <c r="AG6641">
        <v>6639</v>
      </c>
    </row>
    <row r="6642" spans="33:33" x14ac:dyDescent="0.25">
      <c r="AG6642">
        <v>6640</v>
      </c>
    </row>
    <row r="6643" spans="33:33" x14ac:dyDescent="0.25">
      <c r="AG6643">
        <v>6641</v>
      </c>
    </row>
    <row r="6644" spans="33:33" x14ac:dyDescent="0.25">
      <c r="AG6644">
        <v>6642</v>
      </c>
    </row>
    <row r="6645" spans="33:33" x14ac:dyDescent="0.25">
      <c r="AG6645">
        <v>6643</v>
      </c>
    </row>
    <row r="6646" spans="33:33" x14ac:dyDescent="0.25">
      <c r="AG6646">
        <v>6644</v>
      </c>
    </row>
    <row r="6647" spans="33:33" x14ac:dyDescent="0.25">
      <c r="AG6647">
        <v>6645</v>
      </c>
    </row>
    <row r="6648" spans="33:33" x14ac:dyDescent="0.25">
      <c r="AG6648">
        <v>6646</v>
      </c>
    </row>
    <row r="6649" spans="33:33" x14ac:dyDescent="0.25">
      <c r="AG6649">
        <v>6647</v>
      </c>
    </row>
    <row r="6650" spans="33:33" x14ac:dyDescent="0.25">
      <c r="AG6650">
        <v>6648</v>
      </c>
    </row>
    <row r="6651" spans="33:33" x14ac:dyDescent="0.25">
      <c r="AG6651">
        <v>6649</v>
      </c>
    </row>
    <row r="6652" spans="33:33" x14ac:dyDescent="0.25">
      <c r="AG6652">
        <v>6650</v>
      </c>
    </row>
    <row r="6653" spans="33:33" x14ac:dyDescent="0.25">
      <c r="AG6653">
        <v>6651</v>
      </c>
    </row>
    <row r="6654" spans="33:33" x14ac:dyDescent="0.25">
      <c r="AG6654">
        <v>6652</v>
      </c>
    </row>
    <row r="6655" spans="33:33" x14ac:dyDescent="0.25">
      <c r="AG6655">
        <v>6653</v>
      </c>
    </row>
    <row r="6656" spans="33:33" x14ac:dyDescent="0.25">
      <c r="AG6656">
        <v>6654</v>
      </c>
    </row>
    <row r="6657" spans="33:33" x14ac:dyDescent="0.25">
      <c r="AG6657">
        <v>6655</v>
      </c>
    </row>
    <row r="6658" spans="33:33" x14ac:dyDescent="0.25">
      <c r="AG6658">
        <v>6656</v>
      </c>
    </row>
    <row r="6659" spans="33:33" x14ac:dyDescent="0.25">
      <c r="AG6659">
        <v>6657</v>
      </c>
    </row>
    <row r="6660" spans="33:33" x14ac:dyDescent="0.25">
      <c r="AG6660">
        <v>6658</v>
      </c>
    </row>
    <row r="6661" spans="33:33" x14ac:dyDescent="0.25">
      <c r="AG6661">
        <v>6659</v>
      </c>
    </row>
    <row r="6662" spans="33:33" x14ac:dyDescent="0.25">
      <c r="AG6662">
        <v>6660</v>
      </c>
    </row>
    <row r="6663" spans="33:33" x14ac:dyDescent="0.25">
      <c r="AG6663">
        <v>6661</v>
      </c>
    </row>
    <row r="6664" spans="33:33" x14ac:dyDescent="0.25">
      <c r="AG6664">
        <v>6662</v>
      </c>
    </row>
    <row r="6665" spans="33:33" x14ac:dyDescent="0.25">
      <c r="AG6665">
        <v>6663</v>
      </c>
    </row>
    <row r="6666" spans="33:33" x14ac:dyDescent="0.25">
      <c r="AG6666">
        <v>6664</v>
      </c>
    </row>
    <row r="6667" spans="33:33" x14ac:dyDescent="0.25">
      <c r="AG6667">
        <v>6665</v>
      </c>
    </row>
    <row r="6668" spans="33:33" x14ac:dyDescent="0.25">
      <c r="AG6668">
        <v>6666</v>
      </c>
    </row>
    <row r="6669" spans="33:33" x14ac:dyDescent="0.25">
      <c r="AG6669">
        <v>6667</v>
      </c>
    </row>
    <row r="6670" spans="33:33" x14ac:dyDescent="0.25">
      <c r="AG6670">
        <v>6668</v>
      </c>
    </row>
    <row r="6671" spans="33:33" x14ac:dyDescent="0.25">
      <c r="AG6671">
        <v>6669</v>
      </c>
    </row>
    <row r="6672" spans="33:33" x14ac:dyDescent="0.25">
      <c r="AG6672">
        <v>6670</v>
      </c>
    </row>
    <row r="6673" spans="33:33" x14ac:dyDescent="0.25">
      <c r="AG6673">
        <v>6671</v>
      </c>
    </row>
    <row r="6674" spans="33:33" x14ac:dyDescent="0.25">
      <c r="AG6674">
        <v>6672</v>
      </c>
    </row>
    <row r="6675" spans="33:33" x14ac:dyDescent="0.25">
      <c r="AG6675">
        <v>6673</v>
      </c>
    </row>
    <row r="6676" spans="33:33" x14ac:dyDescent="0.25">
      <c r="AG6676">
        <v>6674</v>
      </c>
    </row>
    <row r="6677" spans="33:33" x14ac:dyDescent="0.25">
      <c r="AG6677">
        <v>6675</v>
      </c>
    </row>
    <row r="6678" spans="33:33" x14ac:dyDescent="0.25">
      <c r="AG6678">
        <v>6676</v>
      </c>
    </row>
    <row r="6679" spans="33:33" x14ac:dyDescent="0.25">
      <c r="AG6679">
        <v>6677</v>
      </c>
    </row>
    <row r="6680" spans="33:33" x14ac:dyDescent="0.25">
      <c r="AG6680">
        <v>6678</v>
      </c>
    </row>
    <row r="6681" spans="33:33" x14ac:dyDescent="0.25">
      <c r="AG6681">
        <v>6679</v>
      </c>
    </row>
    <row r="6682" spans="33:33" x14ac:dyDescent="0.25">
      <c r="AG6682">
        <v>6680</v>
      </c>
    </row>
    <row r="6683" spans="33:33" x14ac:dyDescent="0.25">
      <c r="AG6683">
        <v>6681</v>
      </c>
    </row>
    <row r="6684" spans="33:33" x14ac:dyDescent="0.25">
      <c r="AG6684">
        <v>6682</v>
      </c>
    </row>
    <row r="6685" spans="33:33" x14ac:dyDescent="0.25">
      <c r="AG6685">
        <v>6683</v>
      </c>
    </row>
    <row r="6686" spans="33:33" x14ac:dyDescent="0.25">
      <c r="AG6686">
        <v>6684</v>
      </c>
    </row>
    <row r="6687" spans="33:33" x14ac:dyDescent="0.25">
      <c r="AG6687">
        <v>6685</v>
      </c>
    </row>
    <row r="6688" spans="33:33" x14ac:dyDescent="0.25">
      <c r="AG6688">
        <v>6686</v>
      </c>
    </row>
    <row r="6689" spans="33:33" x14ac:dyDescent="0.25">
      <c r="AG6689">
        <v>6687</v>
      </c>
    </row>
    <row r="6690" spans="33:33" x14ac:dyDescent="0.25">
      <c r="AG6690">
        <v>6688</v>
      </c>
    </row>
    <row r="6691" spans="33:33" x14ac:dyDescent="0.25">
      <c r="AG6691">
        <v>6689</v>
      </c>
    </row>
    <row r="6692" spans="33:33" x14ac:dyDescent="0.25">
      <c r="AG6692">
        <v>6690</v>
      </c>
    </row>
    <row r="6693" spans="33:33" x14ac:dyDescent="0.25">
      <c r="AG6693">
        <v>6691</v>
      </c>
    </row>
    <row r="6694" spans="33:33" x14ac:dyDescent="0.25">
      <c r="AG6694">
        <v>6692</v>
      </c>
    </row>
    <row r="6695" spans="33:33" x14ac:dyDescent="0.25">
      <c r="AG6695">
        <v>6693</v>
      </c>
    </row>
    <row r="6696" spans="33:33" x14ac:dyDescent="0.25">
      <c r="AG6696">
        <v>6694</v>
      </c>
    </row>
    <row r="6697" spans="33:33" x14ac:dyDescent="0.25">
      <c r="AG6697">
        <v>6695</v>
      </c>
    </row>
    <row r="6698" spans="33:33" x14ac:dyDescent="0.25">
      <c r="AG6698">
        <v>6696</v>
      </c>
    </row>
    <row r="6699" spans="33:33" x14ac:dyDescent="0.25">
      <c r="AG6699">
        <v>6697</v>
      </c>
    </row>
    <row r="6700" spans="33:33" x14ac:dyDescent="0.25">
      <c r="AG6700">
        <v>6698</v>
      </c>
    </row>
    <row r="6701" spans="33:33" x14ac:dyDescent="0.25">
      <c r="AG6701">
        <v>6699</v>
      </c>
    </row>
    <row r="6702" spans="33:33" x14ac:dyDescent="0.25">
      <c r="AG6702">
        <v>6700</v>
      </c>
    </row>
    <row r="6703" spans="33:33" x14ac:dyDescent="0.25">
      <c r="AG6703">
        <v>6701</v>
      </c>
    </row>
    <row r="6704" spans="33:33" x14ac:dyDescent="0.25">
      <c r="AG6704">
        <v>6702</v>
      </c>
    </row>
    <row r="6705" spans="33:33" x14ac:dyDescent="0.25">
      <c r="AG6705">
        <v>6703</v>
      </c>
    </row>
    <row r="6706" spans="33:33" x14ac:dyDescent="0.25">
      <c r="AG6706">
        <v>6704</v>
      </c>
    </row>
    <row r="6707" spans="33:33" x14ac:dyDescent="0.25">
      <c r="AG6707">
        <v>6705</v>
      </c>
    </row>
    <row r="6708" spans="33:33" x14ac:dyDescent="0.25">
      <c r="AG6708">
        <v>6706</v>
      </c>
    </row>
    <row r="6709" spans="33:33" x14ac:dyDescent="0.25">
      <c r="AG6709">
        <v>6707</v>
      </c>
    </row>
    <row r="6710" spans="33:33" x14ac:dyDescent="0.25">
      <c r="AG6710">
        <v>6708</v>
      </c>
    </row>
    <row r="6711" spans="33:33" x14ac:dyDescent="0.25">
      <c r="AG6711">
        <v>6709</v>
      </c>
    </row>
    <row r="6712" spans="33:33" x14ac:dyDescent="0.25">
      <c r="AG6712">
        <v>6710</v>
      </c>
    </row>
    <row r="6713" spans="33:33" x14ac:dyDescent="0.25">
      <c r="AG6713">
        <v>6711</v>
      </c>
    </row>
    <row r="6714" spans="33:33" x14ac:dyDescent="0.25">
      <c r="AG6714">
        <v>6712</v>
      </c>
    </row>
    <row r="6715" spans="33:33" x14ac:dyDescent="0.25">
      <c r="AG6715">
        <v>6713</v>
      </c>
    </row>
    <row r="6716" spans="33:33" x14ac:dyDescent="0.25">
      <c r="AG6716">
        <v>6714</v>
      </c>
    </row>
    <row r="6717" spans="33:33" x14ac:dyDescent="0.25">
      <c r="AG6717">
        <v>6715</v>
      </c>
    </row>
    <row r="6718" spans="33:33" x14ac:dyDescent="0.25">
      <c r="AG6718">
        <v>6716</v>
      </c>
    </row>
    <row r="6719" spans="33:33" x14ac:dyDescent="0.25">
      <c r="AG6719">
        <v>6717</v>
      </c>
    </row>
    <row r="6720" spans="33:33" x14ac:dyDescent="0.25">
      <c r="AG6720">
        <v>6718</v>
      </c>
    </row>
    <row r="6721" spans="33:33" x14ac:dyDescent="0.25">
      <c r="AG6721">
        <v>6719</v>
      </c>
    </row>
    <row r="6722" spans="33:33" x14ac:dyDescent="0.25">
      <c r="AG6722">
        <v>6720</v>
      </c>
    </row>
    <row r="6723" spans="33:33" x14ac:dyDescent="0.25">
      <c r="AG6723">
        <v>6721</v>
      </c>
    </row>
    <row r="6724" spans="33:33" x14ac:dyDescent="0.25">
      <c r="AG6724">
        <v>6722</v>
      </c>
    </row>
    <row r="6725" spans="33:33" x14ac:dyDescent="0.25">
      <c r="AG6725">
        <v>6723</v>
      </c>
    </row>
    <row r="6726" spans="33:33" x14ac:dyDescent="0.25">
      <c r="AG6726">
        <v>6724</v>
      </c>
    </row>
    <row r="6727" spans="33:33" x14ac:dyDescent="0.25">
      <c r="AG6727">
        <v>6725</v>
      </c>
    </row>
    <row r="6728" spans="33:33" x14ac:dyDescent="0.25">
      <c r="AG6728">
        <v>6726</v>
      </c>
    </row>
    <row r="6729" spans="33:33" x14ac:dyDescent="0.25">
      <c r="AG6729">
        <v>6727</v>
      </c>
    </row>
    <row r="6730" spans="33:33" x14ac:dyDescent="0.25">
      <c r="AG6730">
        <v>6728</v>
      </c>
    </row>
    <row r="6731" spans="33:33" x14ac:dyDescent="0.25">
      <c r="AG6731">
        <v>6729</v>
      </c>
    </row>
    <row r="6732" spans="33:33" x14ac:dyDescent="0.25">
      <c r="AG6732">
        <v>6730</v>
      </c>
    </row>
    <row r="6733" spans="33:33" x14ac:dyDescent="0.25">
      <c r="AG6733">
        <v>6731</v>
      </c>
    </row>
    <row r="6734" spans="33:33" x14ac:dyDescent="0.25">
      <c r="AG6734">
        <v>6732</v>
      </c>
    </row>
    <row r="6735" spans="33:33" x14ac:dyDescent="0.25">
      <c r="AG6735">
        <v>6733</v>
      </c>
    </row>
    <row r="6736" spans="33:33" x14ac:dyDescent="0.25">
      <c r="AG6736">
        <v>6734</v>
      </c>
    </row>
    <row r="6737" spans="33:33" x14ac:dyDescent="0.25">
      <c r="AG6737">
        <v>6735</v>
      </c>
    </row>
    <row r="6738" spans="33:33" x14ac:dyDescent="0.25">
      <c r="AG6738">
        <v>6736</v>
      </c>
    </row>
    <row r="6739" spans="33:33" x14ac:dyDescent="0.25">
      <c r="AG6739">
        <v>6737</v>
      </c>
    </row>
    <row r="6740" spans="33:33" x14ac:dyDescent="0.25">
      <c r="AG6740">
        <v>6738</v>
      </c>
    </row>
    <row r="6741" spans="33:33" x14ac:dyDescent="0.25">
      <c r="AG6741">
        <v>6739</v>
      </c>
    </row>
    <row r="6742" spans="33:33" x14ac:dyDescent="0.25">
      <c r="AG6742">
        <v>6740</v>
      </c>
    </row>
    <row r="6743" spans="33:33" x14ac:dyDescent="0.25">
      <c r="AG6743">
        <v>6741</v>
      </c>
    </row>
    <row r="6744" spans="33:33" x14ac:dyDescent="0.25">
      <c r="AG6744">
        <v>6742</v>
      </c>
    </row>
    <row r="6745" spans="33:33" x14ac:dyDescent="0.25">
      <c r="AG6745">
        <v>6743</v>
      </c>
    </row>
    <row r="6746" spans="33:33" x14ac:dyDescent="0.25">
      <c r="AG6746">
        <v>6744</v>
      </c>
    </row>
    <row r="6747" spans="33:33" x14ac:dyDescent="0.25">
      <c r="AG6747">
        <v>6745</v>
      </c>
    </row>
    <row r="6748" spans="33:33" x14ac:dyDescent="0.25">
      <c r="AG6748">
        <v>6746</v>
      </c>
    </row>
    <row r="6749" spans="33:33" x14ac:dyDescent="0.25">
      <c r="AG6749">
        <v>6747</v>
      </c>
    </row>
    <row r="6750" spans="33:33" x14ac:dyDescent="0.25">
      <c r="AG6750">
        <v>6748</v>
      </c>
    </row>
    <row r="6751" spans="33:33" x14ac:dyDescent="0.25">
      <c r="AG6751">
        <v>6749</v>
      </c>
    </row>
    <row r="6752" spans="33:33" x14ac:dyDescent="0.25">
      <c r="AG6752">
        <v>6750</v>
      </c>
    </row>
    <row r="6753" spans="33:33" x14ac:dyDescent="0.25">
      <c r="AG6753">
        <v>6751</v>
      </c>
    </row>
    <row r="6754" spans="33:33" x14ac:dyDescent="0.25">
      <c r="AG6754">
        <v>6752</v>
      </c>
    </row>
    <row r="6755" spans="33:33" x14ac:dyDescent="0.25">
      <c r="AG6755">
        <v>6753</v>
      </c>
    </row>
    <row r="6756" spans="33:33" x14ac:dyDescent="0.25">
      <c r="AG6756">
        <v>6754</v>
      </c>
    </row>
    <row r="6757" spans="33:33" x14ac:dyDescent="0.25">
      <c r="AG6757">
        <v>6755</v>
      </c>
    </row>
    <row r="6758" spans="33:33" x14ac:dyDescent="0.25">
      <c r="AG6758">
        <v>6756</v>
      </c>
    </row>
    <row r="6759" spans="33:33" x14ac:dyDescent="0.25">
      <c r="AG6759">
        <v>6757</v>
      </c>
    </row>
    <row r="6760" spans="33:33" x14ac:dyDescent="0.25">
      <c r="AG6760">
        <v>6758</v>
      </c>
    </row>
    <row r="6761" spans="33:33" x14ac:dyDescent="0.25">
      <c r="AG6761">
        <v>6759</v>
      </c>
    </row>
    <row r="6762" spans="33:33" x14ac:dyDescent="0.25">
      <c r="AG6762">
        <v>6760</v>
      </c>
    </row>
    <row r="6763" spans="33:33" x14ac:dyDescent="0.25">
      <c r="AG6763">
        <v>6761</v>
      </c>
    </row>
    <row r="6764" spans="33:33" x14ac:dyDescent="0.25">
      <c r="AG6764">
        <v>6762</v>
      </c>
    </row>
    <row r="6765" spans="33:33" x14ac:dyDescent="0.25">
      <c r="AG6765">
        <v>6763</v>
      </c>
    </row>
    <row r="6766" spans="33:33" x14ac:dyDescent="0.25">
      <c r="AG6766">
        <v>6764</v>
      </c>
    </row>
    <row r="6767" spans="33:33" x14ac:dyDescent="0.25">
      <c r="AG6767">
        <v>6765</v>
      </c>
    </row>
    <row r="6768" spans="33:33" x14ac:dyDescent="0.25">
      <c r="AG6768">
        <v>6766</v>
      </c>
    </row>
    <row r="6769" spans="33:33" x14ac:dyDescent="0.25">
      <c r="AG6769">
        <v>6767</v>
      </c>
    </row>
    <row r="6770" spans="33:33" x14ac:dyDescent="0.25">
      <c r="AG6770">
        <v>6768</v>
      </c>
    </row>
    <row r="6771" spans="33:33" x14ac:dyDescent="0.25">
      <c r="AG6771">
        <v>6769</v>
      </c>
    </row>
    <row r="6772" spans="33:33" x14ac:dyDescent="0.25">
      <c r="AG6772">
        <v>6770</v>
      </c>
    </row>
    <row r="6773" spans="33:33" x14ac:dyDescent="0.25">
      <c r="AG6773">
        <v>6771</v>
      </c>
    </row>
    <row r="6774" spans="33:33" x14ac:dyDescent="0.25">
      <c r="AG6774">
        <v>6772</v>
      </c>
    </row>
    <row r="6775" spans="33:33" x14ac:dyDescent="0.25">
      <c r="AG6775">
        <v>6773</v>
      </c>
    </row>
    <row r="6776" spans="33:33" x14ac:dyDescent="0.25">
      <c r="AG6776">
        <v>6774</v>
      </c>
    </row>
    <row r="6777" spans="33:33" x14ac:dyDescent="0.25">
      <c r="AG6777">
        <v>6775</v>
      </c>
    </row>
    <row r="6778" spans="33:33" x14ac:dyDescent="0.25">
      <c r="AG6778">
        <v>6776</v>
      </c>
    </row>
    <row r="6779" spans="33:33" x14ac:dyDescent="0.25">
      <c r="AG6779">
        <v>6777</v>
      </c>
    </row>
    <row r="6780" spans="33:33" x14ac:dyDescent="0.25">
      <c r="AG6780">
        <v>6778</v>
      </c>
    </row>
    <row r="6781" spans="33:33" x14ac:dyDescent="0.25">
      <c r="AG6781">
        <v>6779</v>
      </c>
    </row>
    <row r="6782" spans="33:33" x14ac:dyDescent="0.25">
      <c r="AG6782">
        <v>6780</v>
      </c>
    </row>
    <row r="6783" spans="33:33" x14ac:dyDescent="0.25">
      <c r="AG6783">
        <v>6781</v>
      </c>
    </row>
    <row r="6784" spans="33:33" x14ac:dyDescent="0.25">
      <c r="AG6784">
        <v>6782</v>
      </c>
    </row>
    <row r="6785" spans="33:33" x14ac:dyDescent="0.25">
      <c r="AG6785">
        <v>6783</v>
      </c>
    </row>
    <row r="6786" spans="33:33" x14ac:dyDescent="0.25">
      <c r="AG6786">
        <v>6784</v>
      </c>
    </row>
    <row r="6787" spans="33:33" x14ac:dyDescent="0.25">
      <c r="AG6787">
        <v>6785</v>
      </c>
    </row>
    <row r="6788" spans="33:33" x14ac:dyDescent="0.25">
      <c r="AG6788">
        <v>6786</v>
      </c>
    </row>
    <row r="6789" spans="33:33" x14ac:dyDescent="0.25">
      <c r="AG6789">
        <v>6787</v>
      </c>
    </row>
    <row r="6790" spans="33:33" x14ac:dyDescent="0.25">
      <c r="AG6790">
        <v>6788</v>
      </c>
    </row>
    <row r="6791" spans="33:33" x14ac:dyDescent="0.25">
      <c r="AG6791">
        <v>6789</v>
      </c>
    </row>
    <row r="6792" spans="33:33" x14ac:dyDescent="0.25">
      <c r="AG6792">
        <v>6790</v>
      </c>
    </row>
    <row r="6793" spans="33:33" x14ac:dyDescent="0.25">
      <c r="AG6793">
        <v>6791</v>
      </c>
    </row>
    <row r="6794" spans="33:33" x14ac:dyDescent="0.25">
      <c r="AG6794">
        <v>6792</v>
      </c>
    </row>
    <row r="6795" spans="33:33" x14ac:dyDescent="0.25">
      <c r="AG6795">
        <v>6793</v>
      </c>
    </row>
    <row r="6796" spans="33:33" x14ac:dyDescent="0.25">
      <c r="AG6796">
        <v>6794</v>
      </c>
    </row>
    <row r="6797" spans="33:33" x14ac:dyDescent="0.25">
      <c r="AG6797">
        <v>6795</v>
      </c>
    </row>
    <row r="6798" spans="33:33" x14ac:dyDescent="0.25">
      <c r="AG6798">
        <v>6796</v>
      </c>
    </row>
    <row r="6799" spans="33:33" x14ac:dyDescent="0.25">
      <c r="AG6799">
        <v>6797</v>
      </c>
    </row>
    <row r="6800" spans="33:33" x14ac:dyDescent="0.25">
      <c r="AG6800">
        <v>6798</v>
      </c>
    </row>
    <row r="6801" spans="33:33" x14ac:dyDescent="0.25">
      <c r="AG6801">
        <v>6799</v>
      </c>
    </row>
    <row r="6802" spans="33:33" x14ac:dyDescent="0.25">
      <c r="AG6802">
        <v>6800</v>
      </c>
    </row>
    <row r="6803" spans="33:33" x14ac:dyDescent="0.25">
      <c r="AG6803">
        <v>6801</v>
      </c>
    </row>
    <row r="6804" spans="33:33" x14ac:dyDescent="0.25">
      <c r="AG6804">
        <v>6802</v>
      </c>
    </row>
    <row r="6805" spans="33:33" x14ac:dyDescent="0.25">
      <c r="AG6805">
        <v>6803</v>
      </c>
    </row>
    <row r="6806" spans="33:33" x14ac:dyDescent="0.25">
      <c r="AG6806">
        <v>6804</v>
      </c>
    </row>
    <row r="6807" spans="33:33" x14ac:dyDescent="0.25">
      <c r="AG6807">
        <v>6805</v>
      </c>
    </row>
    <row r="6808" spans="33:33" x14ac:dyDescent="0.25">
      <c r="AG6808">
        <v>6806</v>
      </c>
    </row>
    <row r="6809" spans="33:33" x14ac:dyDescent="0.25">
      <c r="AG6809">
        <v>6807</v>
      </c>
    </row>
    <row r="6810" spans="33:33" x14ac:dyDescent="0.25">
      <c r="AG6810">
        <v>6808</v>
      </c>
    </row>
    <row r="6811" spans="33:33" x14ac:dyDescent="0.25">
      <c r="AG6811">
        <v>6809</v>
      </c>
    </row>
    <row r="6812" spans="33:33" x14ac:dyDescent="0.25">
      <c r="AG6812">
        <v>6810</v>
      </c>
    </row>
    <row r="6813" spans="33:33" x14ac:dyDescent="0.25">
      <c r="AG6813">
        <v>6811</v>
      </c>
    </row>
    <row r="6814" spans="33:33" x14ac:dyDescent="0.25">
      <c r="AG6814">
        <v>6812</v>
      </c>
    </row>
    <row r="6815" spans="33:33" x14ac:dyDescent="0.25">
      <c r="AG6815">
        <v>6813</v>
      </c>
    </row>
    <row r="6816" spans="33:33" x14ac:dyDescent="0.25">
      <c r="AG6816">
        <v>6814</v>
      </c>
    </row>
    <row r="6817" spans="33:33" x14ac:dyDescent="0.25">
      <c r="AG6817">
        <v>6815</v>
      </c>
    </row>
    <row r="6818" spans="33:33" x14ac:dyDescent="0.25">
      <c r="AG6818">
        <v>6816</v>
      </c>
    </row>
    <row r="6819" spans="33:33" x14ac:dyDescent="0.25">
      <c r="AG6819">
        <v>6817</v>
      </c>
    </row>
    <row r="6820" spans="33:33" x14ac:dyDescent="0.25">
      <c r="AG6820">
        <v>6818</v>
      </c>
    </row>
    <row r="6821" spans="33:33" x14ac:dyDescent="0.25">
      <c r="AG6821">
        <v>6819</v>
      </c>
    </row>
    <row r="6822" spans="33:33" x14ac:dyDescent="0.25">
      <c r="AG6822">
        <v>6820</v>
      </c>
    </row>
    <row r="6823" spans="33:33" x14ac:dyDescent="0.25">
      <c r="AG6823">
        <v>6821</v>
      </c>
    </row>
    <row r="6824" spans="33:33" x14ac:dyDescent="0.25">
      <c r="AG6824">
        <v>6822</v>
      </c>
    </row>
    <row r="6825" spans="33:33" x14ac:dyDescent="0.25">
      <c r="AG6825">
        <v>6823</v>
      </c>
    </row>
    <row r="6826" spans="33:33" x14ac:dyDescent="0.25">
      <c r="AG6826">
        <v>6824</v>
      </c>
    </row>
    <row r="6827" spans="33:33" x14ac:dyDescent="0.25">
      <c r="AG6827">
        <v>6825</v>
      </c>
    </row>
    <row r="6828" spans="33:33" x14ac:dyDescent="0.25">
      <c r="AG6828">
        <v>6826</v>
      </c>
    </row>
    <row r="6829" spans="33:33" x14ac:dyDescent="0.25">
      <c r="AG6829">
        <v>6827</v>
      </c>
    </row>
    <row r="6830" spans="33:33" x14ac:dyDescent="0.25">
      <c r="AG6830">
        <v>6828</v>
      </c>
    </row>
    <row r="6831" spans="33:33" x14ac:dyDescent="0.25">
      <c r="AG6831">
        <v>6829</v>
      </c>
    </row>
    <row r="6832" spans="33:33" x14ac:dyDescent="0.25">
      <c r="AG6832">
        <v>6830</v>
      </c>
    </row>
    <row r="6833" spans="33:33" x14ac:dyDescent="0.25">
      <c r="AG6833">
        <v>6831</v>
      </c>
    </row>
    <row r="6834" spans="33:33" x14ac:dyDescent="0.25">
      <c r="AG6834">
        <v>6832</v>
      </c>
    </row>
    <row r="6835" spans="33:33" x14ac:dyDescent="0.25">
      <c r="AG6835">
        <v>6833</v>
      </c>
    </row>
    <row r="6836" spans="33:33" x14ac:dyDescent="0.25">
      <c r="AG6836">
        <v>6834</v>
      </c>
    </row>
    <row r="6837" spans="33:33" x14ac:dyDescent="0.25">
      <c r="AG6837">
        <v>6835</v>
      </c>
    </row>
    <row r="6838" spans="33:33" x14ac:dyDescent="0.25">
      <c r="AG6838">
        <v>6836</v>
      </c>
    </row>
    <row r="6839" spans="33:33" x14ac:dyDescent="0.25">
      <c r="AG6839">
        <v>6837</v>
      </c>
    </row>
    <row r="6840" spans="33:33" x14ac:dyDescent="0.25">
      <c r="AG6840">
        <v>6838</v>
      </c>
    </row>
    <row r="6841" spans="33:33" x14ac:dyDescent="0.25">
      <c r="AG6841">
        <v>6839</v>
      </c>
    </row>
    <row r="6842" spans="33:33" x14ac:dyDescent="0.25">
      <c r="AG6842">
        <v>6840</v>
      </c>
    </row>
    <row r="6843" spans="33:33" x14ac:dyDescent="0.25">
      <c r="AG6843">
        <v>6841</v>
      </c>
    </row>
    <row r="6844" spans="33:33" x14ac:dyDescent="0.25">
      <c r="AG6844">
        <v>6842</v>
      </c>
    </row>
    <row r="6845" spans="33:33" x14ac:dyDescent="0.25">
      <c r="AG6845">
        <v>6843</v>
      </c>
    </row>
    <row r="6846" spans="33:33" x14ac:dyDescent="0.25">
      <c r="AG6846">
        <v>6844</v>
      </c>
    </row>
    <row r="6847" spans="33:33" x14ac:dyDescent="0.25">
      <c r="AG6847">
        <v>6845</v>
      </c>
    </row>
    <row r="6848" spans="33:33" x14ac:dyDescent="0.25">
      <c r="AG6848">
        <v>6846</v>
      </c>
    </row>
    <row r="6849" spans="33:33" x14ac:dyDescent="0.25">
      <c r="AG6849">
        <v>6847</v>
      </c>
    </row>
    <row r="6850" spans="33:33" x14ac:dyDescent="0.25">
      <c r="AG6850">
        <v>6848</v>
      </c>
    </row>
    <row r="6851" spans="33:33" x14ac:dyDescent="0.25">
      <c r="AG6851">
        <v>6849</v>
      </c>
    </row>
    <row r="6852" spans="33:33" x14ac:dyDescent="0.25">
      <c r="AG6852">
        <v>6850</v>
      </c>
    </row>
    <row r="6853" spans="33:33" x14ac:dyDescent="0.25">
      <c r="AG6853">
        <v>6851</v>
      </c>
    </row>
    <row r="6854" spans="33:33" x14ac:dyDescent="0.25">
      <c r="AG6854">
        <v>6852</v>
      </c>
    </row>
    <row r="6855" spans="33:33" x14ac:dyDescent="0.25">
      <c r="AG6855">
        <v>6853</v>
      </c>
    </row>
    <row r="6856" spans="33:33" x14ac:dyDescent="0.25">
      <c r="AG6856">
        <v>6854</v>
      </c>
    </row>
    <row r="6857" spans="33:33" x14ac:dyDescent="0.25">
      <c r="AG6857">
        <v>6855</v>
      </c>
    </row>
    <row r="6858" spans="33:33" x14ac:dyDescent="0.25">
      <c r="AG6858">
        <v>6856</v>
      </c>
    </row>
    <row r="6859" spans="33:33" x14ac:dyDescent="0.25">
      <c r="AG6859">
        <v>6857</v>
      </c>
    </row>
    <row r="6860" spans="33:33" x14ac:dyDescent="0.25">
      <c r="AG6860">
        <v>6858</v>
      </c>
    </row>
    <row r="6861" spans="33:33" x14ac:dyDescent="0.25">
      <c r="AG6861">
        <v>6859</v>
      </c>
    </row>
    <row r="6862" spans="33:33" x14ac:dyDescent="0.25">
      <c r="AG6862">
        <v>6860</v>
      </c>
    </row>
    <row r="6863" spans="33:33" x14ac:dyDescent="0.25">
      <c r="AG6863">
        <v>6861</v>
      </c>
    </row>
    <row r="6864" spans="33:33" x14ac:dyDescent="0.25">
      <c r="AG6864">
        <v>6862</v>
      </c>
    </row>
    <row r="6865" spans="33:33" x14ac:dyDescent="0.25">
      <c r="AG6865">
        <v>6863</v>
      </c>
    </row>
    <row r="6866" spans="33:33" x14ac:dyDescent="0.25">
      <c r="AG6866">
        <v>6864</v>
      </c>
    </row>
    <row r="6867" spans="33:33" x14ac:dyDescent="0.25">
      <c r="AG6867">
        <v>6865</v>
      </c>
    </row>
    <row r="6868" spans="33:33" x14ac:dyDescent="0.25">
      <c r="AG6868">
        <v>6866</v>
      </c>
    </row>
    <row r="6869" spans="33:33" x14ac:dyDescent="0.25">
      <c r="AG6869">
        <v>6867</v>
      </c>
    </row>
    <row r="6870" spans="33:33" x14ac:dyDescent="0.25">
      <c r="AG6870">
        <v>6868</v>
      </c>
    </row>
    <row r="6871" spans="33:33" x14ac:dyDescent="0.25">
      <c r="AG6871">
        <v>6869</v>
      </c>
    </row>
    <row r="6872" spans="33:33" x14ac:dyDescent="0.25">
      <c r="AG6872">
        <v>6870</v>
      </c>
    </row>
    <row r="6873" spans="33:33" x14ac:dyDescent="0.25">
      <c r="AG6873">
        <v>6871</v>
      </c>
    </row>
    <row r="6874" spans="33:33" x14ac:dyDescent="0.25">
      <c r="AG6874">
        <v>6872</v>
      </c>
    </row>
    <row r="6875" spans="33:33" x14ac:dyDescent="0.25">
      <c r="AG6875">
        <v>6873</v>
      </c>
    </row>
    <row r="6876" spans="33:33" x14ac:dyDescent="0.25">
      <c r="AG6876">
        <v>6874</v>
      </c>
    </row>
    <row r="6877" spans="33:33" x14ac:dyDescent="0.25">
      <c r="AG6877">
        <v>6875</v>
      </c>
    </row>
    <row r="6878" spans="33:33" x14ac:dyDescent="0.25">
      <c r="AG6878">
        <v>6876</v>
      </c>
    </row>
    <row r="6879" spans="33:33" x14ac:dyDescent="0.25">
      <c r="AG6879">
        <v>6877</v>
      </c>
    </row>
    <row r="6880" spans="33:33" x14ac:dyDescent="0.25">
      <c r="AG6880">
        <v>6878</v>
      </c>
    </row>
    <row r="6881" spans="33:33" x14ac:dyDescent="0.25">
      <c r="AG6881">
        <v>6879</v>
      </c>
    </row>
    <row r="6882" spans="33:33" x14ac:dyDescent="0.25">
      <c r="AG6882">
        <v>6880</v>
      </c>
    </row>
    <row r="6883" spans="33:33" x14ac:dyDescent="0.25">
      <c r="AG6883">
        <v>6881</v>
      </c>
    </row>
    <row r="6884" spans="33:33" x14ac:dyDescent="0.25">
      <c r="AG6884">
        <v>6882</v>
      </c>
    </row>
    <row r="6885" spans="33:33" x14ac:dyDescent="0.25">
      <c r="AG6885">
        <v>6883</v>
      </c>
    </row>
    <row r="6886" spans="33:33" x14ac:dyDescent="0.25">
      <c r="AG6886">
        <v>6884</v>
      </c>
    </row>
    <row r="6887" spans="33:33" x14ac:dyDescent="0.25">
      <c r="AG6887">
        <v>6885</v>
      </c>
    </row>
    <row r="6888" spans="33:33" x14ac:dyDescent="0.25">
      <c r="AG6888">
        <v>6886</v>
      </c>
    </row>
    <row r="6889" spans="33:33" x14ac:dyDescent="0.25">
      <c r="AG6889">
        <v>6887</v>
      </c>
    </row>
    <row r="6890" spans="33:33" x14ac:dyDescent="0.25">
      <c r="AG6890">
        <v>6888</v>
      </c>
    </row>
    <row r="6891" spans="33:33" x14ac:dyDescent="0.25">
      <c r="AG6891">
        <v>6889</v>
      </c>
    </row>
    <row r="6892" spans="33:33" x14ac:dyDescent="0.25">
      <c r="AG6892">
        <v>6890</v>
      </c>
    </row>
    <row r="6893" spans="33:33" x14ac:dyDescent="0.25">
      <c r="AG6893">
        <v>6891</v>
      </c>
    </row>
    <row r="6894" spans="33:33" x14ac:dyDescent="0.25">
      <c r="AG6894">
        <v>6892</v>
      </c>
    </row>
    <row r="6895" spans="33:33" x14ac:dyDescent="0.25">
      <c r="AG6895">
        <v>6893</v>
      </c>
    </row>
    <row r="6896" spans="33:33" x14ac:dyDescent="0.25">
      <c r="AG6896">
        <v>6894</v>
      </c>
    </row>
    <row r="6897" spans="33:33" x14ac:dyDescent="0.25">
      <c r="AG6897">
        <v>6895</v>
      </c>
    </row>
    <row r="6898" spans="33:33" x14ac:dyDescent="0.25">
      <c r="AG6898">
        <v>6896</v>
      </c>
    </row>
    <row r="6899" spans="33:33" x14ac:dyDescent="0.25">
      <c r="AG6899">
        <v>6897</v>
      </c>
    </row>
    <row r="6900" spans="33:33" x14ac:dyDescent="0.25">
      <c r="AG6900">
        <v>6898</v>
      </c>
    </row>
    <row r="6901" spans="33:33" x14ac:dyDescent="0.25">
      <c r="AG6901">
        <v>6899</v>
      </c>
    </row>
    <row r="6902" spans="33:33" x14ac:dyDescent="0.25">
      <c r="AG6902">
        <v>6900</v>
      </c>
    </row>
    <row r="6903" spans="33:33" x14ac:dyDescent="0.25">
      <c r="AG6903">
        <v>6901</v>
      </c>
    </row>
    <row r="6904" spans="33:33" x14ac:dyDescent="0.25">
      <c r="AG6904">
        <v>6902</v>
      </c>
    </row>
    <row r="6905" spans="33:33" x14ac:dyDescent="0.25">
      <c r="AG6905">
        <v>6903</v>
      </c>
    </row>
    <row r="6906" spans="33:33" x14ac:dyDescent="0.25">
      <c r="AG6906">
        <v>6904</v>
      </c>
    </row>
    <row r="6907" spans="33:33" x14ac:dyDescent="0.25">
      <c r="AG6907">
        <v>6905</v>
      </c>
    </row>
    <row r="6908" spans="33:33" x14ac:dyDescent="0.25">
      <c r="AG6908">
        <v>6906</v>
      </c>
    </row>
    <row r="6909" spans="33:33" x14ac:dyDescent="0.25">
      <c r="AG6909">
        <v>6907</v>
      </c>
    </row>
    <row r="6910" spans="33:33" x14ac:dyDescent="0.25">
      <c r="AG6910">
        <v>6908</v>
      </c>
    </row>
    <row r="6911" spans="33:33" x14ac:dyDescent="0.25">
      <c r="AG6911">
        <v>6909</v>
      </c>
    </row>
    <row r="6912" spans="33:33" x14ac:dyDescent="0.25">
      <c r="AG6912">
        <v>6910</v>
      </c>
    </row>
    <row r="6913" spans="33:33" x14ac:dyDescent="0.25">
      <c r="AG6913">
        <v>6911</v>
      </c>
    </row>
    <row r="6914" spans="33:33" x14ac:dyDescent="0.25">
      <c r="AG6914">
        <v>6912</v>
      </c>
    </row>
    <row r="6915" spans="33:33" x14ac:dyDescent="0.25">
      <c r="AG6915">
        <v>6913</v>
      </c>
    </row>
    <row r="6916" spans="33:33" x14ac:dyDescent="0.25">
      <c r="AG6916">
        <v>6914</v>
      </c>
    </row>
    <row r="6917" spans="33:33" x14ac:dyDescent="0.25">
      <c r="AG6917">
        <v>6915</v>
      </c>
    </row>
    <row r="6918" spans="33:33" x14ac:dyDescent="0.25">
      <c r="AG6918">
        <v>6916</v>
      </c>
    </row>
    <row r="6919" spans="33:33" x14ac:dyDescent="0.25">
      <c r="AG6919">
        <v>6917</v>
      </c>
    </row>
    <row r="6920" spans="33:33" x14ac:dyDescent="0.25">
      <c r="AG6920">
        <v>6918</v>
      </c>
    </row>
    <row r="6921" spans="33:33" x14ac:dyDescent="0.25">
      <c r="AG6921">
        <v>6919</v>
      </c>
    </row>
    <row r="6922" spans="33:33" x14ac:dyDescent="0.25">
      <c r="AG6922">
        <v>6920</v>
      </c>
    </row>
    <row r="6923" spans="33:33" x14ac:dyDescent="0.25">
      <c r="AG6923">
        <v>6921</v>
      </c>
    </row>
    <row r="6924" spans="33:33" x14ac:dyDescent="0.25">
      <c r="AG6924">
        <v>6922</v>
      </c>
    </row>
    <row r="6925" spans="33:33" x14ac:dyDescent="0.25">
      <c r="AG6925">
        <v>6923</v>
      </c>
    </row>
    <row r="6926" spans="33:33" x14ac:dyDescent="0.25">
      <c r="AG6926">
        <v>6924</v>
      </c>
    </row>
    <row r="6927" spans="33:33" x14ac:dyDescent="0.25">
      <c r="AG6927">
        <v>6925</v>
      </c>
    </row>
    <row r="6928" spans="33:33" x14ac:dyDescent="0.25">
      <c r="AG6928">
        <v>6926</v>
      </c>
    </row>
    <row r="6929" spans="33:33" x14ac:dyDescent="0.25">
      <c r="AG6929">
        <v>6927</v>
      </c>
    </row>
    <row r="6930" spans="33:33" x14ac:dyDescent="0.25">
      <c r="AG6930">
        <v>6928</v>
      </c>
    </row>
    <row r="6931" spans="33:33" x14ac:dyDescent="0.25">
      <c r="AG6931">
        <v>6929</v>
      </c>
    </row>
    <row r="6932" spans="33:33" x14ac:dyDescent="0.25">
      <c r="AG6932">
        <v>6930</v>
      </c>
    </row>
    <row r="6933" spans="33:33" x14ac:dyDescent="0.25">
      <c r="AG6933">
        <v>6931</v>
      </c>
    </row>
    <row r="6934" spans="33:33" x14ac:dyDescent="0.25">
      <c r="AG6934">
        <v>6932</v>
      </c>
    </row>
    <row r="6935" spans="33:33" x14ac:dyDescent="0.25">
      <c r="AG6935">
        <v>6933</v>
      </c>
    </row>
    <row r="6936" spans="33:33" x14ac:dyDescent="0.25">
      <c r="AG6936">
        <v>6934</v>
      </c>
    </row>
    <row r="6937" spans="33:33" x14ac:dyDescent="0.25">
      <c r="AG6937">
        <v>6935</v>
      </c>
    </row>
    <row r="6938" spans="33:33" x14ac:dyDescent="0.25">
      <c r="AG6938">
        <v>6936</v>
      </c>
    </row>
    <row r="6939" spans="33:33" x14ac:dyDescent="0.25">
      <c r="AG6939">
        <v>6937</v>
      </c>
    </row>
    <row r="6940" spans="33:33" x14ac:dyDescent="0.25">
      <c r="AG6940">
        <v>6938</v>
      </c>
    </row>
    <row r="6941" spans="33:33" x14ac:dyDescent="0.25">
      <c r="AG6941">
        <v>6939</v>
      </c>
    </row>
    <row r="6942" spans="33:33" x14ac:dyDescent="0.25">
      <c r="AG6942">
        <v>6940</v>
      </c>
    </row>
    <row r="6943" spans="33:33" x14ac:dyDescent="0.25">
      <c r="AG6943">
        <v>6941</v>
      </c>
    </row>
    <row r="6944" spans="33:33" x14ac:dyDescent="0.25">
      <c r="AG6944">
        <v>6942</v>
      </c>
    </row>
    <row r="6945" spans="33:33" x14ac:dyDescent="0.25">
      <c r="AG6945">
        <v>6943</v>
      </c>
    </row>
    <row r="6946" spans="33:33" x14ac:dyDescent="0.25">
      <c r="AG6946">
        <v>6944</v>
      </c>
    </row>
    <row r="6947" spans="33:33" x14ac:dyDescent="0.25">
      <c r="AG6947">
        <v>6945</v>
      </c>
    </row>
    <row r="6948" spans="33:33" x14ac:dyDescent="0.25">
      <c r="AG6948">
        <v>6946</v>
      </c>
    </row>
    <row r="6949" spans="33:33" x14ac:dyDescent="0.25">
      <c r="AG6949">
        <v>6947</v>
      </c>
    </row>
    <row r="6950" spans="33:33" x14ac:dyDescent="0.25">
      <c r="AG6950">
        <v>6948</v>
      </c>
    </row>
    <row r="6951" spans="33:33" x14ac:dyDescent="0.25">
      <c r="AG6951">
        <v>6949</v>
      </c>
    </row>
    <row r="6952" spans="33:33" x14ac:dyDescent="0.25">
      <c r="AG6952">
        <v>6950</v>
      </c>
    </row>
    <row r="6953" spans="33:33" x14ac:dyDescent="0.25">
      <c r="AG6953">
        <v>6951</v>
      </c>
    </row>
    <row r="6954" spans="33:33" x14ac:dyDescent="0.25">
      <c r="AG6954">
        <v>6952</v>
      </c>
    </row>
    <row r="6955" spans="33:33" x14ac:dyDescent="0.25">
      <c r="AG6955">
        <v>6953</v>
      </c>
    </row>
    <row r="6956" spans="33:33" x14ac:dyDescent="0.25">
      <c r="AG6956">
        <v>6954</v>
      </c>
    </row>
    <row r="6957" spans="33:33" x14ac:dyDescent="0.25">
      <c r="AG6957">
        <v>6955</v>
      </c>
    </row>
    <row r="6958" spans="33:33" x14ac:dyDescent="0.25">
      <c r="AG6958">
        <v>6956</v>
      </c>
    </row>
    <row r="6959" spans="33:33" x14ac:dyDescent="0.25">
      <c r="AG6959">
        <v>6957</v>
      </c>
    </row>
    <row r="6960" spans="33:33" x14ac:dyDescent="0.25">
      <c r="AG6960">
        <v>6958</v>
      </c>
    </row>
    <row r="6961" spans="33:33" x14ac:dyDescent="0.25">
      <c r="AG6961">
        <v>6959</v>
      </c>
    </row>
    <row r="6962" spans="33:33" x14ac:dyDescent="0.25">
      <c r="AG6962">
        <v>6960</v>
      </c>
    </row>
    <row r="6963" spans="33:33" x14ac:dyDescent="0.25">
      <c r="AG6963">
        <v>6961</v>
      </c>
    </row>
    <row r="6964" spans="33:33" x14ac:dyDescent="0.25">
      <c r="AG6964">
        <v>6962</v>
      </c>
    </row>
    <row r="6965" spans="33:33" x14ac:dyDescent="0.25">
      <c r="AG6965">
        <v>6963</v>
      </c>
    </row>
    <row r="6966" spans="33:33" x14ac:dyDescent="0.25">
      <c r="AG6966">
        <v>6964</v>
      </c>
    </row>
    <row r="6967" spans="33:33" x14ac:dyDescent="0.25">
      <c r="AG6967">
        <v>6965</v>
      </c>
    </row>
    <row r="6968" spans="33:33" x14ac:dyDescent="0.25">
      <c r="AG6968">
        <v>6966</v>
      </c>
    </row>
    <row r="6969" spans="33:33" x14ac:dyDescent="0.25">
      <c r="AG6969">
        <v>6967</v>
      </c>
    </row>
    <row r="6970" spans="33:33" x14ac:dyDescent="0.25">
      <c r="AG6970">
        <v>6968</v>
      </c>
    </row>
    <row r="6971" spans="33:33" x14ac:dyDescent="0.25">
      <c r="AG6971">
        <v>6969</v>
      </c>
    </row>
    <row r="6972" spans="33:33" x14ac:dyDescent="0.25">
      <c r="AG6972">
        <v>6970</v>
      </c>
    </row>
    <row r="6973" spans="33:33" x14ac:dyDescent="0.25">
      <c r="AG6973">
        <v>6971</v>
      </c>
    </row>
    <row r="6974" spans="33:33" x14ac:dyDescent="0.25">
      <c r="AG6974">
        <v>6972</v>
      </c>
    </row>
    <row r="6975" spans="33:33" x14ac:dyDescent="0.25">
      <c r="AG6975">
        <v>6973</v>
      </c>
    </row>
    <row r="6976" spans="33:33" x14ac:dyDescent="0.25">
      <c r="AG6976">
        <v>6974</v>
      </c>
    </row>
    <row r="6977" spans="33:33" x14ac:dyDescent="0.25">
      <c r="AG6977">
        <v>6975</v>
      </c>
    </row>
    <row r="6978" spans="33:33" x14ac:dyDescent="0.25">
      <c r="AG6978">
        <v>6976</v>
      </c>
    </row>
    <row r="6979" spans="33:33" x14ac:dyDescent="0.25">
      <c r="AG6979">
        <v>6977</v>
      </c>
    </row>
    <row r="6980" spans="33:33" x14ac:dyDescent="0.25">
      <c r="AG6980">
        <v>6978</v>
      </c>
    </row>
    <row r="6981" spans="33:33" x14ac:dyDescent="0.25">
      <c r="AG6981">
        <v>6979</v>
      </c>
    </row>
    <row r="6982" spans="33:33" x14ac:dyDescent="0.25">
      <c r="AG6982">
        <v>6980</v>
      </c>
    </row>
    <row r="6983" spans="33:33" x14ac:dyDescent="0.25">
      <c r="AG6983">
        <v>6981</v>
      </c>
    </row>
    <row r="6984" spans="33:33" x14ac:dyDescent="0.25">
      <c r="AG6984">
        <v>6982</v>
      </c>
    </row>
    <row r="6985" spans="33:33" x14ac:dyDescent="0.25">
      <c r="AG6985">
        <v>6983</v>
      </c>
    </row>
    <row r="6986" spans="33:33" x14ac:dyDescent="0.25">
      <c r="AG6986">
        <v>6984</v>
      </c>
    </row>
    <row r="6987" spans="33:33" x14ac:dyDescent="0.25">
      <c r="AG6987">
        <v>6985</v>
      </c>
    </row>
    <row r="6988" spans="33:33" x14ac:dyDescent="0.25">
      <c r="AG6988">
        <v>6986</v>
      </c>
    </row>
    <row r="6989" spans="33:33" x14ac:dyDescent="0.25">
      <c r="AG6989">
        <v>6987</v>
      </c>
    </row>
    <row r="6990" spans="33:33" x14ac:dyDescent="0.25">
      <c r="AG6990">
        <v>6988</v>
      </c>
    </row>
    <row r="6991" spans="33:33" x14ac:dyDescent="0.25">
      <c r="AG6991">
        <v>6989</v>
      </c>
    </row>
    <row r="6992" spans="33:33" x14ac:dyDescent="0.25">
      <c r="AG6992">
        <v>6990</v>
      </c>
    </row>
    <row r="6993" spans="33:33" x14ac:dyDescent="0.25">
      <c r="AG6993">
        <v>6991</v>
      </c>
    </row>
    <row r="6994" spans="33:33" x14ac:dyDescent="0.25">
      <c r="AG6994">
        <v>6992</v>
      </c>
    </row>
    <row r="6995" spans="33:33" x14ac:dyDescent="0.25">
      <c r="AG6995">
        <v>6993</v>
      </c>
    </row>
    <row r="6996" spans="33:33" x14ac:dyDescent="0.25">
      <c r="AG6996">
        <v>6994</v>
      </c>
    </row>
    <row r="6997" spans="33:33" x14ac:dyDescent="0.25">
      <c r="AG6997">
        <v>6995</v>
      </c>
    </row>
    <row r="6998" spans="33:33" x14ac:dyDescent="0.25">
      <c r="AG6998">
        <v>6996</v>
      </c>
    </row>
    <row r="6999" spans="33:33" x14ac:dyDescent="0.25">
      <c r="AG6999">
        <v>6997</v>
      </c>
    </row>
    <row r="7000" spans="33:33" x14ac:dyDescent="0.25">
      <c r="AG7000">
        <v>6998</v>
      </c>
    </row>
    <row r="7001" spans="33:33" x14ac:dyDescent="0.25">
      <c r="AG7001">
        <v>6999</v>
      </c>
    </row>
    <row r="7002" spans="33:33" x14ac:dyDescent="0.25">
      <c r="AG7002">
        <v>7000</v>
      </c>
    </row>
    <row r="7003" spans="33:33" x14ac:dyDescent="0.25">
      <c r="AG7003">
        <v>7001</v>
      </c>
    </row>
    <row r="7004" spans="33:33" x14ac:dyDescent="0.25">
      <c r="AG7004">
        <v>7002</v>
      </c>
    </row>
    <row r="7005" spans="33:33" x14ac:dyDescent="0.25">
      <c r="AG7005">
        <v>7003</v>
      </c>
    </row>
    <row r="7006" spans="33:33" x14ac:dyDescent="0.25">
      <c r="AG7006">
        <v>7004</v>
      </c>
    </row>
    <row r="7007" spans="33:33" x14ac:dyDescent="0.25">
      <c r="AG7007">
        <v>7005</v>
      </c>
    </row>
    <row r="7008" spans="33:33" x14ac:dyDescent="0.25">
      <c r="AG7008">
        <v>7006</v>
      </c>
    </row>
    <row r="7009" spans="33:33" x14ac:dyDescent="0.25">
      <c r="AG7009">
        <v>7007</v>
      </c>
    </row>
    <row r="7010" spans="33:33" x14ac:dyDescent="0.25">
      <c r="AG7010">
        <v>7008</v>
      </c>
    </row>
    <row r="7011" spans="33:33" x14ac:dyDescent="0.25">
      <c r="AG7011">
        <v>7009</v>
      </c>
    </row>
    <row r="7012" spans="33:33" x14ac:dyDescent="0.25">
      <c r="AG7012">
        <v>7010</v>
      </c>
    </row>
    <row r="7013" spans="33:33" x14ac:dyDescent="0.25">
      <c r="AG7013">
        <v>7011</v>
      </c>
    </row>
    <row r="7014" spans="33:33" x14ac:dyDescent="0.25">
      <c r="AG7014">
        <v>7012</v>
      </c>
    </row>
    <row r="7015" spans="33:33" x14ac:dyDescent="0.25">
      <c r="AG7015">
        <v>7013</v>
      </c>
    </row>
    <row r="7016" spans="33:33" x14ac:dyDescent="0.25">
      <c r="AG7016">
        <v>7014</v>
      </c>
    </row>
    <row r="7017" spans="33:33" x14ac:dyDescent="0.25">
      <c r="AG7017">
        <v>7015</v>
      </c>
    </row>
    <row r="7018" spans="33:33" x14ac:dyDescent="0.25">
      <c r="AG7018">
        <v>7016</v>
      </c>
    </row>
    <row r="7019" spans="33:33" x14ac:dyDescent="0.25">
      <c r="AG7019">
        <v>7017</v>
      </c>
    </row>
    <row r="7020" spans="33:33" x14ac:dyDescent="0.25">
      <c r="AG7020">
        <v>7018</v>
      </c>
    </row>
    <row r="7021" spans="33:33" x14ac:dyDescent="0.25">
      <c r="AG7021">
        <v>7019</v>
      </c>
    </row>
    <row r="7022" spans="33:33" x14ac:dyDescent="0.25">
      <c r="AG7022">
        <v>7020</v>
      </c>
    </row>
    <row r="7023" spans="33:33" x14ac:dyDescent="0.25">
      <c r="AG7023">
        <v>7021</v>
      </c>
    </row>
    <row r="7024" spans="33:33" x14ac:dyDescent="0.25">
      <c r="AG7024">
        <v>7022</v>
      </c>
    </row>
    <row r="7025" spans="33:33" x14ac:dyDescent="0.25">
      <c r="AG7025">
        <v>7023</v>
      </c>
    </row>
    <row r="7026" spans="33:33" x14ac:dyDescent="0.25">
      <c r="AG7026">
        <v>7024</v>
      </c>
    </row>
    <row r="7027" spans="33:33" x14ac:dyDescent="0.25">
      <c r="AG7027">
        <v>7025</v>
      </c>
    </row>
    <row r="7028" spans="33:33" x14ac:dyDescent="0.25">
      <c r="AG7028">
        <v>7026</v>
      </c>
    </row>
    <row r="7029" spans="33:33" x14ac:dyDescent="0.25">
      <c r="AG7029">
        <v>7027</v>
      </c>
    </row>
    <row r="7030" spans="33:33" x14ac:dyDescent="0.25">
      <c r="AG7030">
        <v>7028</v>
      </c>
    </row>
    <row r="7031" spans="33:33" x14ac:dyDescent="0.25">
      <c r="AG7031">
        <v>7029</v>
      </c>
    </row>
    <row r="7032" spans="33:33" x14ac:dyDescent="0.25">
      <c r="AG7032">
        <v>7030</v>
      </c>
    </row>
    <row r="7033" spans="33:33" x14ac:dyDescent="0.25">
      <c r="AG7033">
        <v>7031</v>
      </c>
    </row>
    <row r="7034" spans="33:33" x14ac:dyDescent="0.25">
      <c r="AG7034">
        <v>7032</v>
      </c>
    </row>
    <row r="7035" spans="33:33" x14ac:dyDescent="0.25">
      <c r="AG7035">
        <v>7033</v>
      </c>
    </row>
    <row r="7036" spans="33:33" x14ac:dyDescent="0.25">
      <c r="AG7036">
        <v>7034</v>
      </c>
    </row>
    <row r="7037" spans="33:33" x14ac:dyDescent="0.25">
      <c r="AG7037">
        <v>7035</v>
      </c>
    </row>
    <row r="7038" spans="33:33" x14ac:dyDescent="0.25">
      <c r="AG7038">
        <v>7036</v>
      </c>
    </row>
    <row r="7039" spans="33:33" x14ac:dyDescent="0.25">
      <c r="AG7039">
        <v>7037</v>
      </c>
    </row>
    <row r="7040" spans="33:33" x14ac:dyDescent="0.25">
      <c r="AG7040">
        <v>7038</v>
      </c>
    </row>
    <row r="7041" spans="33:33" x14ac:dyDescent="0.25">
      <c r="AG7041">
        <v>7039</v>
      </c>
    </row>
    <row r="7042" spans="33:33" x14ac:dyDescent="0.25">
      <c r="AG7042">
        <v>7040</v>
      </c>
    </row>
    <row r="7043" spans="33:33" x14ac:dyDescent="0.25">
      <c r="AG7043">
        <v>7041</v>
      </c>
    </row>
    <row r="7044" spans="33:33" x14ac:dyDescent="0.25">
      <c r="AG7044">
        <v>7042</v>
      </c>
    </row>
    <row r="7045" spans="33:33" x14ac:dyDescent="0.25">
      <c r="AG7045">
        <v>7043</v>
      </c>
    </row>
    <row r="7046" spans="33:33" x14ac:dyDescent="0.25">
      <c r="AG7046">
        <v>7044</v>
      </c>
    </row>
    <row r="7047" spans="33:33" x14ac:dyDescent="0.25">
      <c r="AG7047">
        <v>7045</v>
      </c>
    </row>
    <row r="7048" spans="33:33" x14ac:dyDescent="0.25">
      <c r="AG7048">
        <v>7046</v>
      </c>
    </row>
    <row r="7049" spans="33:33" x14ac:dyDescent="0.25">
      <c r="AG7049">
        <v>7047</v>
      </c>
    </row>
    <row r="7050" spans="33:33" x14ac:dyDescent="0.25">
      <c r="AG7050">
        <v>7048</v>
      </c>
    </row>
    <row r="7051" spans="33:33" x14ac:dyDescent="0.25">
      <c r="AG7051">
        <v>7049</v>
      </c>
    </row>
    <row r="7052" spans="33:33" x14ac:dyDescent="0.25">
      <c r="AG7052">
        <v>7050</v>
      </c>
    </row>
    <row r="7053" spans="33:33" x14ac:dyDescent="0.25">
      <c r="AG7053">
        <v>7051</v>
      </c>
    </row>
    <row r="7054" spans="33:33" x14ac:dyDescent="0.25">
      <c r="AG7054">
        <v>7052</v>
      </c>
    </row>
    <row r="7055" spans="33:33" x14ac:dyDescent="0.25">
      <c r="AG7055">
        <v>7053</v>
      </c>
    </row>
    <row r="7056" spans="33:33" x14ac:dyDescent="0.25">
      <c r="AG7056">
        <v>7054</v>
      </c>
    </row>
    <row r="7057" spans="33:33" x14ac:dyDescent="0.25">
      <c r="AG7057">
        <v>7055</v>
      </c>
    </row>
    <row r="7058" spans="33:33" x14ac:dyDescent="0.25">
      <c r="AG7058">
        <v>7056</v>
      </c>
    </row>
    <row r="7059" spans="33:33" x14ac:dyDescent="0.25">
      <c r="AG7059">
        <v>7057</v>
      </c>
    </row>
    <row r="7060" spans="33:33" x14ac:dyDescent="0.25">
      <c r="AG7060">
        <v>7058</v>
      </c>
    </row>
    <row r="7061" spans="33:33" x14ac:dyDescent="0.25">
      <c r="AG7061">
        <v>7059</v>
      </c>
    </row>
    <row r="7062" spans="33:33" x14ac:dyDescent="0.25">
      <c r="AG7062">
        <v>7060</v>
      </c>
    </row>
    <row r="7063" spans="33:33" x14ac:dyDescent="0.25">
      <c r="AG7063">
        <v>7061</v>
      </c>
    </row>
    <row r="7064" spans="33:33" x14ac:dyDescent="0.25">
      <c r="AG7064">
        <v>7062</v>
      </c>
    </row>
    <row r="7065" spans="33:33" x14ac:dyDescent="0.25">
      <c r="AG7065">
        <v>7063</v>
      </c>
    </row>
    <row r="7066" spans="33:33" x14ac:dyDescent="0.25">
      <c r="AG7066">
        <v>7064</v>
      </c>
    </row>
    <row r="7067" spans="33:33" x14ac:dyDescent="0.25">
      <c r="AG7067">
        <v>7065</v>
      </c>
    </row>
    <row r="7068" spans="33:33" x14ac:dyDescent="0.25">
      <c r="AG7068">
        <v>7066</v>
      </c>
    </row>
    <row r="7069" spans="33:33" x14ac:dyDescent="0.25">
      <c r="AG7069">
        <v>7067</v>
      </c>
    </row>
    <row r="7070" spans="33:33" x14ac:dyDescent="0.25">
      <c r="AG7070">
        <v>7068</v>
      </c>
    </row>
    <row r="7071" spans="33:33" x14ac:dyDescent="0.25">
      <c r="AG7071">
        <v>7069</v>
      </c>
    </row>
    <row r="7072" spans="33:33" x14ac:dyDescent="0.25">
      <c r="AG7072">
        <v>7070</v>
      </c>
    </row>
    <row r="7073" spans="33:33" x14ac:dyDescent="0.25">
      <c r="AG7073">
        <v>7071</v>
      </c>
    </row>
    <row r="7074" spans="33:33" x14ac:dyDescent="0.25">
      <c r="AG7074">
        <v>7072</v>
      </c>
    </row>
    <row r="7075" spans="33:33" x14ac:dyDescent="0.25">
      <c r="AG7075">
        <v>7073</v>
      </c>
    </row>
    <row r="7076" spans="33:33" x14ac:dyDescent="0.25">
      <c r="AG7076">
        <v>7074</v>
      </c>
    </row>
    <row r="7077" spans="33:33" x14ac:dyDescent="0.25">
      <c r="AG7077">
        <v>7075</v>
      </c>
    </row>
    <row r="7078" spans="33:33" x14ac:dyDescent="0.25">
      <c r="AG7078">
        <v>7076</v>
      </c>
    </row>
    <row r="7079" spans="33:33" x14ac:dyDescent="0.25">
      <c r="AG7079">
        <v>7077</v>
      </c>
    </row>
    <row r="7080" spans="33:33" x14ac:dyDescent="0.25">
      <c r="AG7080">
        <v>7078</v>
      </c>
    </row>
    <row r="7081" spans="33:33" x14ac:dyDescent="0.25">
      <c r="AG7081">
        <v>7079</v>
      </c>
    </row>
    <row r="7082" spans="33:33" x14ac:dyDescent="0.25">
      <c r="AG7082">
        <v>7080</v>
      </c>
    </row>
    <row r="7083" spans="33:33" x14ac:dyDescent="0.25">
      <c r="AG7083">
        <v>7081</v>
      </c>
    </row>
    <row r="7084" spans="33:33" x14ac:dyDescent="0.25">
      <c r="AG7084">
        <v>7082</v>
      </c>
    </row>
    <row r="7085" spans="33:33" x14ac:dyDescent="0.25">
      <c r="AG7085">
        <v>7083</v>
      </c>
    </row>
    <row r="7086" spans="33:33" x14ac:dyDescent="0.25">
      <c r="AG7086">
        <v>7084</v>
      </c>
    </row>
    <row r="7087" spans="33:33" x14ac:dyDescent="0.25">
      <c r="AG7087">
        <v>7085</v>
      </c>
    </row>
    <row r="7088" spans="33:33" x14ac:dyDescent="0.25">
      <c r="AG7088">
        <v>7086</v>
      </c>
    </row>
    <row r="7089" spans="33:33" x14ac:dyDescent="0.25">
      <c r="AG7089">
        <v>7087</v>
      </c>
    </row>
    <row r="7090" spans="33:33" x14ac:dyDescent="0.25">
      <c r="AG7090">
        <v>7088</v>
      </c>
    </row>
    <row r="7091" spans="33:33" x14ac:dyDescent="0.25">
      <c r="AG7091">
        <v>7089</v>
      </c>
    </row>
    <row r="7092" spans="33:33" x14ac:dyDescent="0.25">
      <c r="AG7092">
        <v>7090</v>
      </c>
    </row>
    <row r="7093" spans="33:33" x14ac:dyDescent="0.25">
      <c r="AG7093">
        <v>7091</v>
      </c>
    </row>
    <row r="7094" spans="33:33" x14ac:dyDescent="0.25">
      <c r="AG7094">
        <v>7092</v>
      </c>
    </row>
    <row r="7095" spans="33:33" x14ac:dyDescent="0.25">
      <c r="AG7095">
        <v>7093</v>
      </c>
    </row>
    <row r="7096" spans="33:33" x14ac:dyDescent="0.25">
      <c r="AG7096">
        <v>7094</v>
      </c>
    </row>
    <row r="7097" spans="33:33" x14ac:dyDescent="0.25">
      <c r="AG7097">
        <v>7095</v>
      </c>
    </row>
    <row r="7098" spans="33:33" x14ac:dyDescent="0.25">
      <c r="AG7098">
        <v>7096</v>
      </c>
    </row>
    <row r="7099" spans="33:33" x14ac:dyDescent="0.25">
      <c r="AG7099">
        <v>7097</v>
      </c>
    </row>
    <row r="7100" spans="33:33" x14ac:dyDescent="0.25">
      <c r="AG7100">
        <v>7098</v>
      </c>
    </row>
    <row r="7101" spans="33:33" x14ac:dyDescent="0.25">
      <c r="AG7101">
        <v>7099</v>
      </c>
    </row>
    <row r="7102" spans="33:33" x14ac:dyDescent="0.25">
      <c r="AG7102">
        <v>7100</v>
      </c>
    </row>
    <row r="7103" spans="33:33" x14ac:dyDescent="0.25">
      <c r="AG7103">
        <v>7101</v>
      </c>
    </row>
    <row r="7104" spans="33:33" x14ac:dyDescent="0.25">
      <c r="AG7104">
        <v>7102</v>
      </c>
    </row>
    <row r="7105" spans="33:33" x14ac:dyDescent="0.25">
      <c r="AG7105">
        <v>7103</v>
      </c>
    </row>
    <row r="7106" spans="33:33" x14ac:dyDescent="0.25">
      <c r="AG7106">
        <v>7104</v>
      </c>
    </row>
    <row r="7107" spans="33:33" x14ac:dyDescent="0.25">
      <c r="AG7107">
        <v>7105</v>
      </c>
    </row>
    <row r="7108" spans="33:33" x14ac:dyDescent="0.25">
      <c r="AG7108">
        <v>7106</v>
      </c>
    </row>
    <row r="7109" spans="33:33" x14ac:dyDescent="0.25">
      <c r="AG7109">
        <v>7107</v>
      </c>
    </row>
    <row r="7110" spans="33:33" x14ac:dyDescent="0.25">
      <c r="AG7110">
        <v>7108</v>
      </c>
    </row>
    <row r="7111" spans="33:33" x14ac:dyDescent="0.25">
      <c r="AG7111">
        <v>7109</v>
      </c>
    </row>
    <row r="7112" spans="33:33" x14ac:dyDescent="0.25">
      <c r="AG7112">
        <v>7110</v>
      </c>
    </row>
    <row r="7113" spans="33:33" x14ac:dyDescent="0.25">
      <c r="AG7113">
        <v>7111</v>
      </c>
    </row>
    <row r="7114" spans="33:33" x14ac:dyDescent="0.25">
      <c r="AG7114">
        <v>7112</v>
      </c>
    </row>
    <row r="7115" spans="33:33" x14ac:dyDescent="0.25">
      <c r="AG7115">
        <v>7113</v>
      </c>
    </row>
    <row r="7116" spans="33:33" x14ac:dyDescent="0.25">
      <c r="AG7116">
        <v>7114</v>
      </c>
    </row>
    <row r="7117" spans="33:33" x14ac:dyDescent="0.25">
      <c r="AG7117">
        <v>7115</v>
      </c>
    </row>
    <row r="7118" spans="33:33" x14ac:dyDescent="0.25">
      <c r="AG7118">
        <v>7116</v>
      </c>
    </row>
    <row r="7119" spans="33:33" x14ac:dyDescent="0.25">
      <c r="AG7119">
        <v>7117</v>
      </c>
    </row>
    <row r="7120" spans="33:33" x14ac:dyDescent="0.25">
      <c r="AG7120">
        <v>7118</v>
      </c>
    </row>
    <row r="7121" spans="33:33" x14ac:dyDescent="0.25">
      <c r="AG7121">
        <v>7119</v>
      </c>
    </row>
    <row r="7122" spans="33:33" x14ac:dyDescent="0.25">
      <c r="AG7122">
        <v>7120</v>
      </c>
    </row>
    <row r="7123" spans="33:33" x14ac:dyDescent="0.25">
      <c r="AG7123">
        <v>7121</v>
      </c>
    </row>
    <row r="7124" spans="33:33" x14ac:dyDescent="0.25">
      <c r="AG7124">
        <v>7122</v>
      </c>
    </row>
    <row r="7125" spans="33:33" x14ac:dyDescent="0.25">
      <c r="AG7125">
        <v>7123</v>
      </c>
    </row>
    <row r="7126" spans="33:33" x14ac:dyDescent="0.25">
      <c r="AG7126">
        <v>7124</v>
      </c>
    </row>
    <row r="7127" spans="33:33" x14ac:dyDescent="0.25">
      <c r="AG7127">
        <v>7125</v>
      </c>
    </row>
    <row r="7128" spans="33:33" x14ac:dyDescent="0.25">
      <c r="AG7128">
        <v>7126</v>
      </c>
    </row>
    <row r="7129" spans="33:33" x14ac:dyDescent="0.25">
      <c r="AG7129">
        <v>7127</v>
      </c>
    </row>
    <row r="7130" spans="33:33" x14ac:dyDescent="0.25">
      <c r="AG7130">
        <v>7128</v>
      </c>
    </row>
    <row r="7131" spans="33:33" x14ac:dyDescent="0.25">
      <c r="AG7131">
        <v>7129</v>
      </c>
    </row>
    <row r="7132" spans="33:33" x14ac:dyDescent="0.25">
      <c r="AG7132">
        <v>7130</v>
      </c>
    </row>
    <row r="7133" spans="33:33" x14ac:dyDescent="0.25">
      <c r="AG7133">
        <v>7131</v>
      </c>
    </row>
    <row r="7134" spans="33:33" x14ac:dyDescent="0.25">
      <c r="AG7134">
        <v>7132</v>
      </c>
    </row>
    <row r="7135" spans="33:33" x14ac:dyDescent="0.25">
      <c r="AG7135">
        <v>7133</v>
      </c>
    </row>
    <row r="7136" spans="33:33" x14ac:dyDescent="0.25">
      <c r="AG7136">
        <v>7134</v>
      </c>
    </row>
    <row r="7137" spans="33:33" x14ac:dyDescent="0.25">
      <c r="AG7137">
        <v>7135</v>
      </c>
    </row>
    <row r="7138" spans="33:33" x14ac:dyDescent="0.25">
      <c r="AG7138">
        <v>7136</v>
      </c>
    </row>
    <row r="7139" spans="33:33" x14ac:dyDescent="0.25">
      <c r="AG7139">
        <v>7137</v>
      </c>
    </row>
    <row r="7140" spans="33:33" x14ac:dyDescent="0.25">
      <c r="AG7140">
        <v>7138</v>
      </c>
    </row>
    <row r="7141" spans="33:33" x14ac:dyDescent="0.25">
      <c r="AG7141">
        <v>7139</v>
      </c>
    </row>
    <row r="7142" spans="33:33" x14ac:dyDescent="0.25">
      <c r="AG7142">
        <v>7140</v>
      </c>
    </row>
    <row r="7143" spans="33:33" x14ac:dyDescent="0.25">
      <c r="AG7143">
        <v>7141</v>
      </c>
    </row>
    <row r="7144" spans="33:33" x14ac:dyDescent="0.25">
      <c r="AG7144">
        <v>7142</v>
      </c>
    </row>
    <row r="7145" spans="33:33" x14ac:dyDescent="0.25">
      <c r="AG7145">
        <v>7143</v>
      </c>
    </row>
    <row r="7146" spans="33:33" x14ac:dyDescent="0.25">
      <c r="AG7146">
        <v>7144</v>
      </c>
    </row>
    <row r="7147" spans="33:33" x14ac:dyDescent="0.25">
      <c r="AG7147">
        <v>7145</v>
      </c>
    </row>
    <row r="7148" spans="33:33" x14ac:dyDescent="0.25">
      <c r="AG7148">
        <v>7146</v>
      </c>
    </row>
    <row r="7149" spans="33:33" x14ac:dyDescent="0.25">
      <c r="AG7149">
        <v>7147</v>
      </c>
    </row>
    <row r="7150" spans="33:33" x14ac:dyDescent="0.25">
      <c r="AG7150">
        <v>7148</v>
      </c>
    </row>
    <row r="7151" spans="33:33" x14ac:dyDescent="0.25">
      <c r="AG7151">
        <v>7149</v>
      </c>
    </row>
    <row r="7152" spans="33:33" x14ac:dyDescent="0.25">
      <c r="AG7152">
        <v>7150</v>
      </c>
    </row>
    <row r="7153" spans="33:33" x14ac:dyDescent="0.25">
      <c r="AG7153">
        <v>7151</v>
      </c>
    </row>
    <row r="7154" spans="33:33" x14ac:dyDescent="0.25">
      <c r="AG7154">
        <v>7152</v>
      </c>
    </row>
    <row r="7155" spans="33:33" x14ac:dyDescent="0.25">
      <c r="AG7155">
        <v>7153</v>
      </c>
    </row>
    <row r="7156" spans="33:33" x14ac:dyDescent="0.25">
      <c r="AG7156">
        <v>7154</v>
      </c>
    </row>
    <row r="7157" spans="33:33" x14ac:dyDescent="0.25">
      <c r="AG7157">
        <v>7155</v>
      </c>
    </row>
    <row r="7158" spans="33:33" x14ac:dyDescent="0.25">
      <c r="AG7158">
        <v>7156</v>
      </c>
    </row>
    <row r="7159" spans="33:33" x14ac:dyDescent="0.25">
      <c r="AG7159">
        <v>7157</v>
      </c>
    </row>
    <row r="7160" spans="33:33" x14ac:dyDescent="0.25">
      <c r="AG7160">
        <v>7158</v>
      </c>
    </row>
    <row r="7161" spans="33:33" x14ac:dyDescent="0.25">
      <c r="AG7161">
        <v>7159</v>
      </c>
    </row>
    <row r="7162" spans="33:33" x14ac:dyDescent="0.25">
      <c r="AG7162">
        <v>7160</v>
      </c>
    </row>
    <row r="7163" spans="33:33" x14ac:dyDescent="0.25">
      <c r="AG7163">
        <v>7161</v>
      </c>
    </row>
    <row r="7164" spans="33:33" x14ac:dyDescent="0.25">
      <c r="AG7164">
        <v>7162</v>
      </c>
    </row>
    <row r="7165" spans="33:33" x14ac:dyDescent="0.25">
      <c r="AG7165">
        <v>7163</v>
      </c>
    </row>
    <row r="7166" spans="33:33" x14ac:dyDescent="0.25">
      <c r="AG7166">
        <v>7164</v>
      </c>
    </row>
    <row r="7167" spans="33:33" x14ac:dyDescent="0.25">
      <c r="AG7167">
        <v>7165</v>
      </c>
    </row>
    <row r="7168" spans="33:33" x14ac:dyDescent="0.25">
      <c r="AG7168">
        <v>7166</v>
      </c>
    </row>
    <row r="7169" spans="33:33" x14ac:dyDescent="0.25">
      <c r="AG7169">
        <v>7167</v>
      </c>
    </row>
    <row r="7170" spans="33:33" x14ac:dyDescent="0.25">
      <c r="AG7170">
        <v>7168</v>
      </c>
    </row>
    <row r="7171" spans="33:33" x14ac:dyDescent="0.25">
      <c r="AG7171">
        <v>7169</v>
      </c>
    </row>
    <row r="7172" spans="33:33" x14ac:dyDescent="0.25">
      <c r="AG7172">
        <v>7170</v>
      </c>
    </row>
    <row r="7173" spans="33:33" x14ac:dyDescent="0.25">
      <c r="AG7173">
        <v>7171</v>
      </c>
    </row>
    <row r="7174" spans="33:33" x14ac:dyDescent="0.25">
      <c r="AG7174">
        <v>7172</v>
      </c>
    </row>
    <row r="7175" spans="33:33" x14ac:dyDescent="0.25">
      <c r="AG7175">
        <v>7173</v>
      </c>
    </row>
    <row r="7176" spans="33:33" x14ac:dyDescent="0.25">
      <c r="AG7176">
        <v>7174</v>
      </c>
    </row>
    <row r="7177" spans="33:33" x14ac:dyDescent="0.25">
      <c r="AG7177">
        <v>7175</v>
      </c>
    </row>
    <row r="7178" spans="33:33" x14ac:dyDescent="0.25">
      <c r="AG7178">
        <v>7176</v>
      </c>
    </row>
    <row r="7179" spans="33:33" x14ac:dyDescent="0.25">
      <c r="AG7179">
        <v>7177</v>
      </c>
    </row>
    <row r="7180" spans="33:33" x14ac:dyDescent="0.25">
      <c r="AG7180">
        <v>7178</v>
      </c>
    </row>
    <row r="7181" spans="33:33" x14ac:dyDescent="0.25">
      <c r="AG7181">
        <v>7179</v>
      </c>
    </row>
    <row r="7182" spans="33:33" x14ac:dyDescent="0.25">
      <c r="AG7182">
        <v>7180</v>
      </c>
    </row>
    <row r="7183" spans="33:33" x14ac:dyDescent="0.25">
      <c r="AG7183">
        <v>7181</v>
      </c>
    </row>
    <row r="7184" spans="33:33" x14ac:dyDescent="0.25">
      <c r="AG7184">
        <v>7182</v>
      </c>
    </row>
    <row r="7185" spans="33:33" x14ac:dyDescent="0.25">
      <c r="AG7185">
        <v>7183</v>
      </c>
    </row>
    <row r="7186" spans="33:33" x14ac:dyDescent="0.25">
      <c r="AG7186">
        <v>7184</v>
      </c>
    </row>
    <row r="7187" spans="33:33" x14ac:dyDescent="0.25">
      <c r="AG7187">
        <v>7185</v>
      </c>
    </row>
    <row r="7188" spans="33:33" x14ac:dyDescent="0.25">
      <c r="AG7188">
        <v>7186</v>
      </c>
    </row>
    <row r="7189" spans="33:33" x14ac:dyDescent="0.25">
      <c r="AG7189">
        <v>7187</v>
      </c>
    </row>
    <row r="7190" spans="33:33" x14ac:dyDescent="0.25">
      <c r="AG7190">
        <v>7188</v>
      </c>
    </row>
    <row r="7191" spans="33:33" x14ac:dyDescent="0.25">
      <c r="AG7191">
        <v>7189</v>
      </c>
    </row>
    <row r="7192" spans="33:33" x14ac:dyDescent="0.25">
      <c r="AG7192">
        <v>7190</v>
      </c>
    </row>
    <row r="7193" spans="33:33" x14ac:dyDescent="0.25">
      <c r="AG7193">
        <v>7191</v>
      </c>
    </row>
    <row r="7194" spans="33:33" x14ac:dyDescent="0.25">
      <c r="AG7194">
        <v>7192</v>
      </c>
    </row>
    <row r="7195" spans="33:33" x14ac:dyDescent="0.25">
      <c r="AG7195">
        <v>7193</v>
      </c>
    </row>
    <row r="7196" spans="33:33" x14ac:dyDescent="0.25">
      <c r="AG7196">
        <v>7194</v>
      </c>
    </row>
    <row r="7197" spans="33:33" x14ac:dyDescent="0.25">
      <c r="AG7197">
        <v>7195</v>
      </c>
    </row>
    <row r="7198" spans="33:33" x14ac:dyDescent="0.25">
      <c r="AG7198">
        <v>7196</v>
      </c>
    </row>
    <row r="7199" spans="33:33" x14ac:dyDescent="0.25">
      <c r="AG7199">
        <v>7197</v>
      </c>
    </row>
    <row r="7200" spans="33:33" x14ac:dyDescent="0.25">
      <c r="AG7200">
        <v>7198</v>
      </c>
    </row>
    <row r="7201" spans="33:33" x14ac:dyDescent="0.25">
      <c r="AG7201">
        <v>7199</v>
      </c>
    </row>
    <row r="7202" spans="33:33" x14ac:dyDescent="0.25">
      <c r="AG7202">
        <v>7200</v>
      </c>
    </row>
    <row r="7203" spans="33:33" x14ac:dyDescent="0.25">
      <c r="AG7203">
        <v>7201</v>
      </c>
    </row>
    <row r="7204" spans="33:33" x14ac:dyDescent="0.25">
      <c r="AG7204">
        <v>7202</v>
      </c>
    </row>
    <row r="7205" spans="33:33" x14ac:dyDescent="0.25">
      <c r="AG7205">
        <v>7203</v>
      </c>
    </row>
    <row r="7206" spans="33:33" x14ac:dyDescent="0.25">
      <c r="AG7206">
        <v>7204</v>
      </c>
    </row>
    <row r="7207" spans="33:33" x14ac:dyDescent="0.25">
      <c r="AG7207">
        <v>7205</v>
      </c>
    </row>
    <row r="7208" spans="33:33" x14ac:dyDescent="0.25">
      <c r="AG7208">
        <v>7206</v>
      </c>
    </row>
    <row r="7209" spans="33:33" x14ac:dyDescent="0.25">
      <c r="AG7209">
        <v>7207</v>
      </c>
    </row>
    <row r="7210" spans="33:33" x14ac:dyDescent="0.25">
      <c r="AG7210">
        <v>7208</v>
      </c>
    </row>
    <row r="7211" spans="33:33" x14ac:dyDescent="0.25">
      <c r="AG7211">
        <v>7209</v>
      </c>
    </row>
    <row r="7212" spans="33:33" x14ac:dyDescent="0.25">
      <c r="AG7212">
        <v>7210</v>
      </c>
    </row>
    <row r="7213" spans="33:33" x14ac:dyDescent="0.25">
      <c r="AG7213">
        <v>7211</v>
      </c>
    </row>
    <row r="7214" spans="33:33" x14ac:dyDescent="0.25">
      <c r="AG7214">
        <v>7212</v>
      </c>
    </row>
    <row r="7215" spans="33:33" x14ac:dyDescent="0.25">
      <c r="AG7215">
        <v>7213</v>
      </c>
    </row>
    <row r="7216" spans="33:33" x14ac:dyDescent="0.25">
      <c r="AG7216">
        <v>7214</v>
      </c>
    </row>
    <row r="7217" spans="33:33" x14ac:dyDescent="0.25">
      <c r="AG7217">
        <v>7215</v>
      </c>
    </row>
    <row r="7218" spans="33:33" x14ac:dyDescent="0.25">
      <c r="AG7218">
        <v>7216</v>
      </c>
    </row>
    <row r="7219" spans="33:33" x14ac:dyDescent="0.25">
      <c r="AG7219">
        <v>7217</v>
      </c>
    </row>
    <row r="7220" spans="33:33" x14ac:dyDescent="0.25">
      <c r="AG7220">
        <v>7218</v>
      </c>
    </row>
    <row r="7221" spans="33:33" x14ac:dyDescent="0.25">
      <c r="AG7221">
        <v>7219</v>
      </c>
    </row>
    <row r="7222" spans="33:33" x14ac:dyDescent="0.25">
      <c r="AG7222">
        <v>7220</v>
      </c>
    </row>
    <row r="7223" spans="33:33" x14ac:dyDescent="0.25">
      <c r="AG7223">
        <v>7221</v>
      </c>
    </row>
    <row r="7224" spans="33:33" x14ac:dyDescent="0.25">
      <c r="AG7224">
        <v>7222</v>
      </c>
    </row>
    <row r="7225" spans="33:33" x14ac:dyDescent="0.25">
      <c r="AG7225">
        <v>7223</v>
      </c>
    </row>
    <row r="7226" spans="33:33" x14ac:dyDescent="0.25">
      <c r="AG7226">
        <v>7224</v>
      </c>
    </row>
    <row r="7227" spans="33:33" x14ac:dyDescent="0.25">
      <c r="AG7227">
        <v>7225</v>
      </c>
    </row>
    <row r="7228" spans="33:33" x14ac:dyDescent="0.25">
      <c r="AG7228">
        <v>7226</v>
      </c>
    </row>
    <row r="7229" spans="33:33" x14ac:dyDescent="0.25">
      <c r="AG7229">
        <v>7227</v>
      </c>
    </row>
    <row r="7230" spans="33:33" x14ac:dyDescent="0.25">
      <c r="AG7230">
        <v>7228</v>
      </c>
    </row>
    <row r="7231" spans="33:33" x14ac:dyDescent="0.25">
      <c r="AG7231">
        <v>7229</v>
      </c>
    </row>
    <row r="7232" spans="33:33" x14ac:dyDescent="0.25">
      <c r="AG7232">
        <v>7230</v>
      </c>
    </row>
    <row r="7233" spans="33:33" x14ac:dyDescent="0.25">
      <c r="AG7233">
        <v>7231</v>
      </c>
    </row>
    <row r="7234" spans="33:33" x14ac:dyDescent="0.25">
      <c r="AG7234">
        <v>7232</v>
      </c>
    </row>
    <row r="7235" spans="33:33" x14ac:dyDescent="0.25">
      <c r="AG7235">
        <v>7233</v>
      </c>
    </row>
    <row r="7236" spans="33:33" x14ac:dyDescent="0.25">
      <c r="AG7236">
        <v>7234</v>
      </c>
    </row>
    <row r="7237" spans="33:33" x14ac:dyDescent="0.25">
      <c r="AG7237">
        <v>7235</v>
      </c>
    </row>
    <row r="7238" spans="33:33" x14ac:dyDescent="0.25">
      <c r="AG7238">
        <v>7236</v>
      </c>
    </row>
    <row r="7239" spans="33:33" x14ac:dyDescent="0.25">
      <c r="AG7239">
        <v>7237</v>
      </c>
    </row>
    <row r="7240" spans="33:33" x14ac:dyDescent="0.25">
      <c r="AG7240">
        <v>7238</v>
      </c>
    </row>
    <row r="7241" spans="33:33" x14ac:dyDescent="0.25">
      <c r="AG7241">
        <v>7239</v>
      </c>
    </row>
    <row r="7242" spans="33:33" x14ac:dyDescent="0.25">
      <c r="AG7242">
        <v>7240</v>
      </c>
    </row>
    <row r="7243" spans="33:33" x14ac:dyDescent="0.25">
      <c r="AG7243">
        <v>7241</v>
      </c>
    </row>
    <row r="7244" spans="33:33" x14ac:dyDescent="0.25">
      <c r="AG7244">
        <v>7242</v>
      </c>
    </row>
    <row r="7245" spans="33:33" x14ac:dyDescent="0.25">
      <c r="AG7245">
        <v>7243</v>
      </c>
    </row>
    <row r="7246" spans="33:33" x14ac:dyDescent="0.25">
      <c r="AG7246">
        <v>7244</v>
      </c>
    </row>
    <row r="7247" spans="33:33" x14ac:dyDescent="0.25">
      <c r="AG7247">
        <v>7245</v>
      </c>
    </row>
    <row r="7248" spans="33:33" x14ac:dyDescent="0.25">
      <c r="AG7248">
        <v>7246</v>
      </c>
    </row>
    <row r="7249" spans="33:33" x14ac:dyDescent="0.25">
      <c r="AG7249">
        <v>7247</v>
      </c>
    </row>
    <row r="7250" spans="33:33" x14ac:dyDescent="0.25">
      <c r="AG7250">
        <v>7248</v>
      </c>
    </row>
    <row r="7251" spans="33:33" x14ac:dyDescent="0.25">
      <c r="AG7251">
        <v>7249</v>
      </c>
    </row>
    <row r="7252" spans="33:33" x14ac:dyDescent="0.25">
      <c r="AG7252">
        <v>7250</v>
      </c>
    </row>
    <row r="7253" spans="33:33" x14ac:dyDescent="0.25">
      <c r="AG7253">
        <v>7251</v>
      </c>
    </row>
    <row r="7254" spans="33:33" x14ac:dyDescent="0.25">
      <c r="AG7254">
        <v>7252</v>
      </c>
    </row>
    <row r="7255" spans="33:33" x14ac:dyDescent="0.25">
      <c r="AG7255">
        <v>7253</v>
      </c>
    </row>
    <row r="7256" spans="33:33" x14ac:dyDescent="0.25">
      <c r="AG7256">
        <v>7254</v>
      </c>
    </row>
    <row r="7257" spans="33:33" x14ac:dyDescent="0.25">
      <c r="AG7257">
        <v>7255</v>
      </c>
    </row>
    <row r="7258" spans="33:33" x14ac:dyDescent="0.25">
      <c r="AG7258">
        <v>7256</v>
      </c>
    </row>
    <row r="7259" spans="33:33" x14ac:dyDescent="0.25">
      <c r="AG7259">
        <v>7257</v>
      </c>
    </row>
    <row r="7260" spans="33:33" x14ac:dyDescent="0.25">
      <c r="AG7260">
        <v>7258</v>
      </c>
    </row>
    <row r="7261" spans="33:33" x14ac:dyDescent="0.25">
      <c r="AG7261">
        <v>7259</v>
      </c>
    </row>
    <row r="7262" spans="33:33" x14ac:dyDescent="0.25">
      <c r="AG7262">
        <v>7260</v>
      </c>
    </row>
    <row r="7263" spans="33:33" x14ac:dyDescent="0.25">
      <c r="AG7263">
        <v>7261</v>
      </c>
    </row>
    <row r="7264" spans="33:33" x14ac:dyDescent="0.25">
      <c r="AG7264">
        <v>7262</v>
      </c>
    </row>
    <row r="7265" spans="33:33" x14ac:dyDescent="0.25">
      <c r="AG7265">
        <v>7263</v>
      </c>
    </row>
    <row r="7266" spans="33:33" x14ac:dyDescent="0.25">
      <c r="AG7266">
        <v>7264</v>
      </c>
    </row>
    <row r="7267" spans="33:33" x14ac:dyDescent="0.25">
      <c r="AG7267">
        <v>7265</v>
      </c>
    </row>
    <row r="7268" spans="33:33" x14ac:dyDescent="0.25">
      <c r="AG7268">
        <v>7266</v>
      </c>
    </row>
    <row r="7269" spans="33:33" x14ac:dyDescent="0.25">
      <c r="AG7269">
        <v>7267</v>
      </c>
    </row>
    <row r="7270" spans="33:33" x14ac:dyDescent="0.25">
      <c r="AG7270">
        <v>7268</v>
      </c>
    </row>
    <row r="7271" spans="33:33" x14ac:dyDescent="0.25">
      <c r="AG7271">
        <v>7269</v>
      </c>
    </row>
    <row r="7272" spans="33:33" x14ac:dyDescent="0.25">
      <c r="AG7272">
        <v>7270</v>
      </c>
    </row>
    <row r="7273" spans="33:33" x14ac:dyDescent="0.25">
      <c r="AG7273">
        <v>7271</v>
      </c>
    </row>
    <row r="7274" spans="33:33" x14ac:dyDescent="0.25">
      <c r="AG7274">
        <v>7272</v>
      </c>
    </row>
    <row r="7275" spans="33:33" x14ac:dyDescent="0.25">
      <c r="AG7275">
        <v>7273</v>
      </c>
    </row>
    <row r="7276" spans="33:33" x14ac:dyDescent="0.25">
      <c r="AG7276">
        <v>7274</v>
      </c>
    </row>
    <row r="7277" spans="33:33" x14ac:dyDescent="0.25">
      <c r="AG7277">
        <v>7275</v>
      </c>
    </row>
    <row r="7278" spans="33:33" x14ac:dyDescent="0.25">
      <c r="AG7278">
        <v>7276</v>
      </c>
    </row>
    <row r="7279" spans="33:33" x14ac:dyDescent="0.25">
      <c r="AG7279">
        <v>7277</v>
      </c>
    </row>
    <row r="7280" spans="33:33" x14ac:dyDescent="0.25">
      <c r="AG7280">
        <v>7278</v>
      </c>
    </row>
    <row r="7281" spans="33:33" x14ac:dyDescent="0.25">
      <c r="AG7281">
        <v>7279</v>
      </c>
    </row>
    <row r="7282" spans="33:33" x14ac:dyDescent="0.25">
      <c r="AG7282">
        <v>7280</v>
      </c>
    </row>
    <row r="7283" spans="33:33" x14ac:dyDescent="0.25">
      <c r="AG7283">
        <v>7281</v>
      </c>
    </row>
    <row r="7284" spans="33:33" x14ac:dyDescent="0.25">
      <c r="AG7284">
        <v>7282</v>
      </c>
    </row>
    <row r="7285" spans="33:33" x14ac:dyDescent="0.25">
      <c r="AG7285">
        <v>7283</v>
      </c>
    </row>
    <row r="7286" spans="33:33" x14ac:dyDescent="0.25">
      <c r="AG7286">
        <v>7284</v>
      </c>
    </row>
    <row r="7287" spans="33:33" x14ac:dyDescent="0.25">
      <c r="AG7287">
        <v>7285</v>
      </c>
    </row>
    <row r="7288" spans="33:33" x14ac:dyDescent="0.25">
      <c r="AG7288">
        <v>7286</v>
      </c>
    </row>
    <row r="7289" spans="33:33" x14ac:dyDescent="0.25">
      <c r="AG7289">
        <v>7287</v>
      </c>
    </row>
    <row r="7290" spans="33:33" x14ac:dyDescent="0.25">
      <c r="AG7290">
        <v>7288</v>
      </c>
    </row>
    <row r="7291" spans="33:33" x14ac:dyDescent="0.25">
      <c r="AG7291">
        <v>7289</v>
      </c>
    </row>
    <row r="7292" spans="33:33" x14ac:dyDescent="0.25">
      <c r="AG7292">
        <v>7290</v>
      </c>
    </row>
    <row r="7293" spans="33:33" x14ac:dyDescent="0.25">
      <c r="AG7293">
        <v>7291</v>
      </c>
    </row>
    <row r="7294" spans="33:33" x14ac:dyDescent="0.25">
      <c r="AG7294">
        <v>7292</v>
      </c>
    </row>
    <row r="7295" spans="33:33" x14ac:dyDescent="0.25">
      <c r="AG7295">
        <v>7293</v>
      </c>
    </row>
    <row r="7296" spans="33:33" x14ac:dyDescent="0.25">
      <c r="AG7296">
        <v>7294</v>
      </c>
    </row>
    <row r="7297" spans="33:33" x14ac:dyDescent="0.25">
      <c r="AG7297">
        <v>7295</v>
      </c>
    </row>
    <row r="7298" spans="33:33" x14ac:dyDescent="0.25">
      <c r="AG7298">
        <v>7296</v>
      </c>
    </row>
    <row r="7299" spans="33:33" x14ac:dyDescent="0.25">
      <c r="AG7299">
        <v>7297</v>
      </c>
    </row>
    <row r="7300" spans="33:33" x14ac:dyDescent="0.25">
      <c r="AG7300">
        <v>7298</v>
      </c>
    </row>
    <row r="7301" spans="33:33" x14ac:dyDescent="0.25">
      <c r="AG7301">
        <v>7299</v>
      </c>
    </row>
    <row r="7302" spans="33:33" x14ac:dyDescent="0.25">
      <c r="AG7302">
        <v>7300</v>
      </c>
    </row>
    <row r="7303" spans="33:33" x14ac:dyDescent="0.25">
      <c r="AG7303">
        <v>7301</v>
      </c>
    </row>
    <row r="7304" spans="33:33" x14ac:dyDescent="0.25">
      <c r="AG7304">
        <v>7302</v>
      </c>
    </row>
    <row r="7305" spans="33:33" x14ac:dyDescent="0.25">
      <c r="AG7305">
        <v>7303</v>
      </c>
    </row>
    <row r="7306" spans="33:33" x14ac:dyDescent="0.25">
      <c r="AG7306">
        <v>7304</v>
      </c>
    </row>
    <row r="7307" spans="33:33" x14ac:dyDescent="0.25">
      <c r="AG7307">
        <v>7305</v>
      </c>
    </row>
    <row r="7308" spans="33:33" x14ac:dyDescent="0.25">
      <c r="AG7308">
        <v>7306</v>
      </c>
    </row>
    <row r="7309" spans="33:33" x14ac:dyDescent="0.25">
      <c r="AG7309">
        <v>7307</v>
      </c>
    </row>
    <row r="7310" spans="33:33" x14ac:dyDescent="0.25">
      <c r="AG7310">
        <v>7308</v>
      </c>
    </row>
    <row r="7311" spans="33:33" x14ac:dyDescent="0.25">
      <c r="AG7311">
        <v>7309</v>
      </c>
    </row>
    <row r="7312" spans="33:33" x14ac:dyDescent="0.25">
      <c r="AG7312">
        <v>7310</v>
      </c>
    </row>
    <row r="7313" spans="33:33" x14ac:dyDescent="0.25">
      <c r="AG7313">
        <v>7311</v>
      </c>
    </row>
    <row r="7314" spans="33:33" x14ac:dyDescent="0.25">
      <c r="AG7314">
        <v>7312</v>
      </c>
    </row>
    <row r="7315" spans="33:33" x14ac:dyDescent="0.25">
      <c r="AG7315">
        <v>7313</v>
      </c>
    </row>
    <row r="7316" spans="33:33" x14ac:dyDescent="0.25">
      <c r="AG7316">
        <v>7314</v>
      </c>
    </row>
    <row r="7317" spans="33:33" x14ac:dyDescent="0.25">
      <c r="AG7317">
        <v>7315</v>
      </c>
    </row>
    <row r="7318" spans="33:33" x14ac:dyDescent="0.25">
      <c r="AG7318">
        <v>7316</v>
      </c>
    </row>
    <row r="7319" spans="33:33" x14ac:dyDescent="0.25">
      <c r="AG7319">
        <v>7317</v>
      </c>
    </row>
    <row r="7320" spans="33:33" x14ac:dyDescent="0.25">
      <c r="AG7320">
        <v>7318</v>
      </c>
    </row>
    <row r="7321" spans="33:33" x14ac:dyDescent="0.25">
      <c r="AG7321">
        <v>7319</v>
      </c>
    </row>
    <row r="7322" spans="33:33" x14ac:dyDescent="0.25">
      <c r="AG7322">
        <v>7320</v>
      </c>
    </row>
    <row r="7323" spans="33:33" x14ac:dyDescent="0.25">
      <c r="AG7323">
        <v>7321</v>
      </c>
    </row>
    <row r="7324" spans="33:33" x14ac:dyDescent="0.25">
      <c r="AG7324">
        <v>7322</v>
      </c>
    </row>
    <row r="7325" spans="33:33" x14ac:dyDescent="0.25">
      <c r="AG7325">
        <v>7323</v>
      </c>
    </row>
    <row r="7326" spans="33:33" x14ac:dyDescent="0.25">
      <c r="AG7326">
        <v>7324</v>
      </c>
    </row>
    <row r="7327" spans="33:33" x14ac:dyDescent="0.25">
      <c r="AG7327">
        <v>7325</v>
      </c>
    </row>
    <row r="7328" spans="33:33" x14ac:dyDescent="0.25">
      <c r="AG7328">
        <v>7326</v>
      </c>
    </row>
    <row r="7329" spans="33:33" x14ac:dyDescent="0.25">
      <c r="AG7329">
        <v>7327</v>
      </c>
    </row>
    <row r="7330" spans="33:33" x14ac:dyDescent="0.25">
      <c r="AG7330">
        <v>7328</v>
      </c>
    </row>
    <row r="7331" spans="33:33" x14ac:dyDescent="0.25">
      <c r="AG7331">
        <v>7329</v>
      </c>
    </row>
    <row r="7332" spans="33:33" x14ac:dyDescent="0.25">
      <c r="AG7332">
        <v>7330</v>
      </c>
    </row>
    <row r="7333" spans="33:33" x14ac:dyDescent="0.25">
      <c r="AG7333">
        <v>7331</v>
      </c>
    </row>
    <row r="7334" spans="33:33" x14ac:dyDescent="0.25">
      <c r="AG7334">
        <v>7332</v>
      </c>
    </row>
    <row r="7335" spans="33:33" x14ac:dyDescent="0.25">
      <c r="AG7335">
        <v>7333</v>
      </c>
    </row>
    <row r="7336" spans="33:33" x14ac:dyDescent="0.25">
      <c r="AG7336">
        <v>7334</v>
      </c>
    </row>
    <row r="7337" spans="33:33" x14ac:dyDescent="0.25">
      <c r="AG7337">
        <v>7335</v>
      </c>
    </row>
    <row r="7338" spans="33:33" x14ac:dyDescent="0.25">
      <c r="AG7338">
        <v>7336</v>
      </c>
    </row>
    <row r="7339" spans="33:33" x14ac:dyDescent="0.25">
      <c r="AG7339">
        <v>7337</v>
      </c>
    </row>
    <row r="7340" spans="33:33" x14ac:dyDescent="0.25">
      <c r="AG7340">
        <v>7338</v>
      </c>
    </row>
    <row r="7341" spans="33:33" x14ac:dyDescent="0.25">
      <c r="AG7341">
        <v>7339</v>
      </c>
    </row>
    <row r="7342" spans="33:33" x14ac:dyDescent="0.25">
      <c r="AG7342">
        <v>7340</v>
      </c>
    </row>
    <row r="7343" spans="33:33" x14ac:dyDescent="0.25">
      <c r="AG7343">
        <v>7341</v>
      </c>
    </row>
    <row r="7344" spans="33:33" x14ac:dyDescent="0.25">
      <c r="AG7344">
        <v>7342</v>
      </c>
    </row>
    <row r="7345" spans="33:33" x14ac:dyDescent="0.25">
      <c r="AG7345">
        <v>7343</v>
      </c>
    </row>
    <row r="7346" spans="33:33" x14ac:dyDescent="0.25">
      <c r="AG7346">
        <v>7344</v>
      </c>
    </row>
    <row r="7347" spans="33:33" x14ac:dyDescent="0.25">
      <c r="AG7347">
        <v>7345</v>
      </c>
    </row>
    <row r="7348" spans="33:33" x14ac:dyDescent="0.25">
      <c r="AG7348">
        <v>7346</v>
      </c>
    </row>
    <row r="7349" spans="33:33" x14ac:dyDescent="0.25">
      <c r="AG7349">
        <v>7347</v>
      </c>
    </row>
    <row r="7350" spans="33:33" x14ac:dyDescent="0.25">
      <c r="AG7350">
        <v>7348</v>
      </c>
    </row>
    <row r="7351" spans="33:33" x14ac:dyDescent="0.25">
      <c r="AG7351">
        <v>7349</v>
      </c>
    </row>
    <row r="7352" spans="33:33" x14ac:dyDescent="0.25">
      <c r="AG7352">
        <v>7350</v>
      </c>
    </row>
    <row r="7353" spans="33:33" x14ac:dyDescent="0.25">
      <c r="AG7353">
        <v>7351</v>
      </c>
    </row>
    <row r="7354" spans="33:33" x14ac:dyDescent="0.25">
      <c r="AG7354">
        <v>7352</v>
      </c>
    </row>
    <row r="7355" spans="33:33" x14ac:dyDescent="0.25">
      <c r="AG7355">
        <v>7353</v>
      </c>
    </row>
    <row r="7356" spans="33:33" x14ac:dyDescent="0.25">
      <c r="AG7356">
        <v>7354</v>
      </c>
    </row>
    <row r="7357" spans="33:33" x14ac:dyDescent="0.25">
      <c r="AG7357">
        <v>7355</v>
      </c>
    </row>
    <row r="7358" spans="33:33" x14ac:dyDescent="0.25">
      <c r="AG7358">
        <v>7356</v>
      </c>
    </row>
    <row r="7359" spans="33:33" x14ac:dyDescent="0.25">
      <c r="AG7359">
        <v>7357</v>
      </c>
    </row>
    <row r="7360" spans="33:33" x14ac:dyDescent="0.25">
      <c r="AG7360">
        <v>7358</v>
      </c>
    </row>
    <row r="7361" spans="33:33" x14ac:dyDescent="0.25">
      <c r="AG7361">
        <v>7359</v>
      </c>
    </row>
    <row r="7362" spans="33:33" x14ac:dyDescent="0.25">
      <c r="AG7362">
        <v>7360</v>
      </c>
    </row>
    <row r="7363" spans="33:33" x14ac:dyDescent="0.25">
      <c r="AG7363">
        <v>7361</v>
      </c>
    </row>
    <row r="7364" spans="33:33" x14ac:dyDescent="0.25">
      <c r="AG7364">
        <v>7362</v>
      </c>
    </row>
    <row r="7365" spans="33:33" x14ac:dyDescent="0.25">
      <c r="AG7365">
        <v>7363</v>
      </c>
    </row>
    <row r="7366" spans="33:33" x14ac:dyDescent="0.25">
      <c r="AG7366">
        <v>7364</v>
      </c>
    </row>
    <row r="7367" spans="33:33" x14ac:dyDescent="0.25">
      <c r="AG7367">
        <v>7365</v>
      </c>
    </row>
    <row r="7368" spans="33:33" x14ac:dyDescent="0.25">
      <c r="AG7368">
        <v>7366</v>
      </c>
    </row>
    <row r="7369" spans="33:33" x14ac:dyDescent="0.25">
      <c r="AG7369">
        <v>7367</v>
      </c>
    </row>
    <row r="7370" spans="33:33" x14ac:dyDescent="0.25">
      <c r="AG7370">
        <v>7368</v>
      </c>
    </row>
    <row r="7371" spans="33:33" x14ac:dyDescent="0.25">
      <c r="AG7371">
        <v>7369</v>
      </c>
    </row>
    <row r="7372" spans="33:33" x14ac:dyDescent="0.25">
      <c r="AG7372">
        <v>7370</v>
      </c>
    </row>
    <row r="7373" spans="33:33" x14ac:dyDescent="0.25">
      <c r="AG7373">
        <v>7371</v>
      </c>
    </row>
    <row r="7374" spans="33:33" x14ac:dyDescent="0.25">
      <c r="AG7374">
        <v>7372</v>
      </c>
    </row>
    <row r="7375" spans="33:33" x14ac:dyDescent="0.25">
      <c r="AG7375">
        <v>7373</v>
      </c>
    </row>
    <row r="7376" spans="33:33" x14ac:dyDescent="0.25">
      <c r="AG7376">
        <v>7374</v>
      </c>
    </row>
    <row r="7377" spans="33:33" x14ac:dyDescent="0.25">
      <c r="AG7377">
        <v>7375</v>
      </c>
    </row>
    <row r="7378" spans="33:33" x14ac:dyDescent="0.25">
      <c r="AG7378">
        <v>7376</v>
      </c>
    </row>
    <row r="7379" spans="33:33" x14ac:dyDescent="0.25">
      <c r="AG7379">
        <v>7377</v>
      </c>
    </row>
    <row r="7380" spans="33:33" x14ac:dyDescent="0.25">
      <c r="AG7380">
        <v>7378</v>
      </c>
    </row>
    <row r="7381" spans="33:33" x14ac:dyDescent="0.25">
      <c r="AG7381">
        <v>7379</v>
      </c>
    </row>
    <row r="7382" spans="33:33" x14ac:dyDescent="0.25">
      <c r="AG7382">
        <v>7380</v>
      </c>
    </row>
    <row r="7383" spans="33:33" x14ac:dyDescent="0.25">
      <c r="AG7383">
        <v>7381</v>
      </c>
    </row>
    <row r="7384" spans="33:33" x14ac:dyDescent="0.25">
      <c r="AG7384">
        <v>7382</v>
      </c>
    </row>
    <row r="7385" spans="33:33" x14ac:dyDescent="0.25">
      <c r="AG7385">
        <v>7383</v>
      </c>
    </row>
    <row r="7386" spans="33:33" x14ac:dyDescent="0.25">
      <c r="AG7386">
        <v>7384</v>
      </c>
    </row>
    <row r="7387" spans="33:33" x14ac:dyDescent="0.25">
      <c r="AG7387">
        <v>7385</v>
      </c>
    </row>
    <row r="7388" spans="33:33" x14ac:dyDescent="0.25">
      <c r="AG7388">
        <v>7386</v>
      </c>
    </row>
    <row r="7389" spans="33:33" x14ac:dyDescent="0.25">
      <c r="AG7389">
        <v>7387</v>
      </c>
    </row>
    <row r="7390" spans="33:33" x14ac:dyDescent="0.25">
      <c r="AG7390">
        <v>7388</v>
      </c>
    </row>
    <row r="7391" spans="33:33" x14ac:dyDescent="0.25">
      <c r="AG7391">
        <v>7389</v>
      </c>
    </row>
    <row r="7392" spans="33:33" x14ac:dyDescent="0.25">
      <c r="AG7392">
        <v>7390</v>
      </c>
    </row>
    <row r="7393" spans="33:33" x14ac:dyDescent="0.25">
      <c r="AG7393">
        <v>7391</v>
      </c>
    </row>
    <row r="7394" spans="33:33" x14ac:dyDescent="0.25">
      <c r="AG7394">
        <v>7392</v>
      </c>
    </row>
    <row r="7395" spans="33:33" x14ac:dyDescent="0.25">
      <c r="AG7395">
        <v>7393</v>
      </c>
    </row>
    <row r="7396" spans="33:33" x14ac:dyDescent="0.25">
      <c r="AG7396">
        <v>7394</v>
      </c>
    </row>
    <row r="7397" spans="33:33" x14ac:dyDescent="0.25">
      <c r="AG7397">
        <v>7395</v>
      </c>
    </row>
    <row r="7398" spans="33:33" x14ac:dyDescent="0.25">
      <c r="AG7398">
        <v>7396</v>
      </c>
    </row>
    <row r="7399" spans="33:33" x14ac:dyDescent="0.25">
      <c r="AG7399">
        <v>7397</v>
      </c>
    </row>
    <row r="7400" spans="33:33" x14ac:dyDescent="0.25">
      <c r="AG7400">
        <v>7398</v>
      </c>
    </row>
    <row r="7401" spans="33:33" x14ac:dyDescent="0.25">
      <c r="AG7401">
        <v>7399</v>
      </c>
    </row>
    <row r="7402" spans="33:33" x14ac:dyDescent="0.25">
      <c r="AG7402">
        <v>7400</v>
      </c>
    </row>
    <row r="7403" spans="33:33" x14ac:dyDescent="0.25">
      <c r="AG7403">
        <v>7401</v>
      </c>
    </row>
    <row r="7404" spans="33:33" x14ac:dyDescent="0.25">
      <c r="AG7404">
        <v>7402</v>
      </c>
    </row>
    <row r="7405" spans="33:33" x14ac:dyDescent="0.25">
      <c r="AG7405">
        <v>7403</v>
      </c>
    </row>
    <row r="7406" spans="33:33" x14ac:dyDescent="0.25">
      <c r="AG7406">
        <v>7404</v>
      </c>
    </row>
    <row r="7407" spans="33:33" x14ac:dyDescent="0.25">
      <c r="AG7407">
        <v>7405</v>
      </c>
    </row>
    <row r="7408" spans="33:33" x14ac:dyDescent="0.25">
      <c r="AG7408">
        <v>7406</v>
      </c>
    </row>
    <row r="7409" spans="33:33" x14ac:dyDescent="0.25">
      <c r="AG7409">
        <v>7407</v>
      </c>
    </row>
    <row r="7410" spans="33:33" x14ac:dyDescent="0.25">
      <c r="AG7410">
        <v>7408</v>
      </c>
    </row>
    <row r="7411" spans="33:33" x14ac:dyDescent="0.25">
      <c r="AG7411">
        <v>7409</v>
      </c>
    </row>
    <row r="7412" spans="33:33" x14ac:dyDescent="0.25">
      <c r="AG7412">
        <v>7410</v>
      </c>
    </row>
    <row r="7413" spans="33:33" x14ac:dyDescent="0.25">
      <c r="AG7413">
        <v>7411</v>
      </c>
    </row>
    <row r="7414" spans="33:33" x14ac:dyDescent="0.25">
      <c r="AG7414">
        <v>7412</v>
      </c>
    </row>
    <row r="7415" spans="33:33" x14ac:dyDescent="0.25">
      <c r="AG7415">
        <v>7413</v>
      </c>
    </row>
    <row r="7416" spans="33:33" x14ac:dyDescent="0.25">
      <c r="AG7416">
        <v>7414</v>
      </c>
    </row>
    <row r="7417" spans="33:33" x14ac:dyDescent="0.25">
      <c r="AG7417">
        <v>7415</v>
      </c>
    </row>
    <row r="7418" spans="33:33" x14ac:dyDescent="0.25">
      <c r="AG7418">
        <v>7416</v>
      </c>
    </row>
    <row r="7419" spans="33:33" x14ac:dyDescent="0.25">
      <c r="AG7419">
        <v>7417</v>
      </c>
    </row>
    <row r="7420" spans="33:33" x14ac:dyDescent="0.25">
      <c r="AG7420">
        <v>7418</v>
      </c>
    </row>
    <row r="7421" spans="33:33" x14ac:dyDescent="0.25">
      <c r="AG7421">
        <v>7419</v>
      </c>
    </row>
    <row r="7422" spans="33:33" x14ac:dyDescent="0.25">
      <c r="AG7422">
        <v>7420</v>
      </c>
    </row>
    <row r="7423" spans="33:33" x14ac:dyDescent="0.25">
      <c r="AG7423">
        <v>7421</v>
      </c>
    </row>
    <row r="7424" spans="33:33" x14ac:dyDescent="0.25">
      <c r="AG7424">
        <v>7422</v>
      </c>
    </row>
    <row r="7425" spans="33:33" x14ac:dyDescent="0.25">
      <c r="AG7425">
        <v>7423</v>
      </c>
    </row>
    <row r="7426" spans="33:33" x14ac:dyDescent="0.25">
      <c r="AG7426">
        <v>7424</v>
      </c>
    </row>
    <row r="7427" spans="33:33" x14ac:dyDescent="0.25">
      <c r="AG7427">
        <v>7425</v>
      </c>
    </row>
    <row r="7428" spans="33:33" x14ac:dyDescent="0.25">
      <c r="AG7428">
        <v>7426</v>
      </c>
    </row>
    <row r="7429" spans="33:33" x14ac:dyDescent="0.25">
      <c r="AG7429">
        <v>7427</v>
      </c>
    </row>
    <row r="7430" spans="33:33" x14ac:dyDescent="0.25">
      <c r="AG7430">
        <v>7428</v>
      </c>
    </row>
    <row r="7431" spans="33:33" x14ac:dyDescent="0.25">
      <c r="AG7431">
        <v>7429</v>
      </c>
    </row>
    <row r="7432" spans="33:33" x14ac:dyDescent="0.25">
      <c r="AG7432">
        <v>7430</v>
      </c>
    </row>
    <row r="7433" spans="33:33" x14ac:dyDescent="0.25">
      <c r="AG7433">
        <v>7431</v>
      </c>
    </row>
    <row r="7434" spans="33:33" x14ac:dyDescent="0.25">
      <c r="AG7434">
        <v>7432</v>
      </c>
    </row>
    <row r="7435" spans="33:33" x14ac:dyDescent="0.25">
      <c r="AG7435">
        <v>7433</v>
      </c>
    </row>
    <row r="7436" spans="33:33" x14ac:dyDescent="0.25">
      <c r="AG7436">
        <v>7434</v>
      </c>
    </row>
    <row r="7437" spans="33:33" x14ac:dyDescent="0.25">
      <c r="AG7437">
        <v>7435</v>
      </c>
    </row>
    <row r="7438" spans="33:33" x14ac:dyDescent="0.25">
      <c r="AG7438">
        <v>7436</v>
      </c>
    </row>
    <row r="7439" spans="33:33" x14ac:dyDescent="0.25">
      <c r="AG7439">
        <v>7437</v>
      </c>
    </row>
    <row r="7440" spans="33:33" x14ac:dyDescent="0.25">
      <c r="AG7440">
        <v>7438</v>
      </c>
    </row>
    <row r="7441" spans="33:33" x14ac:dyDescent="0.25">
      <c r="AG7441">
        <v>7439</v>
      </c>
    </row>
    <row r="7442" spans="33:33" x14ac:dyDescent="0.25">
      <c r="AG7442">
        <v>7440</v>
      </c>
    </row>
    <row r="7443" spans="33:33" x14ac:dyDescent="0.25">
      <c r="AG7443">
        <v>7441</v>
      </c>
    </row>
    <row r="7444" spans="33:33" x14ac:dyDescent="0.25">
      <c r="AG7444">
        <v>7442</v>
      </c>
    </row>
    <row r="7445" spans="33:33" x14ac:dyDescent="0.25">
      <c r="AG7445">
        <v>7443</v>
      </c>
    </row>
    <row r="7446" spans="33:33" x14ac:dyDescent="0.25">
      <c r="AG7446">
        <v>7444</v>
      </c>
    </row>
    <row r="7447" spans="33:33" x14ac:dyDescent="0.25">
      <c r="AG7447">
        <v>7445</v>
      </c>
    </row>
    <row r="7448" spans="33:33" x14ac:dyDescent="0.25">
      <c r="AG7448">
        <v>7446</v>
      </c>
    </row>
    <row r="7449" spans="33:33" x14ac:dyDescent="0.25">
      <c r="AG7449">
        <v>7447</v>
      </c>
    </row>
    <row r="7450" spans="33:33" x14ac:dyDescent="0.25">
      <c r="AG7450">
        <v>7448</v>
      </c>
    </row>
    <row r="7451" spans="33:33" x14ac:dyDescent="0.25">
      <c r="AG7451">
        <v>7449</v>
      </c>
    </row>
    <row r="7452" spans="33:33" x14ac:dyDescent="0.25">
      <c r="AG7452">
        <v>7450</v>
      </c>
    </row>
    <row r="7453" spans="33:33" x14ac:dyDescent="0.25">
      <c r="AG7453">
        <v>7451</v>
      </c>
    </row>
    <row r="7454" spans="33:33" x14ac:dyDescent="0.25">
      <c r="AG7454">
        <v>7452</v>
      </c>
    </row>
    <row r="7455" spans="33:33" x14ac:dyDescent="0.25">
      <c r="AG7455">
        <v>7453</v>
      </c>
    </row>
    <row r="7456" spans="33:33" x14ac:dyDescent="0.25">
      <c r="AG7456">
        <v>7454</v>
      </c>
    </row>
    <row r="7457" spans="33:33" x14ac:dyDescent="0.25">
      <c r="AG7457">
        <v>7455</v>
      </c>
    </row>
    <row r="7458" spans="33:33" x14ac:dyDescent="0.25">
      <c r="AG7458">
        <v>7456</v>
      </c>
    </row>
    <row r="7459" spans="33:33" x14ac:dyDescent="0.25">
      <c r="AG7459">
        <v>7457</v>
      </c>
    </row>
    <row r="7460" spans="33:33" x14ac:dyDescent="0.25">
      <c r="AG7460">
        <v>7458</v>
      </c>
    </row>
    <row r="7461" spans="33:33" x14ac:dyDescent="0.25">
      <c r="AG7461">
        <v>7459</v>
      </c>
    </row>
    <row r="7462" spans="33:33" x14ac:dyDescent="0.25">
      <c r="AG7462">
        <v>7460</v>
      </c>
    </row>
    <row r="7463" spans="33:33" x14ac:dyDescent="0.25">
      <c r="AG7463">
        <v>7461</v>
      </c>
    </row>
    <row r="7464" spans="33:33" x14ac:dyDescent="0.25">
      <c r="AG7464">
        <v>7462</v>
      </c>
    </row>
    <row r="7465" spans="33:33" x14ac:dyDescent="0.25">
      <c r="AG7465">
        <v>7463</v>
      </c>
    </row>
    <row r="7466" spans="33:33" x14ac:dyDescent="0.25">
      <c r="AG7466">
        <v>7464</v>
      </c>
    </row>
    <row r="7467" spans="33:33" x14ac:dyDescent="0.25">
      <c r="AG7467">
        <v>7465</v>
      </c>
    </row>
    <row r="7468" spans="33:33" x14ac:dyDescent="0.25">
      <c r="AG7468">
        <v>7466</v>
      </c>
    </row>
    <row r="7469" spans="33:33" x14ac:dyDescent="0.25">
      <c r="AG7469">
        <v>7467</v>
      </c>
    </row>
    <row r="7470" spans="33:33" x14ac:dyDescent="0.25">
      <c r="AG7470">
        <v>7468</v>
      </c>
    </row>
    <row r="7471" spans="33:33" x14ac:dyDescent="0.25">
      <c r="AG7471">
        <v>7469</v>
      </c>
    </row>
    <row r="7472" spans="33:33" x14ac:dyDescent="0.25">
      <c r="AG7472">
        <v>7470</v>
      </c>
    </row>
    <row r="7473" spans="33:33" x14ac:dyDescent="0.25">
      <c r="AG7473">
        <v>7471</v>
      </c>
    </row>
    <row r="7474" spans="33:33" x14ac:dyDescent="0.25">
      <c r="AG7474">
        <v>7472</v>
      </c>
    </row>
    <row r="7475" spans="33:33" x14ac:dyDescent="0.25">
      <c r="AG7475">
        <v>7473</v>
      </c>
    </row>
    <row r="7476" spans="33:33" x14ac:dyDescent="0.25">
      <c r="AG7476">
        <v>7474</v>
      </c>
    </row>
    <row r="7477" spans="33:33" x14ac:dyDescent="0.25">
      <c r="AG7477">
        <v>7475</v>
      </c>
    </row>
    <row r="7478" spans="33:33" x14ac:dyDescent="0.25">
      <c r="AG7478">
        <v>7476</v>
      </c>
    </row>
    <row r="7479" spans="33:33" x14ac:dyDescent="0.25">
      <c r="AG7479">
        <v>7477</v>
      </c>
    </row>
    <row r="7480" spans="33:33" x14ac:dyDescent="0.25">
      <c r="AG7480">
        <v>7478</v>
      </c>
    </row>
    <row r="7481" spans="33:33" x14ac:dyDescent="0.25">
      <c r="AG7481">
        <v>7479</v>
      </c>
    </row>
    <row r="7482" spans="33:33" x14ac:dyDescent="0.25">
      <c r="AG7482">
        <v>7480</v>
      </c>
    </row>
    <row r="7483" spans="33:33" x14ac:dyDescent="0.25">
      <c r="AG7483">
        <v>7481</v>
      </c>
    </row>
    <row r="7484" spans="33:33" x14ac:dyDescent="0.25">
      <c r="AG7484">
        <v>7482</v>
      </c>
    </row>
    <row r="7485" spans="33:33" x14ac:dyDescent="0.25">
      <c r="AG7485">
        <v>7483</v>
      </c>
    </row>
    <row r="7486" spans="33:33" x14ac:dyDescent="0.25">
      <c r="AG7486">
        <v>7484</v>
      </c>
    </row>
    <row r="7487" spans="33:33" x14ac:dyDescent="0.25">
      <c r="AG7487">
        <v>7485</v>
      </c>
    </row>
    <row r="7488" spans="33:33" x14ac:dyDescent="0.25">
      <c r="AG7488">
        <v>7486</v>
      </c>
    </row>
    <row r="7489" spans="33:33" x14ac:dyDescent="0.25">
      <c r="AG7489">
        <v>7487</v>
      </c>
    </row>
    <row r="7490" spans="33:33" x14ac:dyDescent="0.25">
      <c r="AG7490">
        <v>7488</v>
      </c>
    </row>
    <row r="7491" spans="33:33" x14ac:dyDescent="0.25">
      <c r="AG7491">
        <v>7489</v>
      </c>
    </row>
    <row r="7492" spans="33:33" x14ac:dyDescent="0.25">
      <c r="AG7492">
        <v>7490</v>
      </c>
    </row>
    <row r="7493" spans="33:33" x14ac:dyDescent="0.25">
      <c r="AG7493">
        <v>7491</v>
      </c>
    </row>
    <row r="7494" spans="33:33" x14ac:dyDescent="0.25">
      <c r="AG7494">
        <v>7492</v>
      </c>
    </row>
    <row r="7495" spans="33:33" x14ac:dyDescent="0.25">
      <c r="AG7495">
        <v>7493</v>
      </c>
    </row>
    <row r="7496" spans="33:33" x14ac:dyDescent="0.25">
      <c r="AG7496">
        <v>7494</v>
      </c>
    </row>
    <row r="7497" spans="33:33" x14ac:dyDescent="0.25">
      <c r="AG7497">
        <v>7495</v>
      </c>
    </row>
    <row r="7498" spans="33:33" x14ac:dyDescent="0.25">
      <c r="AG7498">
        <v>7496</v>
      </c>
    </row>
    <row r="7499" spans="33:33" x14ac:dyDescent="0.25">
      <c r="AG7499">
        <v>7497</v>
      </c>
    </row>
    <row r="7500" spans="33:33" x14ac:dyDescent="0.25">
      <c r="AG7500">
        <v>7498</v>
      </c>
    </row>
    <row r="7501" spans="33:33" x14ac:dyDescent="0.25">
      <c r="AG7501">
        <v>7499</v>
      </c>
    </row>
    <row r="7502" spans="33:33" x14ac:dyDescent="0.25">
      <c r="AG7502">
        <v>7500</v>
      </c>
    </row>
    <row r="7503" spans="33:33" x14ac:dyDescent="0.25">
      <c r="AG7503">
        <v>7501</v>
      </c>
    </row>
    <row r="7504" spans="33:33" x14ac:dyDescent="0.25">
      <c r="AG7504">
        <v>7502</v>
      </c>
    </row>
    <row r="7505" spans="33:33" x14ac:dyDescent="0.25">
      <c r="AG7505">
        <v>7503</v>
      </c>
    </row>
    <row r="7506" spans="33:33" x14ac:dyDescent="0.25">
      <c r="AG7506">
        <v>7504</v>
      </c>
    </row>
    <row r="7507" spans="33:33" x14ac:dyDescent="0.25">
      <c r="AG7507">
        <v>7505</v>
      </c>
    </row>
    <row r="7508" spans="33:33" x14ac:dyDescent="0.25">
      <c r="AG7508">
        <v>7506</v>
      </c>
    </row>
    <row r="7509" spans="33:33" x14ac:dyDescent="0.25">
      <c r="AG7509">
        <v>7507</v>
      </c>
    </row>
    <row r="7510" spans="33:33" x14ac:dyDescent="0.25">
      <c r="AG7510">
        <v>7508</v>
      </c>
    </row>
    <row r="7511" spans="33:33" x14ac:dyDescent="0.25">
      <c r="AG7511">
        <v>7509</v>
      </c>
    </row>
    <row r="7512" spans="33:33" x14ac:dyDescent="0.25">
      <c r="AG7512">
        <v>7510</v>
      </c>
    </row>
    <row r="7513" spans="33:33" x14ac:dyDescent="0.25">
      <c r="AG7513">
        <v>7511</v>
      </c>
    </row>
    <row r="7514" spans="33:33" x14ac:dyDescent="0.25">
      <c r="AG7514">
        <v>7512</v>
      </c>
    </row>
    <row r="7515" spans="33:33" x14ac:dyDescent="0.25">
      <c r="AG7515">
        <v>7513</v>
      </c>
    </row>
    <row r="7516" spans="33:33" x14ac:dyDescent="0.25">
      <c r="AG7516">
        <v>7514</v>
      </c>
    </row>
    <row r="7517" spans="33:33" x14ac:dyDescent="0.25">
      <c r="AG7517">
        <v>7515</v>
      </c>
    </row>
    <row r="7518" spans="33:33" x14ac:dyDescent="0.25">
      <c r="AG7518">
        <v>7516</v>
      </c>
    </row>
    <row r="7519" spans="33:33" x14ac:dyDescent="0.25">
      <c r="AG7519">
        <v>7517</v>
      </c>
    </row>
    <row r="7520" spans="33:33" x14ac:dyDescent="0.25">
      <c r="AG7520">
        <v>7518</v>
      </c>
    </row>
    <row r="7521" spans="33:33" x14ac:dyDescent="0.25">
      <c r="AG7521">
        <v>7519</v>
      </c>
    </row>
    <row r="7522" spans="33:33" x14ac:dyDescent="0.25">
      <c r="AG7522">
        <v>7520</v>
      </c>
    </row>
    <row r="7523" spans="33:33" x14ac:dyDescent="0.25">
      <c r="AG7523">
        <v>7521</v>
      </c>
    </row>
    <row r="7524" spans="33:33" x14ac:dyDescent="0.25">
      <c r="AG7524">
        <v>7522</v>
      </c>
    </row>
    <row r="7525" spans="33:33" x14ac:dyDescent="0.25">
      <c r="AG7525">
        <v>7523</v>
      </c>
    </row>
    <row r="7526" spans="33:33" x14ac:dyDescent="0.25">
      <c r="AG7526">
        <v>7524</v>
      </c>
    </row>
    <row r="7527" spans="33:33" x14ac:dyDescent="0.25">
      <c r="AG7527">
        <v>7525</v>
      </c>
    </row>
    <row r="7528" spans="33:33" x14ac:dyDescent="0.25">
      <c r="AG7528">
        <v>7526</v>
      </c>
    </row>
    <row r="7529" spans="33:33" x14ac:dyDescent="0.25">
      <c r="AG7529">
        <v>7527</v>
      </c>
    </row>
    <row r="7530" spans="33:33" x14ac:dyDescent="0.25">
      <c r="AG7530">
        <v>7528</v>
      </c>
    </row>
    <row r="7531" spans="33:33" x14ac:dyDescent="0.25">
      <c r="AG7531">
        <v>7529</v>
      </c>
    </row>
    <row r="7532" spans="33:33" x14ac:dyDescent="0.25">
      <c r="AG7532">
        <v>7530</v>
      </c>
    </row>
    <row r="7533" spans="33:33" x14ac:dyDescent="0.25">
      <c r="AG7533">
        <v>7531</v>
      </c>
    </row>
    <row r="7534" spans="33:33" x14ac:dyDescent="0.25">
      <c r="AG7534">
        <v>7532</v>
      </c>
    </row>
    <row r="7535" spans="33:33" x14ac:dyDescent="0.25">
      <c r="AG7535">
        <v>7533</v>
      </c>
    </row>
    <row r="7536" spans="33:33" x14ac:dyDescent="0.25">
      <c r="AG7536">
        <v>7534</v>
      </c>
    </row>
    <row r="7537" spans="33:33" x14ac:dyDescent="0.25">
      <c r="AG7537">
        <v>7535</v>
      </c>
    </row>
    <row r="7538" spans="33:33" x14ac:dyDescent="0.25">
      <c r="AG7538">
        <v>7536</v>
      </c>
    </row>
    <row r="7539" spans="33:33" x14ac:dyDescent="0.25">
      <c r="AG7539">
        <v>7537</v>
      </c>
    </row>
    <row r="7540" spans="33:33" x14ac:dyDescent="0.25">
      <c r="AG7540">
        <v>7538</v>
      </c>
    </row>
    <row r="7541" spans="33:33" x14ac:dyDescent="0.25">
      <c r="AG7541">
        <v>7539</v>
      </c>
    </row>
    <row r="7542" spans="33:33" x14ac:dyDescent="0.25">
      <c r="AG7542">
        <v>7540</v>
      </c>
    </row>
    <row r="7543" spans="33:33" x14ac:dyDescent="0.25">
      <c r="AG7543">
        <v>7541</v>
      </c>
    </row>
    <row r="7544" spans="33:33" x14ac:dyDescent="0.25">
      <c r="AG7544">
        <v>7542</v>
      </c>
    </row>
    <row r="7545" spans="33:33" x14ac:dyDescent="0.25">
      <c r="AG7545">
        <v>7543</v>
      </c>
    </row>
    <row r="7546" spans="33:33" x14ac:dyDescent="0.25">
      <c r="AG7546">
        <v>7544</v>
      </c>
    </row>
    <row r="7547" spans="33:33" x14ac:dyDescent="0.25">
      <c r="AG7547">
        <v>7545</v>
      </c>
    </row>
    <row r="7548" spans="33:33" x14ac:dyDescent="0.25">
      <c r="AG7548">
        <v>7546</v>
      </c>
    </row>
    <row r="7549" spans="33:33" x14ac:dyDescent="0.25">
      <c r="AG7549">
        <v>7547</v>
      </c>
    </row>
    <row r="7550" spans="33:33" x14ac:dyDescent="0.25">
      <c r="AG7550">
        <v>7548</v>
      </c>
    </row>
    <row r="7551" spans="33:33" x14ac:dyDescent="0.25">
      <c r="AG7551">
        <v>7549</v>
      </c>
    </row>
    <row r="7552" spans="33:33" x14ac:dyDescent="0.25">
      <c r="AG7552">
        <v>7550</v>
      </c>
    </row>
    <row r="7553" spans="33:33" x14ac:dyDescent="0.25">
      <c r="AG7553">
        <v>7551</v>
      </c>
    </row>
    <row r="7554" spans="33:33" x14ac:dyDescent="0.25">
      <c r="AG7554">
        <v>7552</v>
      </c>
    </row>
    <row r="7555" spans="33:33" x14ac:dyDescent="0.25">
      <c r="AG7555">
        <v>7553</v>
      </c>
    </row>
    <row r="7556" spans="33:33" x14ac:dyDescent="0.25">
      <c r="AG7556">
        <v>7554</v>
      </c>
    </row>
    <row r="7557" spans="33:33" x14ac:dyDescent="0.25">
      <c r="AG7557">
        <v>7555</v>
      </c>
    </row>
    <row r="7558" spans="33:33" x14ac:dyDescent="0.25">
      <c r="AG7558">
        <v>7556</v>
      </c>
    </row>
    <row r="7559" spans="33:33" x14ac:dyDescent="0.25">
      <c r="AG7559">
        <v>7557</v>
      </c>
    </row>
    <row r="7560" spans="33:33" x14ac:dyDescent="0.25">
      <c r="AG7560">
        <v>7558</v>
      </c>
    </row>
    <row r="7561" spans="33:33" x14ac:dyDescent="0.25">
      <c r="AG7561">
        <v>7559</v>
      </c>
    </row>
    <row r="7562" spans="33:33" x14ac:dyDescent="0.25">
      <c r="AG7562">
        <v>7560</v>
      </c>
    </row>
    <row r="7563" spans="33:33" x14ac:dyDescent="0.25">
      <c r="AG7563">
        <v>7561</v>
      </c>
    </row>
    <row r="7564" spans="33:33" x14ac:dyDescent="0.25">
      <c r="AG7564">
        <v>7562</v>
      </c>
    </row>
    <row r="7565" spans="33:33" x14ac:dyDescent="0.25">
      <c r="AG7565">
        <v>7563</v>
      </c>
    </row>
    <row r="7566" spans="33:33" x14ac:dyDescent="0.25">
      <c r="AG7566">
        <v>7564</v>
      </c>
    </row>
    <row r="7567" spans="33:33" x14ac:dyDescent="0.25">
      <c r="AG7567">
        <v>7565</v>
      </c>
    </row>
    <row r="7568" spans="33:33" x14ac:dyDescent="0.25">
      <c r="AG7568">
        <v>7566</v>
      </c>
    </row>
    <row r="7569" spans="33:33" x14ac:dyDescent="0.25">
      <c r="AG7569">
        <v>7567</v>
      </c>
    </row>
    <row r="7570" spans="33:33" x14ac:dyDescent="0.25">
      <c r="AG7570">
        <v>7568</v>
      </c>
    </row>
    <row r="7571" spans="33:33" x14ac:dyDescent="0.25">
      <c r="AG7571">
        <v>7569</v>
      </c>
    </row>
    <row r="7572" spans="33:33" x14ac:dyDescent="0.25">
      <c r="AG7572">
        <v>7570</v>
      </c>
    </row>
    <row r="7573" spans="33:33" x14ac:dyDescent="0.25">
      <c r="AG7573">
        <v>7571</v>
      </c>
    </row>
    <row r="7574" spans="33:33" x14ac:dyDescent="0.25">
      <c r="AG7574">
        <v>7572</v>
      </c>
    </row>
    <row r="7575" spans="33:33" x14ac:dyDescent="0.25">
      <c r="AG7575">
        <v>7573</v>
      </c>
    </row>
    <row r="7576" spans="33:33" x14ac:dyDescent="0.25">
      <c r="AG7576">
        <v>7574</v>
      </c>
    </row>
    <row r="7577" spans="33:33" x14ac:dyDescent="0.25">
      <c r="AG7577">
        <v>7575</v>
      </c>
    </row>
    <row r="7578" spans="33:33" x14ac:dyDescent="0.25">
      <c r="AG7578">
        <v>7576</v>
      </c>
    </row>
    <row r="7579" spans="33:33" x14ac:dyDescent="0.25">
      <c r="AG7579">
        <v>7577</v>
      </c>
    </row>
    <row r="7580" spans="33:33" x14ac:dyDescent="0.25">
      <c r="AG7580">
        <v>7578</v>
      </c>
    </row>
    <row r="7581" spans="33:33" x14ac:dyDescent="0.25">
      <c r="AG7581">
        <v>7579</v>
      </c>
    </row>
    <row r="7582" spans="33:33" x14ac:dyDescent="0.25">
      <c r="AG7582">
        <v>7580</v>
      </c>
    </row>
    <row r="7583" spans="33:33" x14ac:dyDescent="0.25">
      <c r="AG7583">
        <v>7581</v>
      </c>
    </row>
    <row r="7584" spans="33:33" x14ac:dyDescent="0.25">
      <c r="AG7584">
        <v>7582</v>
      </c>
    </row>
    <row r="7585" spans="33:33" x14ac:dyDescent="0.25">
      <c r="AG7585">
        <v>7583</v>
      </c>
    </row>
    <row r="7586" spans="33:33" x14ac:dyDescent="0.25">
      <c r="AG7586">
        <v>7584</v>
      </c>
    </row>
    <row r="7587" spans="33:33" x14ac:dyDescent="0.25">
      <c r="AG7587">
        <v>7585</v>
      </c>
    </row>
    <row r="7588" spans="33:33" x14ac:dyDescent="0.25">
      <c r="AG7588">
        <v>7586</v>
      </c>
    </row>
    <row r="7589" spans="33:33" x14ac:dyDescent="0.25">
      <c r="AG7589">
        <v>7587</v>
      </c>
    </row>
    <row r="7590" spans="33:33" x14ac:dyDescent="0.25">
      <c r="AG7590">
        <v>7588</v>
      </c>
    </row>
    <row r="7591" spans="33:33" x14ac:dyDescent="0.25">
      <c r="AG7591">
        <v>7589</v>
      </c>
    </row>
    <row r="7592" spans="33:33" x14ac:dyDescent="0.25">
      <c r="AG7592">
        <v>7590</v>
      </c>
    </row>
    <row r="7593" spans="33:33" x14ac:dyDescent="0.25">
      <c r="AG7593">
        <v>7591</v>
      </c>
    </row>
    <row r="7594" spans="33:33" x14ac:dyDescent="0.25">
      <c r="AG7594">
        <v>7592</v>
      </c>
    </row>
    <row r="7595" spans="33:33" x14ac:dyDescent="0.25">
      <c r="AG7595">
        <v>7593</v>
      </c>
    </row>
    <row r="7596" spans="33:33" x14ac:dyDescent="0.25">
      <c r="AG7596">
        <v>7594</v>
      </c>
    </row>
    <row r="7597" spans="33:33" x14ac:dyDescent="0.25">
      <c r="AG7597">
        <v>7595</v>
      </c>
    </row>
    <row r="7598" spans="33:33" x14ac:dyDescent="0.25">
      <c r="AG7598">
        <v>7596</v>
      </c>
    </row>
    <row r="7599" spans="33:33" x14ac:dyDescent="0.25">
      <c r="AG7599">
        <v>7597</v>
      </c>
    </row>
    <row r="7600" spans="33:33" x14ac:dyDescent="0.25">
      <c r="AG7600">
        <v>7598</v>
      </c>
    </row>
    <row r="7601" spans="33:33" x14ac:dyDescent="0.25">
      <c r="AG7601">
        <v>7599</v>
      </c>
    </row>
    <row r="7602" spans="33:33" x14ac:dyDescent="0.25">
      <c r="AG7602">
        <v>7600</v>
      </c>
    </row>
    <row r="7603" spans="33:33" x14ac:dyDescent="0.25">
      <c r="AG7603">
        <v>7601</v>
      </c>
    </row>
    <row r="7604" spans="33:33" x14ac:dyDescent="0.25">
      <c r="AG7604">
        <v>7602</v>
      </c>
    </row>
    <row r="7605" spans="33:33" x14ac:dyDescent="0.25">
      <c r="AG7605">
        <v>7603</v>
      </c>
    </row>
    <row r="7606" spans="33:33" x14ac:dyDescent="0.25">
      <c r="AG7606">
        <v>7604</v>
      </c>
    </row>
    <row r="7607" spans="33:33" x14ac:dyDescent="0.25">
      <c r="AG7607">
        <v>7605</v>
      </c>
    </row>
    <row r="7608" spans="33:33" x14ac:dyDescent="0.25">
      <c r="AG7608">
        <v>7606</v>
      </c>
    </row>
    <row r="7609" spans="33:33" x14ac:dyDescent="0.25">
      <c r="AG7609">
        <v>7607</v>
      </c>
    </row>
    <row r="7610" spans="33:33" x14ac:dyDescent="0.25">
      <c r="AG7610">
        <v>7608</v>
      </c>
    </row>
    <row r="7611" spans="33:33" x14ac:dyDescent="0.25">
      <c r="AG7611">
        <v>7609</v>
      </c>
    </row>
    <row r="7612" spans="33:33" x14ac:dyDescent="0.25">
      <c r="AG7612">
        <v>7610</v>
      </c>
    </row>
    <row r="7613" spans="33:33" x14ac:dyDescent="0.25">
      <c r="AG7613">
        <v>7611</v>
      </c>
    </row>
    <row r="7614" spans="33:33" x14ac:dyDescent="0.25">
      <c r="AG7614">
        <v>7612</v>
      </c>
    </row>
    <row r="7615" spans="33:33" x14ac:dyDescent="0.25">
      <c r="AG7615">
        <v>7613</v>
      </c>
    </row>
    <row r="7616" spans="33:33" x14ac:dyDescent="0.25">
      <c r="AG7616">
        <v>7614</v>
      </c>
    </row>
    <row r="7617" spans="33:33" x14ac:dyDescent="0.25">
      <c r="AG7617">
        <v>7615</v>
      </c>
    </row>
    <row r="7618" spans="33:33" x14ac:dyDescent="0.25">
      <c r="AG7618">
        <v>7616</v>
      </c>
    </row>
    <row r="7619" spans="33:33" x14ac:dyDescent="0.25">
      <c r="AG7619">
        <v>7617</v>
      </c>
    </row>
    <row r="7620" spans="33:33" x14ac:dyDescent="0.25">
      <c r="AG7620">
        <v>7618</v>
      </c>
    </row>
    <row r="7621" spans="33:33" x14ac:dyDescent="0.25">
      <c r="AG7621">
        <v>7619</v>
      </c>
    </row>
    <row r="7622" spans="33:33" x14ac:dyDescent="0.25">
      <c r="AG7622">
        <v>7620</v>
      </c>
    </row>
    <row r="7623" spans="33:33" x14ac:dyDescent="0.25">
      <c r="AG7623">
        <v>7621</v>
      </c>
    </row>
    <row r="7624" spans="33:33" x14ac:dyDescent="0.25">
      <c r="AG7624">
        <v>7622</v>
      </c>
    </row>
    <row r="7625" spans="33:33" x14ac:dyDescent="0.25">
      <c r="AG7625">
        <v>7623</v>
      </c>
    </row>
    <row r="7626" spans="33:33" x14ac:dyDescent="0.25">
      <c r="AG7626">
        <v>7624</v>
      </c>
    </row>
    <row r="7627" spans="33:33" x14ac:dyDescent="0.25">
      <c r="AG7627">
        <v>7625</v>
      </c>
    </row>
    <row r="7628" spans="33:33" x14ac:dyDescent="0.25">
      <c r="AG7628">
        <v>7626</v>
      </c>
    </row>
    <row r="7629" spans="33:33" x14ac:dyDescent="0.25">
      <c r="AG7629">
        <v>7627</v>
      </c>
    </row>
    <row r="7630" spans="33:33" x14ac:dyDescent="0.25">
      <c r="AG7630">
        <v>7628</v>
      </c>
    </row>
    <row r="7631" spans="33:33" x14ac:dyDescent="0.25">
      <c r="AG7631">
        <v>7629</v>
      </c>
    </row>
    <row r="7632" spans="33:33" x14ac:dyDescent="0.25">
      <c r="AG7632">
        <v>7630</v>
      </c>
    </row>
    <row r="7633" spans="33:33" x14ac:dyDescent="0.25">
      <c r="AG7633">
        <v>7631</v>
      </c>
    </row>
    <row r="7634" spans="33:33" x14ac:dyDescent="0.25">
      <c r="AG7634">
        <v>7632</v>
      </c>
    </row>
    <row r="7635" spans="33:33" x14ac:dyDescent="0.25">
      <c r="AG7635">
        <v>7633</v>
      </c>
    </row>
    <row r="7636" spans="33:33" x14ac:dyDescent="0.25">
      <c r="AG7636">
        <v>7634</v>
      </c>
    </row>
    <row r="7637" spans="33:33" x14ac:dyDescent="0.25">
      <c r="AG7637">
        <v>7635</v>
      </c>
    </row>
    <row r="7638" spans="33:33" x14ac:dyDescent="0.25">
      <c r="AG7638">
        <v>7636</v>
      </c>
    </row>
    <row r="7639" spans="33:33" x14ac:dyDescent="0.25">
      <c r="AG7639">
        <v>7637</v>
      </c>
    </row>
    <row r="7640" spans="33:33" x14ac:dyDescent="0.25">
      <c r="AG7640">
        <v>7638</v>
      </c>
    </row>
    <row r="7641" spans="33:33" x14ac:dyDescent="0.25">
      <c r="AG7641">
        <v>7639</v>
      </c>
    </row>
    <row r="7642" spans="33:33" x14ac:dyDescent="0.25">
      <c r="AG7642">
        <v>7640</v>
      </c>
    </row>
    <row r="7643" spans="33:33" x14ac:dyDescent="0.25">
      <c r="AG7643">
        <v>7641</v>
      </c>
    </row>
    <row r="7644" spans="33:33" x14ac:dyDescent="0.25">
      <c r="AG7644">
        <v>7642</v>
      </c>
    </row>
    <row r="7645" spans="33:33" x14ac:dyDescent="0.25">
      <c r="AG7645">
        <v>7643</v>
      </c>
    </row>
    <row r="7646" spans="33:33" x14ac:dyDescent="0.25">
      <c r="AG7646">
        <v>7644</v>
      </c>
    </row>
    <row r="7647" spans="33:33" x14ac:dyDescent="0.25">
      <c r="AG7647">
        <v>7645</v>
      </c>
    </row>
    <row r="7648" spans="33:33" x14ac:dyDescent="0.25">
      <c r="AG7648">
        <v>7646</v>
      </c>
    </row>
    <row r="7649" spans="33:33" x14ac:dyDescent="0.25">
      <c r="AG7649">
        <v>7647</v>
      </c>
    </row>
    <row r="7650" spans="33:33" x14ac:dyDescent="0.25">
      <c r="AG7650">
        <v>7648</v>
      </c>
    </row>
    <row r="7651" spans="33:33" x14ac:dyDescent="0.25">
      <c r="AG7651">
        <v>7649</v>
      </c>
    </row>
    <row r="7652" spans="33:33" x14ac:dyDescent="0.25">
      <c r="AG7652">
        <v>7650</v>
      </c>
    </row>
    <row r="7653" spans="33:33" x14ac:dyDescent="0.25">
      <c r="AG7653">
        <v>7651</v>
      </c>
    </row>
    <row r="7654" spans="33:33" x14ac:dyDescent="0.25">
      <c r="AG7654">
        <v>7652</v>
      </c>
    </row>
    <row r="7655" spans="33:33" x14ac:dyDescent="0.25">
      <c r="AG7655">
        <v>7653</v>
      </c>
    </row>
    <row r="7656" spans="33:33" x14ac:dyDescent="0.25">
      <c r="AG7656">
        <v>7654</v>
      </c>
    </row>
    <row r="7657" spans="33:33" x14ac:dyDescent="0.25">
      <c r="AG7657">
        <v>7655</v>
      </c>
    </row>
    <row r="7658" spans="33:33" x14ac:dyDescent="0.25">
      <c r="AG7658">
        <v>7656</v>
      </c>
    </row>
    <row r="7659" spans="33:33" x14ac:dyDescent="0.25">
      <c r="AG7659">
        <v>7657</v>
      </c>
    </row>
    <row r="7660" spans="33:33" x14ac:dyDescent="0.25">
      <c r="AG7660">
        <v>7658</v>
      </c>
    </row>
    <row r="7661" spans="33:33" x14ac:dyDescent="0.25">
      <c r="AG7661">
        <v>7659</v>
      </c>
    </row>
    <row r="7662" spans="33:33" x14ac:dyDescent="0.25">
      <c r="AG7662">
        <v>7660</v>
      </c>
    </row>
    <row r="7663" spans="33:33" x14ac:dyDescent="0.25">
      <c r="AG7663">
        <v>7661</v>
      </c>
    </row>
    <row r="7664" spans="33:33" x14ac:dyDescent="0.25">
      <c r="AG7664">
        <v>7662</v>
      </c>
    </row>
    <row r="7665" spans="33:33" x14ac:dyDescent="0.25">
      <c r="AG7665">
        <v>7663</v>
      </c>
    </row>
    <row r="7666" spans="33:33" x14ac:dyDescent="0.25">
      <c r="AG7666">
        <v>7664</v>
      </c>
    </row>
    <row r="7667" spans="33:33" x14ac:dyDescent="0.25">
      <c r="AG7667">
        <v>7665</v>
      </c>
    </row>
    <row r="7668" spans="33:33" x14ac:dyDescent="0.25">
      <c r="AG7668">
        <v>7666</v>
      </c>
    </row>
    <row r="7669" spans="33:33" x14ac:dyDescent="0.25">
      <c r="AG7669">
        <v>7667</v>
      </c>
    </row>
    <row r="7670" spans="33:33" x14ac:dyDescent="0.25">
      <c r="AG7670">
        <v>7668</v>
      </c>
    </row>
    <row r="7671" spans="33:33" x14ac:dyDescent="0.25">
      <c r="AG7671">
        <v>7669</v>
      </c>
    </row>
    <row r="7672" spans="33:33" x14ac:dyDescent="0.25">
      <c r="AG7672">
        <v>7670</v>
      </c>
    </row>
    <row r="7673" spans="33:33" x14ac:dyDescent="0.25">
      <c r="AG7673">
        <v>7671</v>
      </c>
    </row>
    <row r="7674" spans="33:33" x14ac:dyDescent="0.25">
      <c r="AG7674">
        <v>7672</v>
      </c>
    </row>
    <row r="7675" spans="33:33" x14ac:dyDescent="0.25">
      <c r="AG7675">
        <v>7673</v>
      </c>
    </row>
    <row r="7676" spans="33:33" x14ac:dyDescent="0.25">
      <c r="AG7676">
        <v>7674</v>
      </c>
    </row>
    <row r="7677" spans="33:33" x14ac:dyDescent="0.25">
      <c r="AG7677">
        <v>7675</v>
      </c>
    </row>
    <row r="7678" spans="33:33" x14ac:dyDescent="0.25">
      <c r="AG7678">
        <v>7676</v>
      </c>
    </row>
    <row r="7679" spans="33:33" x14ac:dyDescent="0.25">
      <c r="AG7679">
        <v>7677</v>
      </c>
    </row>
    <row r="7680" spans="33:33" x14ac:dyDescent="0.25">
      <c r="AG7680">
        <v>7678</v>
      </c>
    </row>
    <row r="7681" spans="33:33" x14ac:dyDescent="0.25">
      <c r="AG7681">
        <v>7679</v>
      </c>
    </row>
    <row r="7682" spans="33:33" x14ac:dyDescent="0.25">
      <c r="AG7682">
        <v>7680</v>
      </c>
    </row>
    <row r="7683" spans="33:33" x14ac:dyDescent="0.25">
      <c r="AG7683">
        <v>7681</v>
      </c>
    </row>
    <row r="7684" spans="33:33" x14ac:dyDescent="0.25">
      <c r="AG7684">
        <v>7682</v>
      </c>
    </row>
    <row r="7685" spans="33:33" x14ac:dyDescent="0.25">
      <c r="AG7685">
        <v>7683</v>
      </c>
    </row>
    <row r="7686" spans="33:33" x14ac:dyDescent="0.25">
      <c r="AG7686">
        <v>7684</v>
      </c>
    </row>
    <row r="7687" spans="33:33" x14ac:dyDescent="0.25">
      <c r="AG7687">
        <v>7685</v>
      </c>
    </row>
    <row r="7688" spans="33:33" x14ac:dyDescent="0.25">
      <c r="AG7688">
        <v>7686</v>
      </c>
    </row>
    <row r="7689" spans="33:33" x14ac:dyDescent="0.25">
      <c r="AG7689">
        <v>7687</v>
      </c>
    </row>
    <row r="7690" spans="33:33" x14ac:dyDescent="0.25">
      <c r="AG7690">
        <v>7688</v>
      </c>
    </row>
    <row r="7691" spans="33:33" x14ac:dyDescent="0.25">
      <c r="AG7691">
        <v>7689</v>
      </c>
    </row>
    <row r="7692" spans="33:33" x14ac:dyDescent="0.25">
      <c r="AG7692">
        <v>7690</v>
      </c>
    </row>
    <row r="7693" spans="33:33" x14ac:dyDescent="0.25">
      <c r="AG7693">
        <v>7691</v>
      </c>
    </row>
    <row r="7694" spans="33:33" x14ac:dyDescent="0.25">
      <c r="AG7694">
        <v>7692</v>
      </c>
    </row>
    <row r="7695" spans="33:33" x14ac:dyDescent="0.25">
      <c r="AG7695">
        <v>7693</v>
      </c>
    </row>
    <row r="7696" spans="33:33" x14ac:dyDescent="0.25">
      <c r="AG7696">
        <v>7694</v>
      </c>
    </row>
    <row r="7697" spans="33:33" x14ac:dyDescent="0.25">
      <c r="AG7697">
        <v>7695</v>
      </c>
    </row>
    <row r="7698" spans="33:33" x14ac:dyDescent="0.25">
      <c r="AG7698">
        <v>7696</v>
      </c>
    </row>
    <row r="7699" spans="33:33" x14ac:dyDescent="0.25">
      <c r="AG7699">
        <v>7697</v>
      </c>
    </row>
    <row r="7700" spans="33:33" x14ac:dyDescent="0.25">
      <c r="AG7700">
        <v>7698</v>
      </c>
    </row>
    <row r="7701" spans="33:33" x14ac:dyDescent="0.25">
      <c r="AG7701">
        <v>7699</v>
      </c>
    </row>
    <row r="7702" spans="33:33" x14ac:dyDescent="0.25">
      <c r="AG7702">
        <v>7700</v>
      </c>
    </row>
    <row r="7703" spans="33:33" x14ac:dyDescent="0.25">
      <c r="AG7703">
        <v>7701</v>
      </c>
    </row>
    <row r="7704" spans="33:33" x14ac:dyDescent="0.25">
      <c r="AG7704">
        <v>7702</v>
      </c>
    </row>
    <row r="7705" spans="33:33" x14ac:dyDescent="0.25">
      <c r="AG7705">
        <v>7703</v>
      </c>
    </row>
    <row r="7706" spans="33:33" x14ac:dyDescent="0.25">
      <c r="AG7706">
        <v>7704</v>
      </c>
    </row>
    <row r="7707" spans="33:33" x14ac:dyDescent="0.25">
      <c r="AG7707">
        <v>7705</v>
      </c>
    </row>
    <row r="7708" spans="33:33" x14ac:dyDescent="0.25">
      <c r="AG7708">
        <v>7706</v>
      </c>
    </row>
    <row r="7709" spans="33:33" x14ac:dyDescent="0.25">
      <c r="AG7709">
        <v>7707</v>
      </c>
    </row>
    <row r="7710" spans="33:33" x14ac:dyDescent="0.25">
      <c r="AG7710">
        <v>7708</v>
      </c>
    </row>
    <row r="7711" spans="33:33" x14ac:dyDescent="0.25">
      <c r="AG7711">
        <v>7709</v>
      </c>
    </row>
    <row r="7712" spans="33:33" x14ac:dyDescent="0.25">
      <c r="AG7712">
        <v>7710</v>
      </c>
    </row>
    <row r="7713" spans="33:33" x14ac:dyDescent="0.25">
      <c r="AG7713">
        <v>7711</v>
      </c>
    </row>
    <row r="7714" spans="33:33" x14ac:dyDescent="0.25">
      <c r="AG7714">
        <v>7712</v>
      </c>
    </row>
    <row r="7715" spans="33:33" x14ac:dyDescent="0.25">
      <c r="AG7715">
        <v>7713</v>
      </c>
    </row>
    <row r="7716" spans="33:33" x14ac:dyDescent="0.25">
      <c r="AG7716">
        <v>7714</v>
      </c>
    </row>
    <row r="7717" spans="33:33" x14ac:dyDescent="0.25">
      <c r="AG7717">
        <v>7715</v>
      </c>
    </row>
    <row r="7718" spans="33:33" x14ac:dyDescent="0.25">
      <c r="AG7718">
        <v>7716</v>
      </c>
    </row>
    <row r="7719" spans="33:33" x14ac:dyDescent="0.25">
      <c r="AG7719">
        <v>7717</v>
      </c>
    </row>
    <row r="7720" spans="33:33" x14ac:dyDescent="0.25">
      <c r="AG7720">
        <v>7718</v>
      </c>
    </row>
    <row r="7721" spans="33:33" x14ac:dyDescent="0.25">
      <c r="AG7721">
        <v>7719</v>
      </c>
    </row>
    <row r="7722" spans="33:33" x14ac:dyDescent="0.25">
      <c r="AG7722">
        <v>7720</v>
      </c>
    </row>
    <row r="7723" spans="33:33" x14ac:dyDescent="0.25">
      <c r="AG7723">
        <v>7721</v>
      </c>
    </row>
    <row r="7724" spans="33:33" x14ac:dyDescent="0.25">
      <c r="AG7724">
        <v>7722</v>
      </c>
    </row>
    <row r="7725" spans="33:33" x14ac:dyDescent="0.25">
      <c r="AG7725">
        <v>7723</v>
      </c>
    </row>
    <row r="7726" spans="33:33" x14ac:dyDescent="0.25">
      <c r="AG7726">
        <v>7724</v>
      </c>
    </row>
    <row r="7727" spans="33:33" x14ac:dyDescent="0.25">
      <c r="AG7727">
        <v>7725</v>
      </c>
    </row>
    <row r="7728" spans="33:33" x14ac:dyDescent="0.25">
      <c r="AG7728">
        <v>7726</v>
      </c>
    </row>
    <row r="7729" spans="33:33" x14ac:dyDescent="0.25">
      <c r="AG7729">
        <v>7727</v>
      </c>
    </row>
    <row r="7730" spans="33:33" x14ac:dyDescent="0.25">
      <c r="AG7730">
        <v>7728</v>
      </c>
    </row>
    <row r="7731" spans="33:33" x14ac:dyDescent="0.25">
      <c r="AG7731">
        <v>7729</v>
      </c>
    </row>
    <row r="7732" spans="33:33" x14ac:dyDescent="0.25">
      <c r="AG7732">
        <v>7730</v>
      </c>
    </row>
    <row r="7733" spans="33:33" x14ac:dyDescent="0.25">
      <c r="AG7733">
        <v>7731</v>
      </c>
    </row>
    <row r="7734" spans="33:33" x14ac:dyDescent="0.25">
      <c r="AG7734">
        <v>7732</v>
      </c>
    </row>
    <row r="7735" spans="33:33" x14ac:dyDescent="0.25">
      <c r="AG7735">
        <v>7733</v>
      </c>
    </row>
    <row r="7736" spans="33:33" x14ac:dyDescent="0.25">
      <c r="AG7736">
        <v>7734</v>
      </c>
    </row>
    <row r="7737" spans="33:33" x14ac:dyDescent="0.25">
      <c r="AG7737">
        <v>7735</v>
      </c>
    </row>
    <row r="7738" spans="33:33" x14ac:dyDescent="0.25">
      <c r="AG7738">
        <v>7736</v>
      </c>
    </row>
    <row r="7739" spans="33:33" x14ac:dyDescent="0.25">
      <c r="AG7739">
        <v>7737</v>
      </c>
    </row>
    <row r="7740" spans="33:33" x14ac:dyDescent="0.25">
      <c r="AG7740">
        <v>7738</v>
      </c>
    </row>
    <row r="7741" spans="33:33" x14ac:dyDescent="0.25">
      <c r="AG7741">
        <v>7739</v>
      </c>
    </row>
    <row r="7742" spans="33:33" x14ac:dyDescent="0.25">
      <c r="AG7742">
        <v>7740</v>
      </c>
    </row>
    <row r="7743" spans="33:33" x14ac:dyDescent="0.25">
      <c r="AG7743">
        <v>7741</v>
      </c>
    </row>
    <row r="7744" spans="33:33" x14ac:dyDescent="0.25">
      <c r="AG7744">
        <v>7742</v>
      </c>
    </row>
    <row r="7745" spans="33:33" x14ac:dyDescent="0.25">
      <c r="AG7745">
        <v>7743</v>
      </c>
    </row>
    <row r="7746" spans="33:33" x14ac:dyDescent="0.25">
      <c r="AG7746">
        <v>7744</v>
      </c>
    </row>
    <row r="7747" spans="33:33" x14ac:dyDescent="0.25">
      <c r="AG7747">
        <v>7745</v>
      </c>
    </row>
    <row r="7748" spans="33:33" x14ac:dyDescent="0.25">
      <c r="AG7748">
        <v>7746</v>
      </c>
    </row>
    <row r="7749" spans="33:33" x14ac:dyDescent="0.25">
      <c r="AG7749">
        <v>7747</v>
      </c>
    </row>
    <row r="7750" spans="33:33" x14ac:dyDescent="0.25">
      <c r="AG7750">
        <v>7748</v>
      </c>
    </row>
    <row r="7751" spans="33:33" x14ac:dyDescent="0.25">
      <c r="AG7751">
        <v>7749</v>
      </c>
    </row>
    <row r="7752" spans="33:33" x14ac:dyDescent="0.25">
      <c r="AG7752">
        <v>7750</v>
      </c>
    </row>
    <row r="7753" spans="33:33" x14ac:dyDescent="0.25">
      <c r="AG7753">
        <v>7751</v>
      </c>
    </row>
    <row r="7754" spans="33:33" x14ac:dyDescent="0.25">
      <c r="AG7754">
        <v>7752</v>
      </c>
    </row>
    <row r="7755" spans="33:33" x14ac:dyDescent="0.25">
      <c r="AG7755">
        <v>7753</v>
      </c>
    </row>
    <row r="7756" spans="33:33" x14ac:dyDescent="0.25">
      <c r="AG7756">
        <v>7754</v>
      </c>
    </row>
    <row r="7757" spans="33:33" x14ac:dyDescent="0.25">
      <c r="AG7757">
        <v>7755</v>
      </c>
    </row>
    <row r="7758" spans="33:33" x14ac:dyDescent="0.25">
      <c r="AG7758">
        <v>7756</v>
      </c>
    </row>
    <row r="7759" spans="33:33" x14ac:dyDescent="0.25">
      <c r="AG7759">
        <v>7757</v>
      </c>
    </row>
    <row r="7760" spans="33:33" x14ac:dyDescent="0.25">
      <c r="AG7760">
        <v>7758</v>
      </c>
    </row>
    <row r="7761" spans="33:33" x14ac:dyDescent="0.25">
      <c r="AG7761">
        <v>7759</v>
      </c>
    </row>
    <row r="7762" spans="33:33" x14ac:dyDescent="0.25">
      <c r="AG7762">
        <v>7760</v>
      </c>
    </row>
    <row r="7763" spans="33:33" x14ac:dyDescent="0.25">
      <c r="AG7763">
        <v>7761</v>
      </c>
    </row>
    <row r="7764" spans="33:33" x14ac:dyDescent="0.25">
      <c r="AG7764">
        <v>7762</v>
      </c>
    </row>
    <row r="7765" spans="33:33" x14ac:dyDescent="0.25">
      <c r="AG7765">
        <v>7763</v>
      </c>
    </row>
    <row r="7766" spans="33:33" x14ac:dyDescent="0.25">
      <c r="AG7766">
        <v>7764</v>
      </c>
    </row>
    <row r="7767" spans="33:33" x14ac:dyDescent="0.25">
      <c r="AG7767">
        <v>7765</v>
      </c>
    </row>
    <row r="7768" spans="33:33" x14ac:dyDescent="0.25">
      <c r="AG7768">
        <v>7766</v>
      </c>
    </row>
    <row r="7769" spans="33:33" x14ac:dyDescent="0.25">
      <c r="AG7769">
        <v>7767</v>
      </c>
    </row>
    <row r="7770" spans="33:33" x14ac:dyDescent="0.25">
      <c r="AG7770">
        <v>7768</v>
      </c>
    </row>
    <row r="7771" spans="33:33" x14ac:dyDescent="0.25">
      <c r="AG7771">
        <v>7769</v>
      </c>
    </row>
    <row r="7772" spans="33:33" x14ac:dyDescent="0.25">
      <c r="AG7772">
        <v>7770</v>
      </c>
    </row>
    <row r="7773" spans="33:33" x14ac:dyDescent="0.25">
      <c r="AG7773">
        <v>7771</v>
      </c>
    </row>
    <row r="7774" spans="33:33" x14ac:dyDescent="0.25">
      <c r="AG7774">
        <v>7772</v>
      </c>
    </row>
    <row r="7775" spans="33:33" x14ac:dyDescent="0.25">
      <c r="AG7775">
        <v>7773</v>
      </c>
    </row>
    <row r="7776" spans="33:33" x14ac:dyDescent="0.25">
      <c r="AG7776">
        <v>7774</v>
      </c>
    </row>
    <row r="7777" spans="33:33" x14ac:dyDescent="0.25">
      <c r="AG7777">
        <v>7775</v>
      </c>
    </row>
    <row r="7778" spans="33:33" x14ac:dyDescent="0.25">
      <c r="AG7778">
        <v>7776</v>
      </c>
    </row>
    <row r="7779" spans="33:33" x14ac:dyDescent="0.25">
      <c r="AG7779">
        <v>7777</v>
      </c>
    </row>
    <row r="7780" spans="33:33" x14ac:dyDescent="0.25">
      <c r="AG7780">
        <v>7778</v>
      </c>
    </row>
    <row r="7781" spans="33:33" x14ac:dyDescent="0.25">
      <c r="AG7781">
        <v>7779</v>
      </c>
    </row>
    <row r="7782" spans="33:33" x14ac:dyDescent="0.25">
      <c r="AG7782">
        <v>7780</v>
      </c>
    </row>
    <row r="7783" spans="33:33" x14ac:dyDescent="0.25">
      <c r="AG7783">
        <v>7781</v>
      </c>
    </row>
    <row r="7784" spans="33:33" x14ac:dyDescent="0.25">
      <c r="AG7784">
        <v>7782</v>
      </c>
    </row>
    <row r="7785" spans="33:33" x14ac:dyDescent="0.25">
      <c r="AG7785">
        <v>7783</v>
      </c>
    </row>
    <row r="7786" spans="33:33" x14ac:dyDescent="0.25">
      <c r="AG7786">
        <v>7784</v>
      </c>
    </row>
    <row r="7787" spans="33:33" x14ac:dyDescent="0.25">
      <c r="AG7787">
        <v>7785</v>
      </c>
    </row>
    <row r="7788" spans="33:33" x14ac:dyDescent="0.25">
      <c r="AG7788">
        <v>7786</v>
      </c>
    </row>
    <row r="7789" spans="33:33" x14ac:dyDescent="0.25">
      <c r="AG7789">
        <v>7787</v>
      </c>
    </row>
    <row r="7790" spans="33:33" x14ac:dyDescent="0.25">
      <c r="AG7790">
        <v>7788</v>
      </c>
    </row>
    <row r="7791" spans="33:33" x14ac:dyDescent="0.25">
      <c r="AG7791">
        <v>7789</v>
      </c>
    </row>
    <row r="7792" spans="33:33" x14ac:dyDescent="0.25">
      <c r="AG7792">
        <v>7790</v>
      </c>
    </row>
    <row r="7793" spans="33:33" x14ac:dyDescent="0.25">
      <c r="AG7793">
        <v>7791</v>
      </c>
    </row>
    <row r="7794" spans="33:33" x14ac:dyDescent="0.25">
      <c r="AG7794">
        <v>7792</v>
      </c>
    </row>
    <row r="7795" spans="33:33" x14ac:dyDescent="0.25">
      <c r="AG7795">
        <v>7793</v>
      </c>
    </row>
    <row r="7796" spans="33:33" x14ac:dyDescent="0.25">
      <c r="AG7796">
        <v>7794</v>
      </c>
    </row>
    <row r="7797" spans="33:33" x14ac:dyDescent="0.25">
      <c r="AG7797">
        <v>7795</v>
      </c>
    </row>
    <row r="7798" spans="33:33" x14ac:dyDescent="0.25">
      <c r="AG7798">
        <v>7796</v>
      </c>
    </row>
    <row r="7799" spans="33:33" x14ac:dyDescent="0.25">
      <c r="AG7799">
        <v>7797</v>
      </c>
    </row>
    <row r="7800" spans="33:33" x14ac:dyDescent="0.25">
      <c r="AG7800">
        <v>7798</v>
      </c>
    </row>
    <row r="7801" spans="33:33" x14ac:dyDescent="0.25">
      <c r="AG7801">
        <v>7799</v>
      </c>
    </row>
    <row r="7802" spans="33:33" x14ac:dyDescent="0.25">
      <c r="AG7802">
        <v>7800</v>
      </c>
    </row>
    <row r="7803" spans="33:33" x14ac:dyDescent="0.25">
      <c r="AG7803">
        <v>7801</v>
      </c>
    </row>
    <row r="7804" spans="33:33" x14ac:dyDescent="0.25">
      <c r="AG7804">
        <v>7802</v>
      </c>
    </row>
    <row r="7805" spans="33:33" x14ac:dyDescent="0.25">
      <c r="AG7805">
        <v>7803</v>
      </c>
    </row>
    <row r="7806" spans="33:33" x14ac:dyDescent="0.25">
      <c r="AG7806">
        <v>7804</v>
      </c>
    </row>
    <row r="7807" spans="33:33" x14ac:dyDescent="0.25">
      <c r="AG7807">
        <v>7805</v>
      </c>
    </row>
    <row r="7808" spans="33:33" x14ac:dyDescent="0.25">
      <c r="AG7808">
        <v>7806</v>
      </c>
    </row>
    <row r="7809" spans="33:33" x14ac:dyDescent="0.25">
      <c r="AG7809">
        <v>7807</v>
      </c>
    </row>
    <row r="7810" spans="33:33" x14ac:dyDescent="0.25">
      <c r="AG7810">
        <v>7808</v>
      </c>
    </row>
    <row r="7811" spans="33:33" x14ac:dyDescent="0.25">
      <c r="AG7811">
        <v>7809</v>
      </c>
    </row>
    <row r="7812" spans="33:33" x14ac:dyDescent="0.25">
      <c r="AG7812">
        <v>7810</v>
      </c>
    </row>
    <row r="7813" spans="33:33" x14ac:dyDescent="0.25">
      <c r="AG7813">
        <v>7811</v>
      </c>
    </row>
    <row r="7814" spans="33:33" x14ac:dyDescent="0.25">
      <c r="AG7814">
        <v>7812</v>
      </c>
    </row>
    <row r="7815" spans="33:33" x14ac:dyDescent="0.25">
      <c r="AG7815">
        <v>7813</v>
      </c>
    </row>
    <row r="7816" spans="33:33" x14ac:dyDescent="0.25">
      <c r="AG7816">
        <v>7814</v>
      </c>
    </row>
    <row r="7817" spans="33:33" x14ac:dyDescent="0.25">
      <c r="AG7817">
        <v>7815</v>
      </c>
    </row>
    <row r="7818" spans="33:33" x14ac:dyDescent="0.25">
      <c r="AG7818">
        <v>7816</v>
      </c>
    </row>
    <row r="7819" spans="33:33" x14ac:dyDescent="0.25">
      <c r="AG7819">
        <v>7817</v>
      </c>
    </row>
    <row r="7820" spans="33:33" x14ac:dyDescent="0.25">
      <c r="AG7820">
        <v>7818</v>
      </c>
    </row>
    <row r="7821" spans="33:33" x14ac:dyDescent="0.25">
      <c r="AG7821">
        <v>7819</v>
      </c>
    </row>
    <row r="7822" spans="33:33" x14ac:dyDescent="0.25">
      <c r="AG7822">
        <v>7820</v>
      </c>
    </row>
    <row r="7823" spans="33:33" x14ac:dyDescent="0.25">
      <c r="AG7823">
        <v>7821</v>
      </c>
    </row>
    <row r="7824" spans="33:33" x14ac:dyDescent="0.25">
      <c r="AG7824">
        <v>7822</v>
      </c>
    </row>
    <row r="7825" spans="33:33" x14ac:dyDescent="0.25">
      <c r="AG7825">
        <v>7823</v>
      </c>
    </row>
    <row r="7826" spans="33:33" x14ac:dyDescent="0.25">
      <c r="AG7826">
        <v>7824</v>
      </c>
    </row>
    <row r="7827" spans="33:33" x14ac:dyDescent="0.25">
      <c r="AG7827">
        <v>7825</v>
      </c>
    </row>
    <row r="7828" spans="33:33" x14ac:dyDescent="0.25">
      <c r="AG7828">
        <v>7826</v>
      </c>
    </row>
    <row r="7829" spans="33:33" x14ac:dyDescent="0.25">
      <c r="AG7829">
        <v>7827</v>
      </c>
    </row>
    <row r="7830" spans="33:33" x14ac:dyDescent="0.25">
      <c r="AG7830">
        <v>7828</v>
      </c>
    </row>
    <row r="7831" spans="33:33" x14ac:dyDescent="0.25">
      <c r="AG7831">
        <v>7829</v>
      </c>
    </row>
    <row r="7832" spans="33:33" x14ac:dyDescent="0.25">
      <c r="AG7832">
        <v>7830</v>
      </c>
    </row>
    <row r="7833" spans="33:33" x14ac:dyDescent="0.25">
      <c r="AG7833">
        <v>7831</v>
      </c>
    </row>
    <row r="7834" spans="33:33" x14ac:dyDescent="0.25">
      <c r="AG7834">
        <v>7832</v>
      </c>
    </row>
    <row r="7835" spans="33:33" x14ac:dyDescent="0.25">
      <c r="AG7835">
        <v>7833</v>
      </c>
    </row>
    <row r="7836" spans="33:33" x14ac:dyDescent="0.25">
      <c r="AG7836">
        <v>7834</v>
      </c>
    </row>
    <row r="7837" spans="33:33" x14ac:dyDescent="0.25">
      <c r="AG7837">
        <v>7835</v>
      </c>
    </row>
    <row r="7838" spans="33:33" x14ac:dyDescent="0.25">
      <c r="AG7838">
        <v>7836</v>
      </c>
    </row>
    <row r="7839" spans="33:33" x14ac:dyDescent="0.25">
      <c r="AG7839">
        <v>7837</v>
      </c>
    </row>
    <row r="7840" spans="33:33" x14ac:dyDescent="0.25">
      <c r="AG7840">
        <v>7838</v>
      </c>
    </row>
    <row r="7841" spans="33:33" x14ac:dyDescent="0.25">
      <c r="AG7841">
        <v>7839</v>
      </c>
    </row>
    <row r="7842" spans="33:33" x14ac:dyDescent="0.25">
      <c r="AG7842">
        <v>7840</v>
      </c>
    </row>
    <row r="7843" spans="33:33" x14ac:dyDescent="0.25">
      <c r="AG7843">
        <v>7841</v>
      </c>
    </row>
    <row r="7844" spans="33:33" x14ac:dyDescent="0.25">
      <c r="AG7844">
        <v>7842</v>
      </c>
    </row>
    <row r="7845" spans="33:33" x14ac:dyDescent="0.25">
      <c r="AG7845">
        <v>7843</v>
      </c>
    </row>
    <row r="7846" spans="33:33" x14ac:dyDescent="0.25">
      <c r="AG7846">
        <v>7844</v>
      </c>
    </row>
    <row r="7847" spans="33:33" x14ac:dyDescent="0.25">
      <c r="AG7847">
        <v>7845</v>
      </c>
    </row>
    <row r="7848" spans="33:33" x14ac:dyDescent="0.25">
      <c r="AG7848">
        <v>7846</v>
      </c>
    </row>
    <row r="7849" spans="33:33" x14ac:dyDescent="0.25">
      <c r="AG7849">
        <v>7847</v>
      </c>
    </row>
    <row r="7850" spans="33:33" x14ac:dyDescent="0.25">
      <c r="AG7850">
        <v>7848</v>
      </c>
    </row>
    <row r="7851" spans="33:33" x14ac:dyDescent="0.25">
      <c r="AG7851">
        <v>7849</v>
      </c>
    </row>
    <row r="7852" spans="33:33" x14ac:dyDescent="0.25">
      <c r="AG7852">
        <v>7850</v>
      </c>
    </row>
    <row r="7853" spans="33:33" x14ac:dyDescent="0.25">
      <c r="AG7853">
        <v>7851</v>
      </c>
    </row>
    <row r="7854" spans="33:33" x14ac:dyDescent="0.25">
      <c r="AG7854">
        <v>7852</v>
      </c>
    </row>
    <row r="7855" spans="33:33" x14ac:dyDescent="0.25">
      <c r="AG7855">
        <v>7853</v>
      </c>
    </row>
    <row r="7856" spans="33:33" x14ac:dyDescent="0.25">
      <c r="AG7856">
        <v>7854</v>
      </c>
    </row>
    <row r="7857" spans="33:33" x14ac:dyDescent="0.25">
      <c r="AG7857">
        <v>7855</v>
      </c>
    </row>
    <row r="7858" spans="33:33" x14ac:dyDescent="0.25">
      <c r="AG7858">
        <v>7856</v>
      </c>
    </row>
    <row r="7859" spans="33:33" x14ac:dyDescent="0.25">
      <c r="AG7859">
        <v>7857</v>
      </c>
    </row>
    <row r="7860" spans="33:33" x14ac:dyDescent="0.25">
      <c r="AG7860">
        <v>7858</v>
      </c>
    </row>
    <row r="7861" spans="33:33" x14ac:dyDescent="0.25">
      <c r="AG7861">
        <v>7859</v>
      </c>
    </row>
    <row r="7862" spans="33:33" x14ac:dyDescent="0.25">
      <c r="AG7862">
        <v>7860</v>
      </c>
    </row>
    <row r="7863" spans="33:33" x14ac:dyDescent="0.25">
      <c r="AG7863">
        <v>7861</v>
      </c>
    </row>
    <row r="7864" spans="33:33" x14ac:dyDescent="0.25">
      <c r="AG7864">
        <v>7862</v>
      </c>
    </row>
    <row r="7865" spans="33:33" x14ac:dyDescent="0.25">
      <c r="AG7865">
        <v>7863</v>
      </c>
    </row>
    <row r="7866" spans="33:33" x14ac:dyDescent="0.25">
      <c r="AG7866">
        <v>7864</v>
      </c>
    </row>
    <row r="7867" spans="33:33" x14ac:dyDescent="0.25">
      <c r="AG7867">
        <v>7865</v>
      </c>
    </row>
    <row r="7868" spans="33:33" x14ac:dyDescent="0.25">
      <c r="AG7868">
        <v>7866</v>
      </c>
    </row>
    <row r="7869" spans="33:33" x14ac:dyDescent="0.25">
      <c r="AG7869">
        <v>7867</v>
      </c>
    </row>
    <row r="7870" spans="33:33" x14ac:dyDescent="0.25">
      <c r="AG7870">
        <v>7868</v>
      </c>
    </row>
    <row r="7871" spans="33:33" x14ac:dyDescent="0.25">
      <c r="AG7871">
        <v>7869</v>
      </c>
    </row>
    <row r="7872" spans="33:33" x14ac:dyDescent="0.25">
      <c r="AG7872">
        <v>7870</v>
      </c>
    </row>
    <row r="7873" spans="33:33" x14ac:dyDescent="0.25">
      <c r="AG7873">
        <v>7871</v>
      </c>
    </row>
    <row r="7874" spans="33:33" x14ac:dyDescent="0.25">
      <c r="AG7874">
        <v>7872</v>
      </c>
    </row>
    <row r="7875" spans="33:33" x14ac:dyDescent="0.25">
      <c r="AG7875">
        <v>7873</v>
      </c>
    </row>
    <row r="7876" spans="33:33" x14ac:dyDescent="0.25">
      <c r="AG7876">
        <v>7874</v>
      </c>
    </row>
    <row r="7877" spans="33:33" x14ac:dyDescent="0.25">
      <c r="AG7877">
        <v>7875</v>
      </c>
    </row>
    <row r="7878" spans="33:33" x14ac:dyDescent="0.25">
      <c r="AG7878">
        <v>7876</v>
      </c>
    </row>
    <row r="7879" spans="33:33" x14ac:dyDescent="0.25">
      <c r="AG7879">
        <v>7877</v>
      </c>
    </row>
    <row r="7880" spans="33:33" x14ac:dyDescent="0.25">
      <c r="AG7880">
        <v>7878</v>
      </c>
    </row>
    <row r="7881" spans="33:33" x14ac:dyDescent="0.25">
      <c r="AG7881">
        <v>7879</v>
      </c>
    </row>
    <row r="7882" spans="33:33" x14ac:dyDescent="0.25">
      <c r="AG7882">
        <v>7880</v>
      </c>
    </row>
    <row r="7883" spans="33:33" x14ac:dyDescent="0.25">
      <c r="AG7883">
        <v>7881</v>
      </c>
    </row>
    <row r="7884" spans="33:33" x14ac:dyDescent="0.25">
      <c r="AG7884">
        <v>7882</v>
      </c>
    </row>
    <row r="7885" spans="33:33" x14ac:dyDescent="0.25">
      <c r="AG7885">
        <v>7883</v>
      </c>
    </row>
    <row r="7886" spans="33:33" x14ac:dyDescent="0.25">
      <c r="AG7886">
        <v>7884</v>
      </c>
    </row>
    <row r="7887" spans="33:33" x14ac:dyDescent="0.25">
      <c r="AG7887">
        <v>7885</v>
      </c>
    </row>
    <row r="7888" spans="33:33" x14ac:dyDescent="0.25">
      <c r="AG7888">
        <v>7886</v>
      </c>
    </row>
    <row r="7889" spans="33:33" x14ac:dyDescent="0.25">
      <c r="AG7889">
        <v>7887</v>
      </c>
    </row>
    <row r="7890" spans="33:33" x14ac:dyDescent="0.25">
      <c r="AG7890">
        <v>7888</v>
      </c>
    </row>
    <row r="7891" spans="33:33" x14ac:dyDescent="0.25">
      <c r="AG7891">
        <v>7889</v>
      </c>
    </row>
    <row r="7892" spans="33:33" x14ac:dyDescent="0.25">
      <c r="AG7892">
        <v>7890</v>
      </c>
    </row>
    <row r="7893" spans="33:33" x14ac:dyDescent="0.25">
      <c r="AG7893">
        <v>7891</v>
      </c>
    </row>
    <row r="7894" spans="33:33" x14ac:dyDescent="0.25">
      <c r="AG7894">
        <v>7892</v>
      </c>
    </row>
    <row r="7895" spans="33:33" x14ac:dyDescent="0.25">
      <c r="AG7895">
        <v>7893</v>
      </c>
    </row>
    <row r="7896" spans="33:33" x14ac:dyDescent="0.25">
      <c r="AG7896">
        <v>7894</v>
      </c>
    </row>
    <row r="7897" spans="33:33" x14ac:dyDescent="0.25">
      <c r="AG7897">
        <v>7895</v>
      </c>
    </row>
    <row r="7898" spans="33:33" x14ac:dyDescent="0.25">
      <c r="AG7898">
        <v>7896</v>
      </c>
    </row>
    <row r="7899" spans="33:33" x14ac:dyDescent="0.25">
      <c r="AG7899">
        <v>7897</v>
      </c>
    </row>
    <row r="7900" spans="33:33" x14ac:dyDescent="0.25">
      <c r="AG7900">
        <v>7898</v>
      </c>
    </row>
    <row r="7901" spans="33:33" x14ac:dyDescent="0.25">
      <c r="AG7901">
        <v>7899</v>
      </c>
    </row>
    <row r="7902" spans="33:33" x14ac:dyDescent="0.25">
      <c r="AG7902">
        <v>7900</v>
      </c>
    </row>
    <row r="7903" spans="33:33" x14ac:dyDescent="0.25">
      <c r="AG7903">
        <v>7901</v>
      </c>
    </row>
    <row r="7904" spans="33:33" x14ac:dyDescent="0.25">
      <c r="AG7904">
        <v>7902</v>
      </c>
    </row>
    <row r="7905" spans="33:33" x14ac:dyDescent="0.25">
      <c r="AG7905">
        <v>7903</v>
      </c>
    </row>
    <row r="7906" spans="33:33" x14ac:dyDescent="0.25">
      <c r="AG7906">
        <v>7904</v>
      </c>
    </row>
    <row r="7907" spans="33:33" x14ac:dyDescent="0.25">
      <c r="AG7907">
        <v>7905</v>
      </c>
    </row>
    <row r="7908" spans="33:33" x14ac:dyDescent="0.25">
      <c r="AG7908">
        <v>7906</v>
      </c>
    </row>
    <row r="7909" spans="33:33" x14ac:dyDescent="0.25">
      <c r="AG7909">
        <v>7907</v>
      </c>
    </row>
    <row r="7910" spans="33:33" x14ac:dyDescent="0.25">
      <c r="AG7910">
        <v>7908</v>
      </c>
    </row>
    <row r="7911" spans="33:33" x14ac:dyDescent="0.25">
      <c r="AG7911">
        <v>7909</v>
      </c>
    </row>
    <row r="7912" spans="33:33" x14ac:dyDescent="0.25">
      <c r="AG7912">
        <v>7910</v>
      </c>
    </row>
    <row r="7913" spans="33:33" x14ac:dyDescent="0.25">
      <c r="AG7913">
        <v>7911</v>
      </c>
    </row>
    <row r="7914" spans="33:33" x14ac:dyDescent="0.25">
      <c r="AG7914">
        <v>7912</v>
      </c>
    </row>
    <row r="7915" spans="33:33" x14ac:dyDescent="0.25">
      <c r="AG7915">
        <v>7913</v>
      </c>
    </row>
    <row r="7916" spans="33:33" x14ac:dyDescent="0.25">
      <c r="AG7916">
        <v>7914</v>
      </c>
    </row>
    <row r="7917" spans="33:33" x14ac:dyDescent="0.25">
      <c r="AG7917">
        <v>7915</v>
      </c>
    </row>
    <row r="7918" spans="33:33" x14ac:dyDescent="0.25">
      <c r="AG7918">
        <v>7916</v>
      </c>
    </row>
    <row r="7919" spans="33:33" x14ac:dyDescent="0.25">
      <c r="AG7919">
        <v>7917</v>
      </c>
    </row>
    <row r="7920" spans="33:33" x14ac:dyDescent="0.25">
      <c r="AG7920">
        <v>7918</v>
      </c>
    </row>
    <row r="7921" spans="33:33" x14ac:dyDescent="0.25">
      <c r="AG7921">
        <v>7919</v>
      </c>
    </row>
    <row r="7922" spans="33:33" x14ac:dyDescent="0.25">
      <c r="AG7922">
        <v>7920</v>
      </c>
    </row>
    <row r="7923" spans="33:33" x14ac:dyDescent="0.25">
      <c r="AG7923">
        <v>7921</v>
      </c>
    </row>
    <row r="7924" spans="33:33" x14ac:dyDescent="0.25">
      <c r="AG7924">
        <v>7922</v>
      </c>
    </row>
    <row r="7925" spans="33:33" x14ac:dyDescent="0.25">
      <c r="AG7925">
        <v>7923</v>
      </c>
    </row>
    <row r="7926" spans="33:33" x14ac:dyDescent="0.25">
      <c r="AG7926">
        <v>7924</v>
      </c>
    </row>
    <row r="7927" spans="33:33" x14ac:dyDescent="0.25">
      <c r="AG7927">
        <v>7925</v>
      </c>
    </row>
    <row r="7928" spans="33:33" x14ac:dyDescent="0.25">
      <c r="AG7928">
        <v>7926</v>
      </c>
    </row>
    <row r="7929" spans="33:33" x14ac:dyDescent="0.25">
      <c r="AG7929">
        <v>7927</v>
      </c>
    </row>
    <row r="7930" spans="33:33" x14ac:dyDescent="0.25">
      <c r="AG7930">
        <v>7928</v>
      </c>
    </row>
    <row r="7931" spans="33:33" x14ac:dyDescent="0.25">
      <c r="AG7931">
        <v>7929</v>
      </c>
    </row>
    <row r="7932" spans="33:33" x14ac:dyDescent="0.25">
      <c r="AG7932">
        <v>7930</v>
      </c>
    </row>
    <row r="7933" spans="33:33" x14ac:dyDescent="0.25">
      <c r="AG7933">
        <v>7931</v>
      </c>
    </row>
    <row r="7934" spans="33:33" x14ac:dyDescent="0.25">
      <c r="AG7934">
        <v>7932</v>
      </c>
    </row>
    <row r="7935" spans="33:33" x14ac:dyDescent="0.25">
      <c r="AG7935">
        <v>7933</v>
      </c>
    </row>
    <row r="7936" spans="33:33" x14ac:dyDescent="0.25">
      <c r="AG7936">
        <v>7934</v>
      </c>
    </row>
    <row r="7937" spans="33:33" x14ac:dyDescent="0.25">
      <c r="AG7937">
        <v>7935</v>
      </c>
    </row>
    <row r="7938" spans="33:33" x14ac:dyDescent="0.25">
      <c r="AG7938">
        <v>7936</v>
      </c>
    </row>
    <row r="7939" spans="33:33" x14ac:dyDescent="0.25">
      <c r="AG7939">
        <v>7937</v>
      </c>
    </row>
    <row r="7940" spans="33:33" x14ac:dyDescent="0.25">
      <c r="AG7940">
        <v>7938</v>
      </c>
    </row>
    <row r="7941" spans="33:33" x14ac:dyDescent="0.25">
      <c r="AG7941">
        <v>7939</v>
      </c>
    </row>
    <row r="7942" spans="33:33" x14ac:dyDescent="0.25">
      <c r="AG7942">
        <v>7940</v>
      </c>
    </row>
    <row r="7943" spans="33:33" x14ac:dyDescent="0.25">
      <c r="AG7943">
        <v>7941</v>
      </c>
    </row>
    <row r="7944" spans="33:33" x14ac:dyDescent="0.25">
      <c r="AG7944">
        <v>7942</v>
      </c>
    </row>
    <row r="7945" spans="33:33" x14ac:dyDescent="0.25">
      <c r="AG7945">
        <v>7943</v>
      </c>
    </row>
    <row r="7946" spans="33:33" x14ac:dyDescent="0.25">
      <c r="AG7946">
        <v>7944</v>
      </c>
    </row>
    <row r="7947" spans="33:33" x14ac:dyDescent="0.25">
      <c r="AG7947">
        <v>7945</v>
      </c>
    </row>
    <row r="7948" spans="33:33" x14ac:dyDescent="0.25">
      <c r="AG7948">
        <v>7946</v>
      </c>
    </row>
    <row r="7949" spans="33:33" x14ac:dyDescent="0.25">
      <c r="AG7949">
        <v>7947</v>
      </c>
    </row>
    <row r="7950" spans="33:33" x14ac:dyDescent="0.25">
      <c r="AG7950">
        <v>7948</v>
      </c>
    </row>
    <row r="7951" spans="33:33" x14ac:dyDescent="0.25">
      <c r="AG7951">
        <v>7949</v>
      </c>
    </row>
    <row r="7952" spans="33:33" x14ac:dyDescent="0.25">
      <c r="AG7952">
        <v>7950</v>
      </c>
    </row>
    <row r="7953" spans="33:33" x14ac:dyDescent="0.25">
      <c r="AG7953">
        <v>7951</v>
      </c>
    </row>
    <row r="7954" spans="33:33" x14ac:dyDescent="0.25">
      <c r="AG7954">
        <v>7952</v>
      </c>
    </row>
    <row r="7955" spans="33:33" x14ac:dyDescent="0.25">
      <c r="AG7955">
        <v>7953</v>
      </c>
    </row>
    <row r="7956" spans="33:33" x14ac:dyDescent="0.25">
      <c r="AG7956">
        <v>7954</v>
      </c>
    </row>
    <row r="7957" spans="33:33" x14ac:dyDescent="0.25">
      <c r="AG7957">
        <v>7955</v>
      </c>
    </row>
    <row r="7958" spans="33:33" x14ac:dyDescent="0.25">
      <c r="AG7958">
        <v>7956</v>
      </c>
    </row>
    <row r="7959" spans="33:33" x14ac:dyDescent="0.25">
      <c r="AG7959">
        <v>7957</v>
      </c>
    </row>
    <row r="7960" spans="33:33" x14ac:dyDescent="0.25">
      <c r="AG7960">
        <v>7958</v>
      </c>
    </row>
    <row r="7961" spans="33:33" x14ac:dyDescent="0.25">
      <c r="AG7961">
        <v>7959</v>
      </c>
    </row>
    <row r="7962" spans="33:33" x14ac:dyDescent="0.25">
      <c r="AG7962">
        <v>7960</v>
      </c>
    </row>
    <row r="7963" spans="33:33" x14ac:dyDescent="0.25">
      <c r="AG7963">
        <v>7961</v>
      </c>
    </row>
    <row r="7964" spans="33:33" x14ac:dyDescent="0.25">
      <c r="AG7964">
        <v>7962</v>
      </c>
    </row>
    <row r="7965" spans="33:33" x14ac:dyDescent="0.25">
      <c r="AG7965">
        <v>7963</v>
      </c>
    </row>
    <row r="7966" spans="33:33" x14ac:dyDescent="0.25">
      <c r="AG7966">
        <v>7964</v>
      </c>
    </row>
    <row r="7967" spans="33:33" x14ac:dyDescent="0.25">
      <c r="AG7967">
        <v>7965</v>
      </c>
    </row>
    <row r="7968" spans="33:33" x14ac:dyDescent="0.25">
      <c r="AG7968">
        <v>7966</v>
      </c>
    </row>
    <row r="7969" spans="33:33" x14ac:dyDescent="0.25">
      <c r="AG7969">
        <v>7967</v>
      </c>
    </row>
    <row r="7970" spans="33:33" x14ac:dyDescent="0.25">
      <c r="AG7970">
        <v>7968</v>
      </c>
    </row>
    <row r="7971" spans="33:33" x14ac:dyDescent="0.25">
      <c r="AG7971">
        <v>7969</v>
      </c>
    </row>
    <row r="7972" spans="33:33" x14ac:dyDescent="0.25">
      <c r="AG7972">
        <v>7970</v>
      </c>
    </row>
    <row r="7973" spans="33:33" x14ac:dyDescent="0.25">
      <c r="AG7973">
        <v>7971</v>
      </c>
    </row>
    <row r="7974" spans="33:33" x14ac:dyDescent="0.25">
      <c r="AG7974">
        <v>7972</v>
      </c>
    </row>
    <row r="7975" spans="33:33" x14ac:dyDescent="0.25">
      <c r="AG7975">
        <v>7973</v>
      </c>
    </row>
    <row r="7976" spans="33:33" x14ac:dyDescent="0.25">
      <c r="AG7976">
        <v>7974</v>
      </c>
    </row>
    <row r="7977" spans="33:33" x14ac:dyDescent="0.25">
      <c r="AG7977">
        <v>7975</v>
      </c>
    </row>
    <row r="7978" spans="33:33" x14ac:dyDescent="0.25">
      <c r="AG7978">
        <v>7976</v>
      </c>
    </row>
    <row r="7979" spans="33:33" x14ac:dyDescent="0.25">
      <c r="AG7979">
        <v>7977</v>
      </c>
    </row>
    <row r="7980" spans="33:33" x14ac:dyDescent="0.25">
      <c r="AG7980">
        <v>7978</v>
      </c>
    </row>
    <row r="7981" spans="33:33" x14ac:dyDescent="0.25">
      <c r="AG7981">
        <v>7979</v>
      </c>
    </row>
    <row r="7982" spans="33:33" x14ac:dyDescent="0.25">
      <c r="AG7982">
        <v>7980</v>
      </c>
    </row>
    <row r="7983" spans="33:33" x14ac:dyDescent="0.25">
      <c r="AG7983">
        <v>7981</v>
      </c>
    </row>
    <row r="7984" spans="33:33" x14ac:dyDescent="0.25">
      <c r="AG7984">
        <v>7982</v>
      </c>
    </row>
    <row r="7985" spans="33:33" x14ac:dyDescent="0.25">
      <c r="AG7985">
        <v>7983</v>
      </c>
    </row>
    <row r="7986" spans="33:33" x14ac:dyDescent="0.25">
      <c r="AG7986">
        <v>7984</v>
      </c>
    </row>
    <row r="7987" spans="33:33" x14ac:dyDescent="0.25">
      <c r="AG7987">
        <v>7985</v>
      </c>
    </row>
    <row r="7988" spans="33:33" x14ac:dyDescent="0.25">
      <c r="AG7988">
        <v>7986</v>
      </c>
    </row>
    <row r="7989" spans="33:33" x14ac:dyDescent="0.25">
      <c r="AG7989">
        <v>7987</v>
      </c>
    </row>
    <row r="7990" spans="33:33" x14ac:dyDescent="0.25">
      <c r="AG7990">
        <v>7988</v>
      </c>
    </row>
    <row r="7991" spans="33:33" x14ac:dyDescent="0.25">
      <c r="AG7991">
        <v>7989</v>
      </c>
    </row>
    <row r="7992" spans="33:33" x14ac:dyDescent="0.25">
      <c r="AG7992">
        <v>7990</v>
      </c>
    </row>
    <row r="7993" spans="33:33" x14ac:dyDescent="0.25">
      <c r="AG7993">
        <v>7991</v>
      </c>
    </row>
    <row r="7994" spans="33:33" x14ac:dyDescent="0.25">
      <c r="AG7994">
        <v>7992</v>
      </c>
    </row>
    <row r="7995" spans="33:33" x14ac:dyDescent="0.25">
      <c r="AG7995">
        <v>7993</v>
      </c>
    </row>
    <row r="7996" spans="33:33" x14ac:dyDescent="0.25">
      <c r="AG7996">
        <v>7994</v>
      </c>
    </row>
    <row r="7997" spans="33:33" x14ac:dyDescent="0.25">
      <c r="AG7997">
        <v>7995</v>
      </c>
    </row>
    <row r="7998" spans="33:33" x14ac:dyDescent="0.25">
      <c r="AG7998">
        <v>7996</v>
      </c>
    </row>
    <row r="7999" spans="33:33" x14ac:dyDescent="0.25">
      <c r="AG7999">
        <v>7997</v>
      </c>
    </row>
    <row r="8000" spans="33:33" x14ac:dyDescent="0.25">
      <c r="AG8000">
        <v>7998</v>
      </c>
    </row>
    <row r="8001" spans="33:33" x14ac:dyDescent="0.25">
      <c r="AG8001">
        <v>7999</v>
      </c>
    </row>
    <row r="8002" spans="33:33" x14ac:dyDescent="0.25">
      <c r="AG8002">
        <v>8000</v>
      </c>
    </row>
    <row r="8003" spans="33:33" x14ac:dyDescent="0.25">
      <c r="AG8003">
        <v>8001</v>
      </c>
    </row>
    <row r="8004" spans="33:33" x14ac:dyDescent="0.25">
      <c r="AG8004">
        <v>8002</v>
      </c>
    </row>
    <row r="8005" spans="33:33" x14ac:dyDescent="0.25">
      <c r="AG8005">
        <v>8003</v>
      </c>
    </row>
    <row r="8006" spans="33:33" x14ac:dyDescent="0.25">
      <c r="AG8006">
        <v>8004</v>
      </c>
    </row>
    <row r="8007" spans="33:33" x14ac:dyDescent="0.25">
      <c r="AG8007">
        <v>8005</v>
      </c>
    </row>
    <row r="8008" spans="33:33" x14ac:dyDescent="0.25">
      <c r="AG8008">
        <v>8006</v>
      </c>
    </row>
    <row r="8009" spans="33:33" x14ac:dyDescent="0.25">
      <c r="AG8009">
        <v>8007</v>
      </c>
    </row>
    <row r="8010" spans="33:33" x14ac:dyDescent="0.25">
      <c r="AG8010">
        <v>8008</v>
      </c>
    </row>
    <row r="8011" spans="33:33" x14ac:dyDescent="0.25">
      <c r="AG8011">
        <v>8009</v>
      </c>
    </row>
    <row r="8012" spans="33:33" x14ac:dyDescent="0.25">
      <c r="AG8012">
        <v>8010</v>
      </c>
    </row>
    <row r="8013" spans="33:33" x14ac:dyDescent="0.25">
      <c r="AG8013">
        <v>8011</v>
      </c>
    </row>
    <row r="8014" spans="33:33" x14ac:dyDescent="0.25">
      <c r="AG8014">
        <v>8012</v>
      </c>
    </row>
    <row r="8015" spans="33:33" x14ac:dyDescent="0.25">
      <c r="AG8015">
        <v>8013</v>
      </c>
    </row>
    <row r="8016" spans="33:33" x14ac:dyDescent="0.25">
      <c r="AG8016">
        <v>8014</v>
      </c>
    </row>
    <row r="8017" spans="33:33" x14ac:dyDescent="0.25">
      <c r="AG8017">
        <v>8015</v>
      </c>
    </row>
    <row r="8018" spans="33:33" x14ac:dyDescent="0.25">
      <c r="AG8018">
        <v>8016</v>
      </c>
    </row>
    <row r="8019" spans="33:33" x14ac:dyDescent="0.25">
      <c r="AG8019">
        <v>8017</v>
      </c>
    </row>
    <row r="8020" spans="33:33" x14ac:dyDescent="0.25">
      <c r="AG8020">
        <v>8018</v>
      </c>
    </row>
    <row r="8021" spans="33:33" x14ac:dyDescent="0.25">
      <c r="AG8021">
        <v>8019</v>
      </c>
    </row>
    <row r="8022" spans="33:33" x14ac:dyDescent="0.25">
      <c r="AG8022">
        <v>8020</v>
      </c>
    </row>
    <row r="8023" spans="33:33" x14ac:dyDescent="0.25">
      <c r="AG8023">
        <v>8021</v>
      </c>
    </row>
    <row r="8024" spans="33:33" x14ac:dyDescent="0.25">
      <c r="AG8024">
        <v>8022</v>
      </c>
    </row>
    <row r="8025" spans="33:33" x14ac:dyDescent="0.25">
      <c r="AG8025">
        <v>8023</v>
      </c>
    </row>
    <row r="8026" spans="33:33" x14ac:dyDescent="0.25">
      <c r="AG8026">
        <v>8024</v>
      </c>
    </row>
    <row r="8027" spans="33:33" x14ac:dyDescent="0.25">
      <c r="AG8027">
        <v>8025</v>
      </c>
    </row>
    <row r="8028" spans="33:33" x14ac:dyDescent="0.25">
      <c r="AG8028">
        <v>8026</v>
      </c>
    </row>
    <row r="8029" spans="33:33" x14ac:dyDescent="0.25">
      <c r="AG8029">
        <v>8027</v>
      </c>
    </row>
    <row r="8030" spans="33:33" x14ac:dyDescent="0.25">
      <c r="AG8030">
        <v>8028</v>
      </c>
    </row>
    <row r="8031" spans="33:33" x14ac:dyDescent="0.25">
      <c r="AG8031">
        <v>8029</v>
      </c>
    </row>
    <row r="8032" spans="33:33" x14ac:dyDescent="0.25">
      <c r="AG8032">
        <v>8030</v>
      </c>
    </row>
    <row r="8033" spans="33:33" x14ac:dyDescent="0.25">
      <c r="AG8033">
        <v>8031</v>
      </c>
    </row>
    <row r="8034" spans="33:33" x14ac:dyDescent="0.25">
      <c r="AG8034">
        <v>8032</v>
      </c>
    </row>
    <row r="8035" spans="33:33" x14ac:dyDescent="0.25">
      <c r="AG8035">
        <v>8033</v>
      </c>
    </row>
    <row r="8036" spans="33:33" x14ac:dyDescent="0.25">
      <c r="AG8036">
        <v>8034</v>
      </c>
    </row>
    <row r="8037" spans="33:33" x14ac:dyDescent="0.25">
      <c r="AG8037">
        <v>8035</v>
      </c>
    </row>
    <row r="8038" spans="33:33" x14ac:dyDescent="0.25">
      <c r="AG8038">
        <v>8036</v>
      </c>
    </row>
    <row r="8039" spans="33:33" x14ac:dyDescent="0.25">
      <c r="AG8039">
        <v>8037</v>
      </c>
    </row>
    <row r="8040" spans="33:33" x14ac:dyDescent="0.25">
      <c r="AG8040">
        <v>8038</v>
      </c>
    </row>
    <row r="8041" spans="33:33" x14ac:dyDescent="0.25">
      <c r="AG8041">
        <v>8039</v>
      </c>
    </row>
    <row r="8042" spans="33:33" x14ac:dyDescent="0.25">
      <c r="AG8042">
        <v>8040</v>
      </c>
    </row>
    <row r="8043" spans="33:33" x14ac:dyDescent="0.25">
      <c r="AG8043">
        <v>8041</v>
      </c>
    </row>
    <row r="8044" spans="33:33" x14ac:dyDescent="0.25">
      <c r="AG8044">
        <v>8042</v>
      </c>
    </row>
    <row r="8045" spans="33:33" x14ac:dyDescent="0.25">
      <c r="AG8045">
        <v>8043</v>
      </c>
    </row>
    <row r="8046" spans="33:33" x14ac:dyDescent="0.25">
      <c r="AG8046">
        <v>8044</v>
      </c>
    </row>
    <row r="8047" spans="33:33" x14ac:dyDescent="0.25">
      <c r="AG8047">
        <v>8045</v>
      </c>
    </row>
    <row r="8048" spans="33:33" x14ac:dyDescent="0.25">
      <c r="AG8048">
        <v>8046</v>
      </c>
    </row>
    <row r="8049" spans="33:33" x14ac:dyDescent="0.25">
      <c r="AG8049">
        <v>8047</v>
      </c>
    </row>
    <row r="8050" spans="33:33" x14ac:dyDescent="0.25">
      <c r="AG8050">
        <v>8048</v>
      </c>
    </row>
    <row r="8051" spans="33:33" x14ac:dyDescent="0.25">
      <c r="AG8051">
        <v>8049</v>
      </c>
    </row>
    <row r="8052" spans="33:33" x14ac:dyDescent="0.25">
      <c r="AG8052">
        <v>8050</v>
      </c>
    </row>
    <row r="8053" spans="33:33" x14ac:dyDescent="0.25">
      <c r="AG8053">
        <v>8051</v>
      </c>
    </row>
    <row r="8054" spans="33:33" x14ac:dyDescent="0.25">
      <c r="AG8054">
        <v>8052</v>
      </c>
    </row>
    <row r="8055" spans="33:33" x14ac:dyDescent="0.25">
      <c r="AG8055">
        <v>8053</v>
      </c>
    </row>
    <row r="8056" spans="33:33" x14ac:dyDescent="0.25">
      <c r="AG8056">
        <v>8054</v>
      </c>
    </row>
    <row r="8057" spans="33:33" x14ac:dyDescent="0.25">
      <c r="AG8057">
        <v>8055</v>
      </c>
    </row>
    <row r="8058" spans="33:33" x14ac:dyDescent="0.25">
      <c r="AG8058">
        <v>8056</v>
      </c>
    </row>
    <row r="8059" spans="33:33" x14ac:dyDescent="0.25">
      <c r="AG8059">
        <v>8057</v>
      </c>
    </row>
    <row r="8060" spans="33:33" x14ac:dyDescent="0.25">
      <c r="AG8060">
        <v>8058</v>
      </c>
    </row>
    <row r="8061" spans="33:33" x14ac:dyDescent="0.25">
      <c r="AG8061">
        <v>8059</v>
      </c>
    </row>
    <row r="8062" spans="33:33" x14ac:dyDescent="0.25">
      <c r="AG8062">
        <v>8060</v>
      </c>
    </row>
    <row r="8063" spans="33:33" x14ac:dyDescent="0.25">
      <c r="AG8063">
        <v>8061</v>
      </c>
    </row>
    <row r="8064" spans="33:33" x14ac:dyDescent="0.25">
      <c r="AG8064">
        <v>8062</v>
      </c>
    </row>
    <row r="8065" spans="33:33" x14ac:dyDescent="0.25">
      <c r="AG8065">
        <v>8063</v>
      </c>
    </row>
    <row r="8066" spans="33:33" x14ac:dyDescent="0.25">
      <c r="AG8066">
        <v>8064</v>
      </c>
    </row>
    <row r="8067" spans="33:33" x14ac:dyDescent="0.25">
      <c r="AG8067">
        <v>8065</v>
      </c>
    </row>
    <row r="8068" spans="33:33" x14ac:dyDescent="0.25">
      <c r="AG8068">
        <v>8066</v>
      </c>
    </row>
    <row r="8069" spans="33:33" x14ac:dyDescent="0.25">
      <c r="AG8069">
        <v>8067</v>
      </c>
    </row>
    <row r="8070" spans="33:33" x14ac:dyDescent="0.25">
      <c r="AG8070">
        <v>8068</v>
      </c>
    </row>
    <row r="8071" spans="33:33" x14ac:dyDescent="0.25">
      <c r="AG8071">
        <v>8069</v>
      </c>
    </row>
    <row r="8072" spans="33:33" x14ac:dyDescent="0.25">
      <c r="AG8072">
        <v>8070</v>
      </c>
    </row>
    <row r="8073" spans="33:33" x14ac:dyDescent="0.25">
      <c r="AG8073">
        <v>8071</v>
      </c>
    </row>
    <row r="8074" spans="33:33" x14ac:dyDescent="0.25">
      <c r="AG8074">
        <v>8072</v>
      </c>
    </row>
    <row r="8075" spans="33:33" x14ac:dyDescent="0.25">
      <c r="AG8075">
        <v>8073</v>
      </c>
    </row>
    <row r="8076" spans="33:33" x14ac:dyDescent="0.25">
      <c r="AG8076">
        <v>8074</v>
      </c>
    </row>
    <row r="8077" spans="33:33" x14ac:dyDescent="0.25">
      <c r="AG8077">
        <v>8075</v>
      </c>
    </row>
    <row r="8078" spans="33:33" x14ac:dyDescent="0.25">
      <c r="AG8078">
        <v>8076</v>
      </c>
    </row>
    <row r="8079" spans="33:33" x14ac:dyDescent="0.25">
      <c r="AG8079">
        <v>8077</v>
      </c>
    </row>
    <row r="8080" spans="33:33" x14ac:dyDescent="0.25">
      <c r="AG8080">
        <v>8078</v>
      </c>
    </row>
    <row r="8081" spans="33:33" x14ac:dyDescent="0.25">
      <c r="AG8081">
        <v>8079</v>
      </c>
    </row>
    <row r="8082" spans="33:33" x14ac:dyDescent="0.25">
      <c r="AG8082">
        <v>8080</v>
      </c>
    </row>
    <row r="8083" spans="33:33" x14ac:dyDescent="0.25">
      <c r="AG8083">
        <v>8081</v>
      </c>
    </row>
    <row r="8084" spans="33:33" x14ac:dyDescent="0.25">
      <c r="AG8084">
        <v>8082</v>
      </c>
    </row>
    <row r="8085" spans="33:33" x14ac:dyDescent="0.25">
      <c r="AG8085">
        <v>8083</v>
      </c>
    </row>
    <row r="8086" spans="33:33" x14ac:dyDescent="0.25">
      <c r="AG8086">
        <v>8084</v>
      </c>
    </row>
    <row r="8087" spans="33:33" x14ac:dyDescent="0.25">
      <c r="AG8087">
        <v>8085</v>
      </c>
    </row>
    <row r="8088" spans="33:33" x14ac:dyDescent="0.25">
      <c r="AG8088">
        <v>8086</v>
      </c>
    </row>
    <row r="8089" spans="33:33" x14ac:dyDescent="0.25">
      <c r="AG8089">
        <v>8087</v>
      </c>
    </row>
    <row r="8090" spans="33:33" x14ac:dyDescent="0.25">
      <c r="AG8090">
        <v>8088</v>
      </c>
    </row>
    <row r="8091" spans="33:33" x14ac:dyDescent="0.25">
      <c r="AG8091">
        <v>8089</v>
      </c>
    </row>
    <row r="8092" spans="33:33" x14ac:dyDescent="0.25">
      <c r="AG8092">
        <v>8090</v>
      </c>
    </row>
    <row r="8093" spans="33:33" x14ac:dyDescent="0.25">
      <c r="AG8093">
        <v>8091</v>
      </c>
    </row>
    <row r="8094" spans="33:33" x14ac:dyDescent="0.25">
      <c r="AG8094">
        <v>8092</v>
      </c>
    </row>
    <row r="8095" spans="33:33" x14ac:dyDescent="0.25">
      <c r="AG8095">
        <v>8093</v>
      </c>
    </row>
    <row r="8096" spans="33:33" x14ac:dyDescent="0.25">
      <c r="AG8096">
        <v>8094</v>
      </c>
    </row>
    <row r="8097" spans="33:33" x14ac:dyDescent="0.25">
      <c r="AG8097">
        <v>8095</v>
      </c>
    </row>
    <row r="8098" spans="33:33" x14ac:dyDescent="0.25">
      <c r="AG8098">
        <v>8096</v>
      </c>
    </row>
    <row r="8099" spans="33:33" x14ac:dyDescent="0.25">
      <c r="AG8099">
        <v>8097</v>
      </c>
    </row>
    <row r="8100" spans="33:33" x14ac:dyDescent="0.25">
      <c r="AG8100">
        <v>8098</v>
      </c>
    </row>
    <row r="8101" spans="33:33" x14ac:dyDescent="0.25">
      <c r="AG8101">
        <v>8099</v>
      </c>
    </row>
    <row r="8102" spans="33:33" x14ac:dyDescent="0.25">
      <c r="AG8102">
        <v>8100</v>
      </c>
    </row>
    <row r="8103" spans="33:33" x14ac:dyDescent="0.25">
      <c r="AG8103">
        <v>8101</v>
      </c>
    </row>
    <row r="8104" spans="33:33" x14ac:dyDescent="0.25">
      <c r="AG8104">
        <v>8102</v>
      </c>
    </row>
    <row r="8105" spans="33:33" x14ac:dyDescent="0.25">
      <c r="AG8105">
        <v>8103</v>
      </c>
    </row>
    <row r="8106" spans="33:33" x14ac:dyDescent="0.25">
      <c r="AG8106">
        <v>8104</v>
      </c>
    </row>
    <row r="8107" spans="33:33" x14ac:dyDescent="0.25">
      <c r="AG8107">
        <v>8105</v>
      </c>
    </row>
    <row r="8108" spans="33:33" x14ac:dyDescent="0.25">
      <c r="AG8108">
        <v>8106</v>
      </c>
    </row>
    <row r="8109" spans="33:33" x14ac:dyDescent="0.25">
      <c r="AG8109">
        <v>8107</v>
      </c>
    </row>
    <row r="8110" spans="33:33" x14ac:dyDescent="0.25">
      <c r="AG8110">
        <v>8108</v>
      </c>
    </row>
    <row r="8111" spans="33:33" x14ac:dyDescent="0.25">
      <c r="AG8111">
        <v>8109</v>
      </c>
    </row>
    <row r="8112" spans="33:33" x14ac:dyDescent="0.25">
      <c r="AG8112">
        <v>8110</v>
      </c>
    </row>
    <row r="8113" spans="33:33" x14ac:dyDescent="0.25">
      <c r="AG8113">
        <v>8111</v>
      </c>
    </row>
    <row r="8114" spans="33:33" x14ac:dyDescent="0.25">
      <c r="AG8114">
        <v>8112</v>
      </c>
    </row>
    <row r="8115" spans="33:33" x14ac:dyDescent="0.25">
      <c r="AG8115">
        <v>8113</v>
      </c>
    </row>
    <row r="8116" spans="33:33" x14ac:dyDescent="0.25">
      <c r="AG8116">
        <v>8114</v>
      </c>
    </row>
    <row r="8117" spans="33:33" x14ac:dyDescent="0.25">
      <c r="AG8117">
        <v>8115</v>
      </c>
    </row>
    <row r="8118" spans="33:33" x14ac:dyDescent="0.25">
      <c r="AG8118">
        <v>8116</v>
      </c>
    </row>
    <row r="8119" spans="33:33" x14ac:dyDescent="0.25">
      <c r="AG8119">
        <v>8117</v>
      </c>
    </row>
    <row r="8120" spans="33:33" x14ac:dyDescent="0.25">
      <c r="AG8120">
        <v>8118</v>
      </c>
    </row>
    <row r="8121" spans="33:33" x14ac:dyDescent="0.25">
      <c r="AG8121">
        <v>8119</v>
      </c>
    </row>
    <row r="8122" spans="33:33" x14ac:dyDescent="0.25">
      <c r="AG8122">
        <v>8120</v>
      </c>
    </row>
    <row r="8123" spans="33:33" x14ac:dyDescent="0.25">
      <c r="AG8123">
        <v>8121</v>
      </c>
    </row>
    <row r="8124" spans="33:33" x14ac:dyDescent="0.25">
      <c r="AG8124">
        <v>8122</v>
      </c>
    </row>
    <row r="8125" spans="33:33" x14ac:dyDescent="0.25">
      <c r="AG8125">
        <v>8123</v>
      </c>
    </row>
    <row r="8126" spans="33:33" x14ac:dyDescent="0.25">
      <c r="AG8126">
        <v>8124</v>
      </c>
    </row>
    <row r="8127" spans="33:33" x14ac:dyDescent="0.25">
      <c r="AG8127">
        <v>8125</v>
      </c>
    </row>
    <row r="8128" spans="33:33" x14ac:dyDescent="0.25">
      <c r="AG8128">
        <v>8126</v>
      </c>
    </row>
    <row r="8129" spans="33:33" x14ac:dyDescent="0.25">
      <c r="AG8129">
        <v>8127</v>
      </c>
    </row>
    <row r="8130" spans="33:33" x14ac:dyDescent="0.25">
      <c r="AG8130">
        <v>8128</v>
      </c>
    </row>
    <row r="8131" spans="33:33" x14ac:dyDescent="0.25">
      <c r="AG8131">
        <v>8129</v>
      </c>
    </row>
    <row r="8132" spans="33:33" x14ac:dyDescent="0.25">
      <c r="AG8132">
        <v>8130</v>
      </c>
    </row>
    <row r="8133" spans="33:33" x14ac:dyDescent="0.25">
      <c r="AG8133">
        <v>8131</v>
      </c>
    </row>
    <row r="8134" spans="33:33" x14ac:dyDescent="0.25">
      <c r="AG8134">
        <v>8132</v>
      </c>
    </row>
    <row r="8135" spans="33:33" x14ac:dyDescent="0.25">
      <c r="AG8135">
        <v>8133</v>
      </c>
    </row>
    <row r="8136" spans="33:33" x14ac:dyDescent="0.25">
      <c r="AG8136">
        <v>8134</v>
      </c>
    </row>
    <row r="8137" spans="33:33" x14ac:dyDescent="0.25">
      <c r="AG8137">
        <v>8135</v>
      </c>
    </row>
    <row r="8138" spans="33:33" x14ac:dyDescent="0.25">
      <c r="AG8138">
        <v>8136</v>
      </c>
    </row>
    <row r="8139" spans="33:33" x14ac:dyDescent="0.25">
      <c r="AG8139">
        <v>8137</v>
      </c>
    </row>
    <row r="8140" spans="33:33" x14ac:dyDescent="0.25">
      <c r="AG8140">
        <v>8138</v>
      </c>
    </row>
    <row r="8141" spans="33:33" x14ac:dyDescent="0.25">
      <c r="AG8141">
        <v>8139</v>
      </c>
    </row>
    <row r="8142" spans="33:33" x14ac:dyDescent="0.25">
      <c r="AG8142">
        <v>8140</v>
      </c>
    </row>
    <row r="8143" spans="33:33" x14ac:dyDescent="0.25">
      <c r="AG8143">
        <v>8141</v>
      </c>
    </row>
    <row r="8144" spans="33:33" x14ac:dyDescent="0.25">
      <c r="AG8144">
        <v>8142</v>
      </c>
    </row>
    <row r="8145" spans="33:33" x14ac:dyDescent="0.25">
      <c r="AG8145">
        <v>8143</v>
      </c>
    </row>
    <row r="8146" spans="33:33" x14ac:dyDescent="0.25">
      <c r="AG8146">
        <v>8144</v>
      </c>
    </row>
    <row r="8147" spans="33:33" x14ac:dyDescent="0.25">
      <c r="AG8147">
        <v>8145</v>
      </c>
    </row>
    <row r="8148" spans="33:33" x14ac:dyDescent="0.25">
      <c r="AG8148">
        <v>8146</v>
      </c>
    </row>
    <row r="8149" spans="33:33" x14ac:dyDescent="0.25">
      <c r="AG8149">
        <v>8147</v>
      </c>
    </row>
    <row r="8150" spans="33:33" x14ac:dyDescent="0.25">
      <c r="AG8150">
        <v>8148</v>
      </c>
    </row>
    <row r="8151" spans="33:33" x14ac:dyDescent="0.25">
      <c r="AG8151">
        <v>8149</v>
      </c>
    </row>
    <row r="8152" spans="33:33" x14ac:dyDescent="0.25">
      <c r="AG8152">
        <v>8150</v>
      </c>
    </row>
    <row r="8153" spans="33:33" x14ac:dyDescent="0.25">
      <c r="AG8153">
        <v>8151</v>
      </c>
    </row>
    <row r="8154" spans="33:33" x14ac:dyDescent="0.25">
      <c r="AG8154">
        <v>8152</v>
      </c>
    </row>
    <row r="8155" spans="33:33" x14ac:dyDescent="0.25">
      <c r="AG8155">
        <v>8153</v>
      </c>
    </row>
    <row r="8156" spans="33:33" x14ac:dyDescent="0.25">
      <c r="AG8156">
        <v>8154</v>
      </c>
    </row>
    <row r="8157" spans="33:33" x14ac:dyDescent="0.25">
      <c r="AG8157">
        <v>8155</v>
      </c>
    </row>
    <row r="8158" spans="33:33" x14ac:dyDescent="0.25">
      <c r="AG8158">
        <v>8156</v>
      </c>
    </row>
    <row r="8159" spans="33:33" x14ac:dyDescent="0.25">
      <c r="AG8159">
        <v>8157</v>
      </c>
    </row>
    <row r="8160" spans="33:33" x14ac:dyDescent="0.25">
      <c r="AG8160">
        <v>8158</v>
      </c>
    </row>
    <row r="8161" spans="33:33" x14ac:dyDescent="0.25">
      <c r="AG8161">
        <v>8159</v>
      </c>
    </row>
    <row r="8162" spans="33:33" x14ac:dyDescent="0.25">
      <c r="AG8162">
        <v>8160</v>
      </c>
    </row>
    <row r="8163" spans="33:33" x14ac:dyDescent="0.25">
      <c r="AG8163">
        <v>8161</v>
      </c>
    </row>
    <row r="8164" spans="33:33" x14ac:dyDescent="0.25">
      <c r="AG8164">
        <v>8162</v>
      </c>
    </row>
    <row r="8165" spans="33:33" x14ac:dyDescent="0.25">
      <c r="AG8165">
        <v>8163</v>
      </c>
    </row>
    <row r="8166" spans="33:33" x14ac:dyDescent="0.25">
      <c r="AG8166">
        <v>8164</v>
      </c>
    </row>
    <row r="8167" spans="33:33" x14ac:dyDescent="0.25">
      <c r="AG8167">
        <v>8165</v>
      </c>
    </row>
    <row r="8168" spans="33:33" x14ac:dyDescent="0.25">
      <c r="AG8168">
        <v>8166</v>
      </c>
    </row>
    <row r="8169" spans="33:33" x14ac:dyDescent="0.25">
      <c r="AG8169">
        <v>8167</v>
      </c>
    </row>
    <row r="8170" spans="33:33" x14ac:dyDescent="0.25">
      <c r="AG8170">
        <v>8168</v>
      </c>
    </row>
    <row r="8171" spans="33:33" x14ac:dyDescent="0.25">
      <c r="AG8171">
        <v>8169</v>
      </c>
    </row>
    <row r="8172" spans="33:33" x14ac:dyDescent="0.25">
      <c r="AG8172">
        <v>8170</v>
      </c>
    </row>
    <row r="8173" spans="33:33" x14ac:dyDescent="0.25">
      <c r="AG8173">
        <v>8171</v>
      </c>
    </row>
    <row r="8174" spans="33:33" x14ac:dyDescent="0.25">
      <c r="AG8174">
        <v>8172</v>
      </c>
    </row>
    <row r="8175" spans="33:33" x14ac:dyDescent="0.25">
      <c r="AG8175">
        <v>8173</v>
      </c>
    </row>
    <row r="8176" spans="33:33" x14ac:dyDescent="0.25">
      <c r="AG8176">
        <v>8174</v>
      </c>
    </row>
    <row r="8177" spans="33:33" x14ac:dyDescent="0.25">
      <c r="AG8177">
        <v>8175</v>
      </c>
    </row>
    <row r="8178" spans="33:33" x14ac:dyDescent="0.25">
      <c r="AG8178">
        <v>8176</v>
      </c>
    </row>
    <row r="8179" spans="33:33" x14ac:dyDescent="0.25">
      <c r="AG8179">
        <v>8177</v>
      </c>
    </row>
    <row r="8180" spans="33:33" x14ac:dyDescent="0.25">
      <c r="AG8180">
        <v>8178</v>
      </c>
    </row>
    <row r="8181" spans="33:33" x14ac:dyDescent="0.25">
      <c r="AG8181">
        <v>8179</v>
      </c>
    </row>
    <row r="8182" spans="33:33" x14ac:dyDescent="0.25">
      <c r="AG8182">
        <v>8180</v>
      </c>
    </row>
    <row r="8183" spans="33:33" x14ac:dyDescent="0.25">
      <c r="AG8183">
        <v>8181</v>
      </c>
    </row>
    <row r="8184" spans="33:33" x14ac:dyDescent="0.25">
      <c r="AG8184">
        <v>8182</v>
      </c>
    </row>
    <row r="8185" spans="33:33" x14ac:dyDescent="0.25">
      <c r="AG8185">
        <v>8183</v>
      </c>
    </row>
    <row r="8186" spans="33:33" x14ac:dyDescent="0.25">
      <c r="AG8186">
        <v>8184</v>
      </c>
    </row>
    <row r="8187" spans="33:33" x14ac:dyDescent="0.25">
      <c r="AG8187">
        <v>8185</v>
      </c>
    </row>
    <row r="8188" spans="33:33" x14ac:dyDescent="0.25">
      <c r="AG8188">
        <v>8186</v>
      </c>
    </row>
    <row r="8189" spans="33:33" x14ac:dyDescent="0.25">
      <c r="AG8189">
        <v>8187</v>
      </c>
    </row>
    <row r="8190" spans="33:33" x14ac:dyDescent="0.25">
      <c r="AG8190">
        <v>8188</v>
      </c>
    </row>
    <row r="8191" spans="33:33" x14ac:dyDescent="0.25">
      <c r="AG8191">
        <v>8189</v>
      </c>
    </row>
    <row r="8192" spans="33:33" x14ac:dyDescent="0.25">
      <c r="AG8192">
        <v>8190</v>
      </c>
    </row>
    <row r="8193" spans="33:33" x14ac:dyDescent="0.25">
      <c r="AG8193">
        <v>8191</v>
      </c>
    </row>
    <row r="8194" spans="33:33" x14ac:dyDescent="0.25">
      <c r="AG8194">
        <v>8192</v>
      </c>
    </row>
    <row r="8195" spans="33:33" x14ac:dyDescent="0.25">
      <c r="AG8195">
        <v>8193</v>
      </c>
    </row>
    <row r="8196" spans="33:33" x14ac:dyDescent="0.25">
      <c r="AG8196">
        <v>8194</v>
      </c>
    </row>
    <row r="8197" spans="33:33" x14ac:dyDescent="0.25">
      <c r="AG8197">
        <v>8195</v>
      </c>
    </row>
    <row r="8198" spans="33:33" x14ac:dyDescent="0.25">
      <c r="AG8198">
        <v>8196</v>
      </c>
    </row>
    <row r="8199" spans="33:33" x14ac:dyDescent="0.25">
      <c r="AG8199">
        <v>8197</v>
      </c>
    </row>
    <row r="8200" spans="33:33" x14ac:dyDescent="0.25">
      <c r="AG8200">
        <v>8198</v>
      </c>
    </row>
    <row r="8201" spans="33:33" x14ac:dyDescent="0.25">
      <c r="AG8201">
        <v>8199</v>
      </c>
    </row>
    <row r="8202" spans="33:33" x14ac:dyDescent="0.25">
      <c r="AG8202">
        <v>8200</v>
      </c>
    </row>
    <row r="8203" spans="33:33" x14ac:dyDescent="0.25">
      <c r="AG8203">
        <v>8201</v>
      </c>
    </row>
    <row r="8204" spans="33:33" x14ac:dyDescent="0.25">
      <c r="AG8204">
        <v>8202</v>
      </c>
    </row>
    <row r="8205" spans="33:33" x14ac:dyDescent="0.25">
      <c r="AG8205">
        <v>8203</v>
      </c>
    </row>
    <row r="8206" spans="33:33" x14ac:dyDescent="0.25">
      <c r="AG8206">
        <v>8204</v>
      </c>
    </row>
    <row r="8207" spans="33:33" x14ac:dyDescent="0.25">
      <c r="AG8207">
        <v>8205</v>
      </c>
    </row>
    <row r="8208" spans="33:33" x14ac:dyDescent="0.25">
      <c r="AG8208">
        <v>8206</v>
      </c>
    </row>
    <row r="8209" spans="33:33" x14ac:dyDescent="0.25">
      <c r="AG8209">
        <v>8207</v>
      </c>
    </row>
    <row r="8210" spans="33:33" x14ac:dyDescent="0.25">
      <c r="AG8210">
        <v>8208</v>
      </c>
    </row>
    <row r="8211" spans="33:33" x14ac:dyDescent="0.25">
      <c r="AG8211">
        <v>8209</v>
      </c>
    </row>
    <row r="8212" spans="33:33" x14ac:dyDescent="0.25">
      <c r="AG8212">
        <v>8210</v>
      </c>
    </row>
    <row r="8213" spans="33:33" x14ac:dyDescent="0.25">
      <c r="AG8213">
        <v>8211</v>
      </c>
    </row>
    <row r="8214" spans="33:33" x14ac:dyDescent="0.25">
      <c r="AG8214">
        <v>8212</v>
      </c>
    </row>
    <row r="8215" spans="33:33" x14ac:dyDescent="0.25">
      <c r="AG8215">
        <v>8213</v>
      </c>
    </row>
    <row r="8216" spans="33:33" x14ac:dyDescent="0.25">
      <c r="AG8216">
        <v>8214</v>
      </c>
    </row>
    <row r="8217" spans="33:33" x14ac:dyDescent="0.25">
      <c r="AG8217">
        <v>8215</v>
      </c>
    </row>
    <row r="8218" spans="33:33" x14ac:dyDescent="0.25">
      <c r="AG8218">
        <v>8216</v>
      </c>
    </row>
    <row r="8219" spans="33:33" x14ac:dyDescent="0.25">
      <c r="AG8219">
        <v>8217</v>
      </c>
    </row>
    <row r="8220" spans="33:33" x14ac:dyDescent="0.25">
      <c r="AG8220">
        <v>8218</v>
      </c>
    </row>
    <row r="8221" spans="33:33" x14ac:dyDescent="0.25">
      <c r="AG8221">
        <v>8219</v>
      </c>
    </row>
    <row r="8222" spans="33:33" x14ac:dyDescent="0.25">
      <c r="AG8222">
        <v>8220</v>
      </c>
    </row>
    <row r="8223" spans="33:33" x14ac:dyDescent="0.25">
      <c r="AG8223">
        <v>8221</v>
      </c>
    </row>
    <row r="8224" spans="33:33" x14ac:dyDescent="0.25">
      <c r="AG8224">
        <v>8222</v>
      </c>
    </row>
    <row r="8225" spans="33:33" x14ac:dyDescent="0.25">
      <c r="AG8225">
        <v>8223</v>
      </c>
    </row>
    <row r="8226" spans="33:33" x14ac:dyDescent="0.25">
      <c r="AG8226">
        <v>8224</v>
      </c>
    </row>
    <row r="8227" spans="33:33" x14ac:dyDescent="0.25">
      <c r="AG8227">
        <v>8225</v>
      </c>
    </row>
    <row r="8228" spans="33:33" x14ac:dyDescent="0.25">
      <c r="AG8228">
        <v>8226</v>
      </c>
    </row>
    <row r="8229" spans="33:33" x14ac:dyDescent="0.25">
      <c r="AG8229">
        <v>8227</v>
      </c>
    </row>
    <row r="8230" spans="33:33" x14ac:dyDescent="0.25">
      <c r="AG8230">
        <v>8228</v>
      </c>
    </row>
    <row r="8231" spans="33:33" x14ac:dyDescent="0.25">
      <c r="AG8231">
        <v>8229</v>
      </c>
    </row>
    <row r="8232" spans="33:33" x14ac:dyDescent="0.25">
      <c r="AG8232">
        <v>8230</v>
      </c>
    </row>
    <row r="8233" spans="33:33" x14ac:dyDescent="0.25">
      <c r="AG8233">
        <v>8231</v>
      </c>
    </row>
    <row r="8234" spans="33:33" x14ac:dyDescent="0.25">
      <c r="AG8234">
        <v>8232</v>
      </c>
    </row>
    <row r="8235" spans="33:33" x14ac:dyDescent="0.25">
      <c r="AG8235">
        <v>8233</v>
      </c>
    </row>
    <row r="8236" spans="33:33" x14ac:dyDescent="0.25">
      <c r="AG8236">
        <v>8234</v>
      </c>
    </row>
    <row r="8237" spans="33:33" x14ac:dyDescent="0.25">
      <c r="AG8237">
        <v>8235</v>
      </c>
    </row>
    <row r="8238" spans="33:33" x14ac:dyDescent="0.25">
      <c r="AG8238">
        <v>8236</v>
      </c>
    </row>
    <row r="8239" spans="33:33" x14ac:dyDescent="0.25">
      <c r="AG8239">
        <v>8237</v>
      </c>
    </row>
    <row r="8240" spans="33:33" x14ac:dyDescent="0.25">
      <c r="AG8240">
        <v>8238</v>
      </c>
    </row>
    <row r="8241" spans="33:33" x14ac:dyDescent="0.25">
      <c r="AG8241">
        <v>8239</v>
      </c>
    </row>
    <row r="8242" spans="33:33" x14ac:dyDescent="0.25">
      <c r="AG8242">
        <v>8240</v>
      </c>
    </row>
    <row r="8243" spans="33:33" x14ac:dyDescent="0.25">
      <c r="AG8243">
        <v>8241</v>
      </c>
    </row>
    <row r="8244" spans="33:33" x14ac:dyDescent="0.25">
      <c r="AG8244">
        <v>8242</v>
      </c>
    </row>
    <row r="8245" spans="33:33" x14ac:dyDescent="0.25">
      <c r="AG8245">
        <v>8243</v>
      </c>
    </row>
    <row r="8246" spans="33:33" x14ac:dyDescent="0.25">
      <c r="AG8246">
        <v>8244</v>
      </c>
    </row>
    <row r="8247" spans="33:33" x14ac:dyDescent="0.25">
      <c r="AG8247">
        <v>8245</v>
      </c>
    </row>
    <row r="8248" spans="33:33" x14ac:dyDescent="0.25">
      <c r="AG8248">
        <v>8246</v>
      </c>
    </row>
    <row r="8249" spans="33:33" x14ac:dyDescent="0.25">
      <c r="AG8249">
        <v>8247</v>
      </c>
    </row>
    <row r="8250" spans="33:33" x14ac:dyDescent="0.25">
      <c r="AG8250">
        <v>8248</v>
      </c>
    </row>
    <row r="8251" spans="33:33" x14ac:dyDescent="0.25">
      <c r="AG8251">
        <v>8249</v>
      </c>
    </row>
    <row r="8252" spans="33:33" x14ac:dyDescent="0.25">
      <c r="AG8252">
        <v>8250</v>
      </c>
    </row>
    <row r="8253" spans="33:33" x14ac:dyDescent="0.25">
      <c r="AG8253">
        <v>8251</v>
      </c>
    </row>
    <row r="8254" spans="33:33" x14ac:dyDescent="0.25">
      <c r="AG8254">
        <v>8252</v>
      </c>
    </row>
    <row r="8255" spans="33:33" x14ac:dyDescent="0.25">
      <c r="AG8255">
        <v>8253</v>
      </c>
    </row>
    <row r="8256" spans="33:33" x14ac:dyDescent="0.25">
      <c r="AG8256">
        <v>8254</v>
      </c>
    </row>
    <row r="8257" spans="33:33" x14ac:dyDescent="0.25">
      <c r="AG8257">
        <v>8255</v>
      </c>
    </row>
    <row r="8258" spans="33:33" x14ac:dyDescent="0.25">
      <c r="AG8258">
        <v>8256</v>
      </c>
    </row>
    <row r="8259" spans="33:33" x14ac:dyDescent="0.25">
      <c r="AG8259">
        <v>8257</v>
      </c>
    </row>
    <row r="8260" spans="33:33" x14ac:dyDescent="0.25">
      <c r="AG8260">
        <v>8258</v>
      </c>
    </row>
    <row r="8261" spans="33:33" x14ac:dyDescent="0.25">
      <c r="AG8261">
        <v>8259</v>
      </c>
    </row>
    <row r="8262" spans="33:33" x14ac:dyDescent="0.25">
      <c r="AG8262">
        <v>8260</v>
      </c>
    </row>
    <row r="8263" spans="33:33" x14ac:dyDescent="0.25">
      <c r="AG8263">
        <v>8261</v>
      </c>
    </row>
    <row r="8264" spans="33:33" x14ac:dyDescent="0.25">
      <c r="AG8264">
        <v>8262</v>
      </c>
    </row>
    <row r="8265" spans="33:33" x14ac:dyDescent="0.25">
      <c r="AG8265">
        <v>8263</v>
      </c>
    </row>
    <row r="8266" spans="33:33" x14ac:dyDescent="0.25">
      <c r="AG8266">
        <v>8264</v>
      </c>
    </row>
    <row r="8267" spans="33:33" x14ac:dyDescent="0.25">
      <c r="AG8267">
        <v>8265</v>
      </c>
    </row>
    <row r="8268" spans="33:33" x14ac:dyDescent="0.25">
      <c r="AG8268">
        <v>8266</v>
      </c>
    </row>
    <row r="8269" spans="33:33" x14ac:dyDescent="0.25">
      <c r="AG8269">
        <v>8267</v>
      </c>
    </row>
    <row r="8270" spans="33:33" x14ac:dyDescent="0.25">
      <c r="AG8270">
        <v>8268</v>
      </c>
    </row>
    <row r="8271" spans="33:33" x14ac:dyDescent="0.25">
      <c r="AG8271">
        <v>8269</v>
      </c>
    </row>
    <row r="8272" spans="33:33" x14ac:dyDescent="0.25">
      <c r="AG8272">
        <v>8270</v>
      </c>
    </row>
    <row r="8273" spans="33:33" x14ac:dyDescent="0.25">
      <c r="AG8273">
        <v>8271</v>
      </c>
    </row>
    <row r="8274" spans="33:33" x14ac:dyDescent="0.25">
      <c r="AG8274">
        <v>8272</v>
      </c>
    </row>
    <row r="8275" spans="33:33" x14ac:dyDescent="0.25">
      <c r="AG8275">
        <v>8273</v>
      </c>
    </row>
    <row r="8276" spans="33:33" x14ac:dyDescent="0.25">
      <c r="AG8276">
        <v>8274</v>
      </c>
    </row>
    <row r="8277" spans="33:33" x14ac:dyDescent="0.25">
      <c r="AG8277">
        <v>8275</v>
      </c>
    </row>
    <row r="8278" spans="33:33" x14ac:dyDescent="0.25">
      <c r="AG8278">
        <v>8276</v>
      </c>
    </row>
    <row r="8279" spans="33:33" x14ac:dyDescent="0.25">
      <c r="AG8279">
        <v>8277</v>
      </c>
    </row>
    <row r="8280" spans="33:33" x14ac:dyDescent="0.25">
      <c r="AG8280">
        <v>8278</v>
      </c>
    </row>
    <row r="8281" spans="33:33" x14ac:dyDescent="0.25">
      <c r="AG8281">
        <v>8279</v>
      </c>
    </row>
    <row r="8282" spans="33:33" x14ac:dyDescent="0.25">
      <c r="AG8282">
        <v>8280</v>
      </c>
    </row>
    <row r="8283" spans="33:33" x14ac:dyDescent="0.25">
      <c r="AG8283">
        <v>8281</v>
      </c>
    </row>
    <row r="8284" spans="33:33" x14ac:dyDescent="0.25">
      <c r="AG8284">
        <v>8282</v>
      </c>
    </row>
    <row r="8285" spans="33:33" x14ac:dyDescent="0.25">
      <c r="AG8285">
        <v>8283</v>
      </c>
    </row>
    <row r="8286" spans="33:33" x14ac:dyDescent="0.25">
      <c r="AG8286">
        <v>8284</v>
      </c>
    </row>
    <row r="8287" spans="33:33" x14ac:dyDescent="0.25">
      <c r="AG8287">
        <v>8285</v>
      </c>
    </row>
    <row r="8288" spans="33:33" x14ac:dyDescent="0.25">
      <c r="AG8288">
        <v>8286</v>
      </c>
    </row>
    <row r="8289" spans="33:33" x14ac:dyDescent="0.25">
      <c r="AG8289">
        <v>8287</v>
      </c>
    </row>
    <row r="8290" spans="33:33" x14ac:dyDescent="0.25">
      <c r="AG8290">
        <v>8288</v>
      </c>
    </row>
    <row r="8291" spans="33:33" x14ac:dyDescent="0.25">
      <c r="AG8291">
        <v>8289</v>
      </c>
    </row>
    <row r="8292" spans="33:33" x14ac:dyDescent="0.25">
      <c r="AG8292">
        <v>8290</v>
      </c>
    </row>
    <row r="8293" spans="33:33" x14ac:dyDescent="0.25">
      <c r="AG8293">
        <v>8291</v>
      </c>
    </row>
    <row r="8294" spans="33:33" x14ac:dyDescent="0.25">
      <c r="AG8294">
        <v>8292</v>
      </c>
    </row>
    <row r="8295" spans="33:33" x14ac:dyDescent="0.25">
      <c r="AG8295">
        <v>8293</v>
      </c>
    </row>
    <row r="8296" spans="33:33" x14ac:dyDescent="0.25">
      <c r="AG8296">
        <v>8294</v>
      </c>
    </row>
    <row r="8297" spans="33:33" x14ac:dyDescent="0.25">
      <c r="AG8297">
        <v>8295</v>
      </c>
    </row>
    <row r="8298" spans="33:33" x14ac:dyDescent="0.25">
      <c r="AG8298">
        <v>8296</v>
      </c>
    </row>
    <row r="8299" spans="33:33" x14ac:dyDescent="0.25">
      <c r="AG8299">
        <v>8297</v>
      </c>
    </row>
    <row r="8300" spans="33:33" x14ac:dyDescent="0.25">
      <c r="AG8300">
        <v>8298</v>
      </c>
    </row>
    <row r="8301" spans="33:33" x14ac:dyDescent="0.25">
      <c r="AG8301">
        <v>8299</v>
      </c>
    </row>
    <row r="8302" spans="33:33" x14ac:dyDescent="0.25">
      <c r="AG8302">
        <v>8300</v>
      </c>
    </row>
    <row r="8303" spans="33:33" x14ac:dyDescent="0.25">
      <c r="AG8303">
        <v>8301</v>
      </c>
    </row>
    <row r="8304" spans="33:33" x14ac:dyDescent="0.25">
      <c r="AG8304">
        <v>8302</v>
      </c>
    </row>
    <row r="8305" spans="33:33" x14ac:dyDescent="0.25">
      <c r="AG8305">
        <v>8303</v>
      </c>
    </row>
    <row r="8306" spans="33:33" x14ac:dyDescent="0.25">
      <c r="AG8306">
        <v>8304</v>
      </c>
    </row>
    <row r="8307" spans="33:33" x14ac:dyDescent="0.25">
      <c r="AG8307">
        <v>8305</v>
      </c>
    </row>
    <row r="8308" spans="33:33" x14ac:dyDescent="0.25">
      <c r="AG8308">
        <v>8306</v>
      </c>
    </row>
    <row r="8309" spans="33:33" x14ac:dyDescent="0.25">
      <c r="AG8309">
        <v>8307</v>
      </c>
    </row>
    <row r="8310" spans="33:33" x14ac:dyDescent="0.25">
      <c r="AG8310">
        <v>8308</v>
      </c>
    </row>
    <row r="8311" spans="33:33" x14ac:dyDescent="0.25">
      <c r="AG8311">
        <v>8309</v>
      </c>
    </row>
    <row r="8312" spans="33:33" x14ac:dyDescent="0.25">
      <c r="AG8312">
        <v>8310</v>
      </c>
    </row>
    <row r="8313" spans="33:33" x14ac:dyDescent="0.25">
      <c r="AG8313">
        <v>8311</v>
      </c>
    </row>
    <row r="8314" spans="33:33" x14ac:dyDescent="0.25">
      <c r="AG8314">
        <v>8312</v>
      </c>
    </row>
    <row r="8315" spans="33:33" x14ac:dyDescent="0.25">
      <c r="AG8315">
        <v>8313</v>
      </c>
    </row>
    <row r="8316" spans="33:33" x14ac:dyDescent="0.25">
      <c r="AG8316">
        <v>8314</v>
      </c>
    </row>
    <row r="8317" spans="33:33" x14ac:dyDescent="0.25">
      <c r="AG8317">
        <v>8315</v>
      </c>
    </row>
    <row r="8318" spans="33:33" x14ac:dyDescent="0.25">
      <c r="AG8318">
        <v>8316</v>
      </c>
    </row>
    <row r="8319" spans="33:33" x14ac:dyDescent="0.25">
      <c r="AG8319">
        <v>8317</v>
      </c>
    </row>
    <row r="8320" spans="33:33" x14ac:dyDescent="0.25">
      <c r="AG8320">
        <v>8318</v>
      </c>
    </row>
    <row r="8321" spans="33:33" x14ac:dyDescent="0.25">
      <c r="AG8321">
        <v>8319</v>
      </c>
    </row>
    <row r="8322" spans="33:33" x14ac:dyDescent="0.25">
      <c r="AG8322">
        <v>8320</v>
      </c>
    </row>
    <row r="8323" spans="33:33" x14ac:dyDescent="0.25">
      <c r="AG8323">
        <v>8321</v>
      </c>
    </row>
    <row r="8324" spans="33:33" x14ac:dyDescent="0.25">
      <c r="AG8324">
        <v>8322</v>
      </c>
    </row>
    <row r="8325" spans="33:33" x14ac:dyDescent="0.25">
      <c r="AG8325">
        <v>8323</v>
      </c>
    </row>
    <row r="8326" spans="33:33" x14ac:dyDescent="0.25">
      <c r="AG8326">
        <v>8324</v>
      </c>
    </row>
    <row r="8327" spans="33:33" x14ac:dyDescent="0.25">
      <c r="AG8327">
        <v>8325</v>
      </c>
    </row>
    <row r="8328" spans="33:33" x14ac:dyDescent="0.25">
      <c r="AG8328">
        <v>8326</v>
      </c>
    </row>
    <row r="8329" spans="33:33" x14ac:dyDescent="0.25">
      <c r="AG8329">
        <v>8327</v>
      </c>
    </row>
    <row r="8330" spans="33:33" x14ac:dyDescent="0.25">
      <c r="AG8330">
        <v>8328</v>
      </c>
    </row>
    <row r="8331" spans="33:33" x14ac:dyDescent="0.25">
      <c r="AG8331">
        <v>8329</v>
      </c>
    </row>
    <row r="8332" spans="33:33" x14ac:dyDescent="0.25">
      <c r="AG8332">
        <v>8330</v>
      </c>
    </row>
    <row r="8333" spans="33:33" x14ac:dyDescent="0.25">
      <c r="AG8333">
        <v>8331</v>
      </c>
    </row>
    <row r="8334" spans="33:33" x14ac:dyDescent="0.25">
      <c r="AG8334">
        <v>8332</v>
      </c>
    </row>
    <row r="8335" spans="33:33" x14ac:dyDescent="0.25">
      <c r="AG8335">
        <v>8333</v>
      </c>
    </row>
    <row r="8336" spans="33:33" x14ac:dyDescent="0.25">
      <c r="AG8336">
        <v>8334</v>
      </c>
    </row>
    <row r="8337" spans="33:33" x14ac:dyDescent="0.25">
      <c r="AG8337">
        <v>8335</v>
      </c>
    </row>
    <row r="8338" spans="33:33" x14ac:dyDescent="0.25">
      <c r="AG8338">
        <v>8336</v>
      </c>
    </row>
    <row r="8339" spans="33:33" x14ac:dyDescent="0.25">
      <c r="AG8339">
        <v>8337</v>
      </c>
    </row>
    <row r="8340" spans="33:33" x14ac:dyDescent="0.25">
      <c r="AG8340">
        <v>8338</v>
      </c>
    </row>
    <row r="8341" spans="33:33" x14ac:dyDescent="0.25">
      <c r="AG8341">
        <v>8339</v>
      </c>
    </row>
    <row r="8342" spans="33:33" x14ac:dyDescent="0.25">
      <c r="AG8342">
        <v>8340</v>
      </c>
    </row>
    <row r="8343" spans="33:33" x14ac:dyDescent="0.25">
      <c r="AG8343">
        <v>8341</v>
      </c>
    </row>
    <row r="8344" spans="33:33" x14ac:dyDescent="0.25">
      <c r="AG8344">
        <v>8342</v>
      </c>
    </row>
    <row r="8345" spans="33:33" x14ac:dyDescent="0.25">
      <c r="AG8345">
        <v>8343</v>
      </c>
    </row>
    <row r="8346" spans="33:33" x14ac:dyDescent="0.25">
      <c r="AG8346">
        <v>8344</v>
      </c>
    </row>
    <row r="8347" spans="33:33" x14ac:dyDescent="0.25">
      <c r="AG8347">
        <v>8345</v>
      </c>
    </row>
    <row r="8348" spans="33:33" x14ac:dyDescent="0.25">
      <c r="AG8348">
        <v>8346</v>
      </c>
    </row>
    <row r="8349" spans="33:33" x14ac:dyDescent="0.25">
      <c r="AG8349">
        <v>8347</v>
      </c>
    </row>
    <row r="8350" spans="33:33" x14ac:dyDescent="0.25">
      <c r="AG8350">
        <v>8348</v>
      </c>
    </row>
    <row r="8351" spans="33:33" x14ac:dyDescent="0.25">
      <c r="AG8351">
        <v>8349</v>
      </c>
    </row>
    <row r="8352" spans="33:33" x14ac:dyDescent="0.25">
      <c r="AG8352">
        <v>8350</v>
      </c>
    </row>
    <row r="8353" spans="33:33" x14ac:dyDescent="0.25">
      <c r="AG8353">
        <v>8351</v>
      </c>
    </row>
    <row r="8354" spans="33:33" x14ac:dyDescent="0.25">
      <c r="AG8354">
        <v>8352</v>
      </c>
    </row>
    <row r="8355" spans="33:33" x14ac:dyDescent="0.25">
      <c r="AG8355">
        <v>8353</v>
      </c>
    </row>
    <row r="8356" spans="33:33" x14ac:dyDescent="0.25">
      <c r="AG8356">
        <v>8354</v>
      </c>
    </row>
    <row r="8357" spans="33:33" x14ac:dyDescent="0.25">
      <c r="AG8357">
        <v>8355</v>
      </c>
    </row>
    <row r="8358" spans="33:33" x14ac:dyDescent="0.25">
      <c r="AG8358">
        <v>8356</v>
      </c>
    </row>
    <row r="8359" spans="33:33" x14ac:dyDescent="0.25">
      <c r="AG8359">
        <v>8357</v>
      </c>
    </row>
    <row r="8360" spans="33:33" x14ac:dyDescent="0.25">
      <c r="AG8360">
        <v>8358</v>
      </c>
    </row>
    <row r="8361" spans="33:33" x14ac:dyDescent="0.25">
      <c r="AG8361">
        <v>8359</v>
      </c>
    </row>
    <row r="8362" spans="33:33" x14ac:dyDescent="0.25">
      <c r="AG8362">
        <v>8360</v>
      </c>
    </row>
    <row r="8363" spans="33:33" x14ac:dyDescent="0.25">
      <c r="AG8363">
        <v>8361</v>
      </c>
    </row>
    <row r="8364" spans="33:33" x14ac:dyDescent="0.25">
      <c r="AG8364">
        <v>8362</v>
      </c>
    </row>
    <row r="8365" spans="33:33" x14ac:dyDescent="0.25">
      <c r="AG8365">
        <v>8363</v>
      </c>
    </row>
    <row r="8366" spans="33:33" x14ac:dyDescent="0.25">
      <c r="AG8366">
        <v>8364</v>
      </c>
    </row>
    <row r="8367" spans="33:33" x14ac:dyDescent="0.25">
      <c r="AG8367">
        <v>8365</v>
      </c>
    </row>
    <row r="8368" spans="33:33" x14ac:dyDescent="0.25">
      <c r="AG8368">
        <v>8366</v>
      </c>
    </row>
    <row r="8369" spans="33:33" x14ac:dyDescent="0.25">
      <c r="AG8369">
        <v>8367</v>
      </c>
    </row>
    <row r="8370" spans="33:33" x14ac:dyDescent="0.25">
      <c r="AG8370">
        <v>8368</v>
      </c>
    </row>
    <row r="8371" spans="33:33" x14ac:dyDescent="0.25">
      <c r="AG8371">
        <v>8369</v>
      </c>
    </row>
    <row r="8372" spans="33:33" x14ac:dyDescent="0.25">
      <c r="AG8372">
        <v>8370</v>
      </c>
    </row>
    <row r="8373" spans="33:33" x14ac:dyDescent="0.25">
      <c r="AG8373">
        <v>8371</v>
      </c>
    </row>
    <row r="8374" spans="33:33" x14ac:dyDescent="0.25">
      <c r="AG8374">
        <v>8372</v>
      </c>
    </row>
    <row r="8375" spans="33:33" x14ac:dyDescent="0.25">
      <c r="AG8375">
        <v>8373</v>
      </c>
    </row>
    <row r="8376" spans="33:33" x14ac:dyDescent="0.25">
      <c r="AG8376">
        <v>8374</v>
      </c>
    </row>
    <row r="8377" spans="33:33" x14ac:dyDescent="0.25">
      <c r="AG8377">
        <v>8375</v>
      </c>
    </row>
    <row r="8378" spans="33:33" x14ac:dyDescent="0.25">
      <c r="AG8378">
        <v>8376</v>
      </c>
    </row>
    <row r="8379" spans="33:33" x14ac:dyDescent="0.25">
      <c r="AG8379">
        <v>8377</v>
      </c>
    </row>
    <row r="8380" spans="33:33" x14ac:dyDescent="0.25">
      <c r="AG8380">
        <v>8378</v>
      </c>
    </row>
    <row r="8381" spans="33:33" x14ac:dyDescent="0.25">
      <c r="AG8381">
        <v>8379</v>
      </c>
    </row>
    <row r="8382" spans="33:33" x14ac:dyDescent="0.25">
      <c r="AG8382">
        <v>8380</v>
      </c>
    </row>
    <row r="8383" spans="33:33" x14ac:dyDescent="0.25">
      <c r="AG8383">
        <v>8381</v>
      </c>
    </row>
    <row r="8384" spans="33:33" x14ac:dyDescent="0.25">
      <c r="AG8384">
        <v>8382</v>
      </c>
    </row>
    <row r="8385" spans="33:33" x14ac:dyDescent="0.25">
      <c r="AG8385">
        <v>8383</v>
      </c>
    </row>
    <row r="8386" spans="33:33" x14ac:dyDescent="0.25">
      <c r="AG8386">
        <v>8384</v>
      </c>
    </row>
    <row r="8387" spans="33:33" x14ac:dyDescent="0.25">
      <c r="AG8387">
        <v>8385</v>
      </c>
    </row>
    <row r="8388" spans="33:33" x14ac:dyDescent="0.25">
      <c r="AG8388">
        <v>8386</v>
      </c>
    </row>
    <row r="8389" spans="33:33" x14ac:dyDescent="0.25">
      <c r="AG8389">
        <v>8387</v>
      </c>
    </row>
    <row r="8390" spans="33:33" x14ac:dyDescent="0.25">
      <c r="AG8390">
        <v>8388</v>
      </c>
    </row>
    <row r="8391" spans="33:33" x14ac:dyDescent="0.25">
      <c r="AG8391">
        <v>8389</v>
      </c>
    </row>
    <row r="8392" spans="33:33" x14ac:dyDescent="0.25">
      <c r="AG8392">
        <v>8390</v>
      </c>
    </row>
    <row r="8393" spans="33:33" x14ac:dyDescent="0.25">
      <c r="AG8393">
        <v>8391</v>
      </c>
    </row>
    <row r="8394" spans="33:33" x14ac:dyDescent="0.25">
      <c r="AG8394">
        <v>8392</v>
      </c>
    </row>
    <row r="8395" spans="33:33" x14ac:dyDescent="0.25">
      <c r="AG8395">
        <v>8393</v>
      </c>
    </row>
    <row r="8396" spans="33:33" x14ac:dyDescent="0.25">
      <c r="AG8396">
        <v>8394</v>
      </c>
    </row>
    <row r="8397" spans="33:33" x14ac:dyDescent="0.25">
      <c r="AG8397">
        <v>8395</v>
      </c>
    </row>
    <row r="8398" spans="33:33" x14ac:dyDescent="0.25">
      <c r="AG8398">
        <v>8396</v>
      </c>
    </row>
    <row r="8399" spans="33:33" x14ac:dyDescent="0.25">
      <c r="AG8399">
        <v>8397</v>
      </c>
    </row>
    <row r="8400" spans="33:33" x14ac:dyDescent="0.25">
      <c r="AG8400">
        <v>8398</v>
      </c>
    </row>
    <row r="8401" spans="33:33" x14ac:dyDescent="0.25">
      <c r="AG8401">
        <v>8399</v>
      </c>
    </row>
    <row r="8402" spans="33:33" x14ac:dyDescent="0.25">
      <c r="AG8402">
        <v>8400</v>
      </c>
    </row>
    <row r="8403" spans="33:33" x14ac:dyDescent="0.25">
      <c r="AG8403">
        <v>8401</v>
      </c>
    </row>
    <row r="8404" spans="33:33" x14ac:dyDescent="0.25">
      <c r="AG8404">
        <v>8402</v>
      </c>
    </row>
    <row r="8405" spans="33:33" x14ac:dyDescent="0.25">
      <c r="AG8405">
        <v>8403</v>
      </c>
    </row>
    <row r="8406" spans="33:33" x14ac:dyDescent="0.25">
      <c r="AG8406">
        <v>8404</v>
      </c>
    </row>
    <row r="8407" spans="33:33" x14ac:dyDescent="0.25">
      <c r="AG8407">
        <v>8405</v>
      </c>
    </row>
    <row r="8408" spans="33:33" x14ac:dyDescent="0.25">
      <c r="AG8408">
        <v>8406</v>
      </c>
    </row>
    <row r="8409" spans="33:33" x14ac:dyDescent="0.25">
      <c r="AG8409">
        <v>8407</v>
      </c>
    </row>
    <row r="8410" spans="33:33" x14ac:dyDescent="0.25">
      <c r="AG8410">
        <v>8408</v>
      </c>
    </row>
    <row r="8411" spans="33:33" x14ac:dyDescent="0.25">
      <c r="AG8411">
        <v>8409</v>
      </c>
    </row>
    <row r="8412" spans="33:33" x14ac:dyDescent="0.25">
      <c r="AG8412">
        <v>8410</v>
      </c>
    </row>
    <row r="8413" spans="33:33" x14ac:dyDescent="0.25">
      <c r="AG8413">
        <v>8411</v>
      </c>
    </row>
    <row r="8414" spans="33:33" x14ac:dyDescent="0.25">
      <c r="AG8414">
        <v>8412</v>
      </c>
    </row>
    <row r="8415" spans="33:33" x14ac:dyDescent="0.25">
      <c r="AG8415">
        <v>8413</v>
      </c>
    </row>
    <row r="8416" spans="33:33" x14ac:dyDescent="0.25">
      <c r="AG8416">
        <v>8414</v>
      </c>
    </row>
    <row r="8417" spans="33:33" x14ac:dyDescent="0.25">
      <c r="AG8417">
        <v>8415</v>
      </c>
    </row>
    <row r="8418" spans="33:33" x14ac:dyDescent="0.25">
      <c r="AG8418">
        <v>8416</v>
      </c>
    </row>
    <row r="8419" spans="33:33" x14ac:dyDescent="0.25">
      <c r="AG8419">
        <v>8417</v>
      </c>
    </row>
    <row r="8420" spans="33:33" x14ac:dyDescent="0.25">
      <c r="AG8420">
        <v>8418</v>
      </c>
    </row>
    <row r="8421" spans="33:33" x14ac:dyDescent="0.25">
      <c r="AG8421">
        <v>8419</v>
      </c>
    </row>
    <row r="8422" spans="33:33" x14ac:dyDescent="0.25">
      <c r="AG8422">
        <v>8420</v>
      </c>
    </row>
    <row r="8423" spans="33:33" x14ac:dyDescent="0.25">
      <c r="AG8423">
        <v>8421</v>
      </c>
    </row>
    <row r="8424" spans="33:33" x14ac:dyDescent="0.25">
      <c r="AG8424">
        <v>8422</v>
      </c>
    </row>
    <row r="8425" spans="33:33" x14ac:dyDescent="0.25">
      <c r="AG8425">
        <v>8423</v>
      </c>
    </row>
    <row r="8426" spans="33:33" x14ac:dyDescent="0.25">
      <c r="AG8426">
        <v>8424</v>
      </c>
    </row>
    <row r="8427" spans="33:33" x14ac:dyDescent="0.25">
      <c r="AG8427">
        <v>8425</v>
      </c>
    </row>
    <row r="8428" spans="33:33" x14ac:dyDescent="0.25">
      <c r="AG8428">
        <v>8426</v>
      </c>
    </row>
    <row r="8429" spans="33:33" x14ac:dyDescent="0.25">
      <c r="AG8429">
        <v>8427</v>
      </c>
    </row>
    <row r="8430" spans="33:33" x14ac:dyDescent="0.25">
      <c r="AG8430">
        <v>8428</v>
      </c>
    </row>
    <row r="8431" spans="33:33" x14ac:dyDescent="0.25">
      <c r="AG8431">
        <v>8429</v>
      </c>
    </row>
    <row r="8432" spans="33:33" x14ac:dyDescent="0.25">
      <c r="AG8432">
        <v>8430</v>
      </c>
    </row>
    <row r="8433" spans="33:33" x14ac:dyDescent="0.25">
      <c r="AG8433">
        <v>8431</v>
      </c>
    </row>
    <row r="8434" spans="33:33" x14ac:dyDescent="0.25">
      <c r="AG8434">
        <v>8432</v>
      </c>
    </row>
    <row r="8435" spans="33:33" x14ac:dyDescent="0.25">
      <c r="AG8435">
        <v>8433</v>
      </c>
    </row>
    <row r="8436" spans="33:33" x14ac:dyDescent="0.25">
      <c r="AG8436">
        <v>8434</v>
      </c>
    </row>
    <row r="8437" spans="33:33" x14ac:dyDescent="0.25">
      <c r="AG8437">
        <v>8435</v>
      </c>
    </row>
    <row r="8438" spans="33:33" x14ac:dyDescent="0.25">
      <c r="AG8438">
        <v>8436</v>
      </c>
    </row>
    <row r="8439" spans="33:33" x14ac:dyDescent="0.25">
      <c r="AG8439">
        <v>8437</v>
      </c>
    </row>
    <row r="8440" spans="33:33" x14ac:dyDescent="0.25">
      <c r="AG8440">
        <v>8438</v>
      </c>
    </row>
    <row r="8441" spans="33:33" x14ac:dyDescent="0.25">
      <c r="AG8441">
        <v>8439</v>
      </c>
    </row>
    <row r="8442" spans="33:33" x14ac:dyDescent="0.25">
      <c r="AG8442">
        <v>8440</v>
      </c>
    </row>
    <row r="8443" spans="33:33" x14ac:dyDescent="0.25">
      <c r="AG8443">
        <v>8441</v>
      </c>
    </row>
    <row r="8444" spans="33:33" x14ac:dyDescent="0.25">
      <c r="AG8444">
        <v>8442</v>
      </c>
    </row>
    <row r="8445" spans="33:33" x14ac:dyDescent="0.25">
      <c r="AG8445">
        <v>8443</v>
      </c>
    </row>
    <row r="8446" spans="33:33" x14ac:dyDescent="0.25">
      <c r="AG8446">
        <v>8444</v>
      </c>
    </row>
    <row r="8447" spans="33:33" x14ac:dyDescent="0.25">
      <c r="AG8447">
        <v>8445</v>
      </c>
    </row>
    <row r="8448" spans="33:33" x14ac:dyDescent="0.25">
      <c r="AG8448">
        <v>8446</v>
      </c>
    </row>
    <row r="8449" spans="33:33" x14ac:dyDescent="0.25">
      <c r="AG8449">
        <v>8447</v>
      </c>
    </row>
    <row r="8450" spans="33:33" x14ac:dyDescent="0.25">
      <c r="AG8450">
        <v>8448</v>
      </c>
    </row>
    <row r="8451" spans="33:33" x14ac:dyDescent="0.25">
      <c r="AG8451">
        <v>8449</v>
      </c>
    </row>
    <row r="8452" spans="33:33" x14ac:dyDescent="0.25">
      <c r="AG8452">
        <v>8450</v>
      </c>
    </row>
    <row r="8453" spans="33:33" x14ac:dyDescent="0.25">
      <c r="AG8453">
        <v>8451</v>
      </c>
    </row>
    <row r="8454" spans="33:33" x14ac:dyDescent="0.25">
      <c r="AG8454">
        <v>8452</v>
      </c>
    </row>
    <row r="8455" spans="33:33" x14ac:dyDescent="0.25">
      <c r="AG8455">
        <v>8453</v>
      </c>
    </row>
    <row r="8456" spans="33:33" x14ac:dyDescent="0.25">
      <c r="AG8456">
        <v>8454</v>
      </c>
    </row>
    <row r="8457" spans="33:33" x14ac:dyDescent="0.25">
      <c r="AG8457">
        <v>8455</v>
      </c>
    </row>
    <row r="8458" spans="33:33" x14ac:dyDescent="0.25">
      <c r="AG8458">
        <v>8456</v>
      </c>
    </row>
    <row r="8459" spans="33:33" x14ac:dyDescent="0.25">
      <c r="AG8459">
        <v>8457</v>
      </c>
    </row>
    <row r="8460" spans="33:33" x14ac:dyDescent="0.25">
      <c r="AG8460">
        <v>8458</v>
      </c>
    </row>
    <row r="8461" spans="33:33" x14ac:dyDescent="0.25">
      <c r="AG8461">
        <v>8459</v>
      </c>
    </row>
    <row r="8462" spans="33:33" x14ac:dyDescent="0.25">
      <c r="AG8462">
        <v>8460</v>
      </c>
    </row>
    <row r="8463" spans="33:33" x14ac:dyDescent="0.25">
      <c r="AG8463">
        <v>8461</v>
      </c>
    </row>
    <row r="8464" spans="33:33" x14ac:dyDescent="0.25">
      <c r="AG8464">
        <v>8462</v>
      </c>
    </row>
    <row r="8465" spans="33:33" x14ac:dyDescent="0.25">
      <c r="AG8465">
        <v>8463</v>
      </c>
    </row>
    <row r="8466" spans="33:33" x14ac:dyDescent="0.25">
      <c r="AG8466">
        <v>8464</v>
      </c>
    </row>
    <row r="8467" spans="33:33" x14ac:dyDescent="0.25">
      <c r="AG8467">
        <v>8465</v>
      </c>
    </row>
    <row r="8468" spans="33:33" x14ac:dyDescent="0.25">
      <c r="AG8468">
        <v>8466</v>
      </c>
    </row>
    <row r="8469" spans="33:33" x14ac:dyDescent="0.25">
      <c r="AG8469">
        <v>8467</v>
      </c>
    </row>
    <row r="8470" spans="33:33" x14ac:dyDescent="0.25">
      <c r="AG8470">
        <v>8468</v>
      </c>
    </row>
    <row r="8471" spans="33:33" x14ac:dyDescent="0.25">
      <c r="AG8471">
        <v>8469</v>
      </c>
    </row>
    <row r="8472" spans="33:33" x14ac:dyDescent="0.25">
      <c r="AG8472">
        <v>8470</v>
      </c>
    </row>
    <row r="8473" spans="33:33" x14ac:dyDescent="0.25">
      <c r="AG8473">
        <v>8471</v>
      </c>
    </row>
    <row r="8474" spans="33:33" x14ac:dyDescent="0.25">
      <c r="AG8474">
        <v>8472</v>
      </c>
    </row>
    <row r="8475" spans="33:33" x14ac:dyDescent="0.25">
      <c r="AG8475">
        <v>8473</v>
      </c>
    </row>
    <row r="8476" spans="33:33" x14ac:dyDescent="0.25">
      <c r="AG8476">
        <v>8474</v>
      </c>
    </row>
    <row r="8477" spans="33:33" x14ac:dyDescent="0.25">
      <c r="AG8477">
        <v>8475</v>
      </c>
    </row>
    <row r="8478" spans="33:33" x14ac:dyDescent="0.25">
      <c r="AG8478">
        <v>8476</v>
      </c>
    </row>
    <row r="8479" spans="33:33" x14ac:dyDescent="0.25">
      <c r="AG8479">
        <v>8477</v>
      </c>
    </row>
    <row r="8480" spans="33:33" x14ac:dyDescent="0.25">
      <c r="AG8480">
        <v>8478</v>
      </c>
    </row>
    <row r="8481" spans="33:33" x14ac:dyDescent="0.25">
      <c r="AG8481">
        <v>8479</v>
      </c>
    </row>
    <row r="8482" spans="33:33" x14ac:dyDescent="0.25">
      <c r="AG8482">
        <v>8480</v>
      </c>
    </row>
    <row r="8483" spans="33:33" x14ac:dyDescent="0.25">
      <c r="AG8483">
        <v>8481</v>
      </c>
    </row>
    <row r="8484" spans="33:33" x14ac:dyDescent="0.25">
      <c r="AG8484">
        <v>8482</v>
      </c>
    </row>
    <row r="8485" spans="33:33" x14ac:dyDescent="0.25">
      <c r="AG8485">
        <v>8483</v>
      </c>
    </row>
    <row r="8486" spans="33:33" x14ac:dyDescent="0.25">
      <c r="AG8486">
        <v>8484</v>
      </c>
    </row>
    <row r="8487" spans="33:33" x14ac:dyDescent="0.25">
      <c r="AG8487">
        <v>8485</v>
      </c>
    </row>
    <row r="8488" spans="33:33" x14ac:dyDescent="0.25">
      <c r="AG8488">
        <v>8486</v>
      </c>
    </row>
    <row r="8489" spans="33:33" x14ac:dyDescent="0.25">
      <c r="AG8489">
        <v>8487</v>
      </c>
    </row>
    <row r="8490" spans="33:33" x14ac:dyDescent="0.25">
      <c r="AG8490">
        <v>8488</v>
      </c>
    </row>
    <row r="8491" spans="33:33" x14ac:dyDescent="0.25">
      <c r="AG8491">
        <v>8489</v>
      </c>
    </row>
    <row r="8492" spans="33:33" x14ac:dyDescent="0.25">
      <c r="AG8492">
        <v>8490</v>
      </c>
    </row>
    <row r="8493" spans="33:33" x14ac:dyDescent="0.25">
      <c r="AG8493">
        <v>8491</v>
      </c>
    </row>
    <row r="8494" spans="33:33" x14ac:dyDescent="0.25">
      <c r="AG8494">
        <v>8492</v>
      </c>
    </row>
    <row r="8495" spans="33:33" x14ac:dyDescent="0.25">
      <c r="AG8495">
        <v>8493</v>
      </c>
    </row>
    <row r="8496" spans="33:33" x14ac:dyDescent="0.25">
      <c r="AG8496">
        <v>8494</v>
      </c>
    </row>
    <row r="8497" spans="33:33" x14ac:dyDescent="0.25">
      <c r="AG8497">
        <v>8495</v>
      </c>
    </row>
    <row r="8498" spans="33:33" x14ac:dyDescent="0.25">
      <c r="AG8498">
        <v>8496</v>
      </c>
    </row>
    <row r="8499" spans="33:33" x14ac:dyDescent="0.25">
      <c r="AG8499">
        <v>8497</v>
      </c>
    </row>
    <row r="8500" spans="33:33" x14ac:dyDescent="0.25">
      <c r="AG8500">
        <v>8498</v>
      </c>
    </row>
    <row r="8501" spans="33:33" x14ac:dyDescent="0.25">
      <c r="AG8501">
        <v>8499</v>
      </c>
    </row>
    <row r="8502" spans="33:33" x14ac:dyDescent="0.25">
      <c r="AG8502">
        <v>8500</v>
      </c>
    </row>
    <row r="8503" spans="33:33" x14ac:dyDescent="0.25">
      <c r="AG8503">
        <v>8501</v>
      </c>
    </row>
    <row r="8504" spans="33:33" x14ac:dyDescent="0.25">
      <c r="AG8504">
        <v>8502</v>
      </c>
    </row>
    <row r="8505" spans="33:33" x14ac:dyDescent="0.25">
      <c r="AG8505">
        <v>8503</v>
      </c>
    </row>
    <row r="8506" spans="33:33" x14ac:dyDescent="0.25">
      <c r="AG8506">
        <v>8504</v>
      </c>
    </row>
    <row r="8507" spans="33:33" x14ac:dyDescent="0.25">
      <c r="AG8507">
        <v>8505</v>
      </c>
    </row>
    <row r="8508" spans="33:33" x14ac:dyDescent="0.25">
      <c r="AG8508">
        <v>8506</v>
      </c>
    </row>
    <row r="8509" spans="33:33" x14ac:dyDescent="0.25">
      <c r="AG8509">
        <v>8507</v>
      </c>
    </row>
    <row r="8510" spans="33:33" x14ac:dyDescent="0.25">
      <c r="AG8510">
        <v>8508</v>
      </c>
    </row>
    <row r="8511" spans="33:33" x14ac:dyDescent="0.25">
      <c r="AG8511">
        <v>8509</v>
      </c>
    </row>
    <row r="8512" spans="33:33" x14ac:dyDescent="0.25">
      <c r="AG8512">
        <v>8510</v>
      </c>
    </row>
    <row r="8513" spans="33:33" x14ac:dyDescent="0.25">
      <c r="AG8513">
        <v>8511</v>
      </c>
    </row>
    <row r="8514" spans="33:33" x14ac:dyDescent="0.25">
      <c r="AG8514">
        <v>8512</v>
      </c>
    </row>
    <row r="8515" spans="33:33" x14ac:dyDescent="0.25">
      <c r="AG8515">
        <v>8513</v>
      </c>
    </row>
    <row r="8516" spans="33:33" x14ac:dyDescent="0.25">
      <c r="AG8516">
        <v>8514</v>
      </c>
    </row>
    <row r="8517" spans="33:33" x14ac:dyDescent="0.25">
      <c r="AG8517">
        <v>8515</v>
      </c>
    </row>
    <row r="8518" spans="33:33" x14ac:dyDescent="0.25">
      <c r="AG8518">
        <v>8516</v>
      </c>
    </row>
    <row r="8519" spans="33:33" x14ac:dyDescent="0.25">
      <c r="AG8519">
        <v>8517</v>
      </c>
    </row>
    <row r="8520" spans="33:33" x14ac:dyDescent="0.25">
      <c r="AG8520">
        <v>8518</v>
      </c>
    </row>
    <row r="8521" spans="33:33" x14ac:dyDescent="0.25">
      <c r="AG8521">
        <v>8519</v>
      </c>
    </row>
    <row r="8522" spans="33:33" x14ac:dyDescent="0.25">
      <c r="AG8522">
        <v>8520</v>
      </c>
    </row>
    <row r="8523" spans="33:33" x14ac:dyDescent="0.25">
      <c r="AG8523">
        <v>8521</v>
      </c>
    </row>
    <row r="8524" spans="33:33" x14ac:dyDescent="0.25">
      <c r="AG8524">
        <v>8522</v>
      </c>
    </row>
    <row r="8525" spans="33:33" x14ac:dyDescent="0.25">
      <c r="AG8525">
        <v>8523</v>
      </c>
    </row>
    <row r="8526" spans="33:33" x14ac:dyDescent="0.25">
      <c r="AG8526">
        <v>8524</v>
      </c>
    </row>
    <row r="8527" spans="33:33" x14ac:dyDescent="0.25">
      <c r="AG8527">
        <v>8525</v>
      </c>
    </row>
    <row r="8528" spans="33:33" x14ac:dyDescent="0.25">
      <c r="AG8528">
        <v>8526</v>
      </c>
    </row>
    <row r="8529" spans="33:33" x14ac:dyDescent="0.25">
      <c r="AG8529">
        <v>8527</v>
      </c>
    </row>
    <row r="8530" spans="33:33" x14ac:dyDescent="0.25">
      <c r="AG8530">
        <v>8528</v>
      </c>
    </row>
    <row r="8531" spans="33:33" x14ac:dyDescent="0.25">
      <c r="AG8531">
        <v>8529</v>
      </c>
    </row>
    <row r="8532" spans="33:33" x14ac:dyDescent="0.25">
      <c r="AG8532">
        <v>8530</v>
      </c>
    </row>
    <row r="8533" spans="33:33" x14ac:dyDescent="0.25">
      <c r="AG8533">
        <v>8531</v>
      </c>
    </row>
    <row r="8534" spans="33:33" x14ac:dyDescent="0.25">
      <c r="AG8534">
        <v>8532</v>
      </c>
    </row>
    <row r="8535" spans="33:33" x14ac:dyDescent="0.25">
      <c r="AG8535">
        <v>8533</v>
      </c>
    </row>
    <row r="8536" spans="33:33" x14ac:dyDescent="0.25">
      <c r="AG8536">
        <v>8534</v>
      </c>
    </row>
    <row r="8537" spans="33:33" x14ac:dyDescent="0.25">
      <c r="AG8537">
        <v>8535</v>
      </c>
    </row>
    <row r="8538" spans="33:33" x14ac:dyDescent="0.25">
      <c r="AG8538">
        <v>8536</v>
      </c>
    </row>
    <row r="8539" spans="33:33" x14ac:dyDescent="0.25">
      <c r="AG8539">
        <v>8537</v>
      </c>
    </row>
    <row r="8540" spans="33:33" x14ac:dyDescent="0.25">
      <c r="AG8540">
        <v>8538</v>
      </c>
    </row>
    <row r="8541" spans="33:33" x14ac:dyDescent="0.25">
      <c r="AG8541">
        <v>8539</v>
      </c>
    </row>
    <row r="8542" spans="33:33" x14ac:dyDescent="0.25">
      <c r="AG8542">
        <v>8540</v>
      </c>
    </row>
    <row r="8543" spans="33:33" x14ac:dyDescent="0.25">
      <c r="AG8543">
        <v>8541</v>
      </c>
    </row>
    <row r="8544" spans="33:33" x14ac:dyDescent="0.25">
      <c r="AG8544">
        <v>8542</v>
      </c>
    </row>
    <row r="8545" spans="33:33" x14ac:dyDescent="0.25">
      <c r="AG8545">
        <v>8543</v>
      </c>
    </row>
    <row r="8546" spans="33:33" x14ac:dyDescent="0.25">
      <c r="AG8546">
        <v>8544</v>
      </c>
    </row>
    <row r="8547" spans="33:33" x14ac:dyDescent="0.25">
      <c r="AG8547">
        <v>8545</v>
      </c>
    </row>
    <row r="8548" spans="33:33" x14ac:dyDescent="0.25">
      <c r="AG8548">
        <v>8546</v>
      </c>
    </row>
    <row r="8549" spans="33:33" x14ac:dyDescent="0.25">
      <c r="AG8549">
        <v>8547</v>
      </c>
    </row>
    <row r="8550" spans="33:33" x14ac:dyDescent="0.25">
      <c r="AG8550">
        <v>8548</v>
      </c>
    </row>
    <row r="8551" spans="33:33" x14ac:dyDescent="0.25">
      <c r="AG8551">
        <v>8549</v>
      </c>
    </row>
    <row r="8552" spans="33:33" x14ac:dyDescent="0.25">
      <c r="AG8552">
        <v>8550</v>
      </c>
    </row>
    <row r="8553" spans="33:33" x14ac:dyDescent="0.25">
      <c r="AG8553">
        <v>8551</v>
      </c>
    </row>
    <row r="8554" spans="33:33" x14ac:dyDescent="0.25">
      <c r="AG8554">
        <v>8552</v>
      </c>
    </row>
    <row r="8555" spans="33:33" x14ac:dyDescent="0.25">
      <c r="AG8555">
        <v>8553</v>
      </c>
    </row>
    <row r="8556" spans="33:33" x14ac:dyDescent="0.25">
      <c r="AG8556">
        <v>8554</v>
      </c>
    </row>
    <row r="8557" spans="33:33" x14ac:dyDescent="0.25">
      <c r="AG8557">
        <v>8555</v>
      </c>
    </row>
    <row r="8558" spans="33:33" x14ac:dyDescent="0.25">
      <c r="AG8558">
        <v>8556</v>
      </c>
    </row>
    <row r="8559" spans="33:33" x14ac:dyDescent="0.25">
      <c r="AG8559">
        <v>8557</v>
      </c>
    </row>
    <row r="8560" spans="33:33" x14ac:dyDescent="0.25">
      <c r="AG8560">
        <v>8558</v>
      </c>
    </row>
    <row r="8561" spans="33:33" x14ac:dyDescent="0.25">
      <c r="AG8561">
        <v>8559</v>
      </c>
    </row>
    <row r="8562" spans="33:33" x14ac:dyDescent="0.25">
      <c r="AG8562">
        <v>8560</v>
      </c>
    </row>
    <row r="8563" spans="33:33" x14ac:dyDescent="0.25">
      <c r="AG8563">
        <v>8561</v>
      </c>
    </row>
    <row r="8564" spans="33:33" x14ac:dyDescent="0.25">
      <c r="AG8564">
        <v>8562</v>
      </c>
    </row>
    <row r="8565" spans="33:33" x14ac:dyDescent="0.25">
      <c r="AG8565">
        <v>8563</v>
      </c>
    </row>
    <row r="8566" spans="33:33" x14ac:dyDescent="0.25">
      <c r="AG8566">
        <v>8564</v>
      </c>
    </row>
    <row r="8567" spans="33:33" x14ac:dyDescent="0.25">
      <c r="AG8567">
        <v>8565</v>
      </c>
    </row>
    <row r="8568" spans="33:33" x14ac:dyDescent="0.25">
      <c r="AG8568">
        <v>8566</v>
      </c>
    </row>
    <row r="8569" spans="33:33" x14ac:dyDescent="0.25">
      <c r="AG8569">
        <v>8567</v>
      </c>
    </row>
    <row r="8570" spans="33:33" x14ac:dyDescent="0.25">
      <c r="AG8570">
        <v>8568</v>
      </c>
    </row>
    <row r="8571" spans="33:33" x14ac:dyDescent="0.25">
      <c r="AG8571">
        <v>8569</v>
      </c>
    </row>
    <row r="8572" spans="33:33" x14ac:dyDescent="0.25">
      <c r="AG8572">
        <v>8570</v>
      </c>
    </row>
    <row r="8573" spans="33:33" x14ac:dyDescent="0.25">
      <c r="AG8573">
        <v>8571</v>
      </c>
    </row>
    <row r="8574" spans="33:33" x14ac:dyDescent="0.25">
      <c r="AG8574">
        <v>8572</v>
      </c>
    </row>
    <row r="8575" spans="33:33" x14ac:dyDescent="0.25">
      <c r="AG8575">
        <v>8573</v>
      </c>
    </row>
    <row r="8576" spans="33:33" x14ac:dyDescent="0.25">
      <c r="AG8576">
        <v>8574</v>
      </c>
    </row>
    <row r="8577" spans="33:33" x14ac:dyDescent="0.25">
      <c r="AG8577">
        <v>8575</v>
      </c>
    </row>
    <row r="8578" spans="33:33" x14ac:dyDescent="0.25">
      <c r="AG8578">
        <v>8576</v>
      </c>
    </row>
    <row r="8579" spans="33:33" x14ac:dyDescent="0.25">
      <c r="AG8579">
        <v>8577</v>
      </c>
    </row>
    <row r="8580" spans="33:33" x14ac:dyDescent="0.25">
      <c r="AG8580">
        <v>8578</v>
      </c>
    </row>
    <row r="8581" spans="33:33" x14ac:dyDescent="0.25">
      <c r="AG8581">
        <v>8579</v>
      </c>
    </row>
    <row r="8582" spans="33:33" x14ac:dyDescent="0.25">
      <c r="AG8582">
        <v>8580</v>
      </c>
    </row>
    <row r="8583" spans="33:33" x14ac:dyDescent="0.25">
      <c r="AG8583">
        <v>8581</v>
      </c>
    </row>
    <row r="8584" spans="33:33" x14ac:dyDescent="0.25">
      <c r="AG8584">
        <v>8582</v>
      </c>
    </row>
    <row r="8585" spans="33:33" x14ac:dyDescent="0.25">
      <c r="AG8585">
        <v>8583</v>
      </c>
    </row>
    <row r="8586" spans="33:33" x14ac:dyDescent="0.25">
      <c r="AG8586">
        <v>8584</v>
      </c>
    </row>
    <row r="8587" spans="33:33" x14ac:dyDescent="0.25">
      <c r="AG8587">
        <v>8585</v>
      </c>
    </row>
    <row r="8588" spans="33:33" x14ac:dyDescent="0.25">
      <c r="AG8588">
        <v>8586</v>
      </c>
    </row>
    <row r="8589" spans="33:33" x14ac:dyDescent="0.25">
      <c r="AG8589">
        <v>8587</v>
      </c>
    </row>
    <row r="8590" spans="33:33" x14ac:dyDescent="0.25">
      <c r="AG8590">
        <v>8588</v>
      </c>
    </row>
    <row r="8591" spans="33:33" x14ac:dyDescent="0.25">
      <c r="AG8591">
        <v>8589</v>
      </c>
    </row>
    <row r="8592" spans="33:33" x14ac:dyDescent="0.25">
      <c r="AG8592">
        <v>8590</v>
      </c>
    </row>
    <row r="8593" spans="33:33" x14ac:dyDescent="0.25">
      <c r="AG8593">
        <v>8591</v>
      </c>
    </row>
    <row r="8594" spans="33:33" x14ac:dyDescent="0.25">
      <c r="AG8594">
        <v>8592</v>
      </c>
    </row>
    <row r="8595" spans="33:33" x14ac:dyDescent="0.25">
      <c r="AG8595">
        <v>8593</v>
      </c>
    </row>
    <row r="8596" spans="33:33" x14ac:dyDescent="0.25">
      <c r="AG8596">
        <v>8594</v>
      </c>
    </row>
    <row r="8597" spans="33:33" x14ac:dyDescent="0.25">
      <c r="AG8597">
        <v>8595</v>
      </c>
    </row>
    <row r="8598" spans="33:33" x14ac:dyDescent="0.25">
      <c r="AG8598">
        <v>8596</v>
      </c>
    </row>
    <row r="8599" spans="33:33" x14ac:dyDescent="0.25">
      <c r="AG8599">
        <v>8597</v>
      </c>
    </row>
    <row r="8600" spans="33:33" x14ac:dyDescent="0.25">
      <c r="AG8600">
        <v>8598</v>
      </c>
    </row>
    <row r="8601" spans="33:33" x14ac:dyDescent="0.25">
      <c r="AG8601">
        <v>8599</v>
      </c>
    </row>
    <row r="8602" spans="33:33" x14ac:dyDescent="0.25">
      <c r="AG8602">
        <v>8600</v>
      </c>
    </row>
    <row r="8603" spans="33:33" x14ac:dyDescent="0.25">
      <c r="AG8603">
        <v>8601</v>
      </c>
    </row>
    <row r="8604" spans="33:33" x14ac:dyDescent="0.25">
      <c r="AG8604">
        <v>8602</v>
      </c>
    </row>
    <row r="8605" spans="33:33" x14ac:dyDescent="0.25">
      <c r="AG8605">
        <v>8603</v>
      </c>
    </row>
    <row r="8606" spans="33:33" x14ac:dyDescent="0.25">
      <c r="AG8606">
        <v>8604</v>
      </c>
    </row>
    <row r="8607" spans="33:33" x14ac:dyDescent="0.25">
      <c r="AG8607">
        <v>8605</v>
      </c>
    </row>
    <row r="8608" spans="33:33" x14ac:dyDescent="0.25">
      <c r="AG8608">
        <v>8606</v>
      </c>
    </row>
    <row r="8609" spans="33:33" x14ac:dyDescent="0.25">
      <c r="AG8609">
        <v>8607</v>
      </c>
    </row>
    <row r="8610" spans="33:33" x14ac:dyDescent="0.25">
      <c r="AG8610">
        <v>8608</v>
      </c>
    </row>
    <row r="8611" spans="33:33" x14ac:dyDescent="0.25">
      <c r="AG8611">
        <v>8609</v>
      </c>
    </row>
    <row r="8612" spans="33:33" x14ac:dyDescent="0.25">
      <c r="AG8612">
        <v>8610</v>
      </c>
    </row>
    <row r="8613" spans="33:33" x14ac:dyDescent="0.25">
      <c r="AG8613">
        <v>8611</v>
      </c>
    </row>
    <row r="8614" spans="33:33" x14ac:dyDescent="0.25">
      <c r="AG8614">
        <v>8612</v>
      </c>
    </row>
    <row r="8615" spans="33:33" x14ac:dyDescent="0.25">
      <c r="AG8615">
        <v>8613</v>
      </c>
    </row>
    <row r="8616" spans="33:33" x14ac:dyDescent="0.25">
      <c r="AG8616">
        <v>8614</v>
      </c>
    </row>
    <row r="8617" spans="33:33" x14ac:dyDescent="0.25">
      <c r="AG8617">
        <v>8615</v>
      </c>
    </row>
    <row r="8618" spans="33:33" x14ac:dyDescent="0.25">
      <c r="AG8618">
        <v>8616</v>
      </c>
    </row>
    <row r="8619" spans="33:33" x14ac:dyDescent="0.25">
      <c r="AG8619">
        <v>8617</v>
      </c>
    </row>
    <row r="8620" spans="33:33" x14ac:dyDescent="0.25">
      <c r="AG8620">
        <v>8618</v>
      </c>
    </row>
    <row r="8621" spans="33:33" x14ac:dyDescent="0.25">
      <c r="AG8621">
        <v>8619</v>
      </c>
    </row>
    <row r="8622" spans="33:33" x14ac:dyDescent="0.25">
      <c r="AG8622">
        <v>8620</v>
      </c>
    </row>
    <row r="8623" spans="33:33" x14ac:dyDescent="0.25">
      <c r="AG8623">
        <v>8621</v>
      </c>
    </row>
    <row r="8624" spans="33:33" x14ac:dyDescent="0.25">
      <c r="AG8624">
        <v>8622</v>
      </c>
    </row>
    <row r="8625" spans="33:33" x14ac:dyDescent="0.25">
      <c r="AG8625">
        <v>8623</v>
      </c>
    </row>
    <row r="8626" spans="33:33" x14ac:dyDescent="0.25">
      <c r="AG8626">
        <v>8624</v>
      </c>
    </row>
    <row r="8627" spans="33:33" x14ac:dyDescent="0.25">
      <c r="AG8627">
        <v>8625</v>
      </c>
    </row>
    <row r="8628" spans="33:33" x14ac:dyDescent="0.25">
      <c r="AG8628">
        <v>8626</v>
      </c>
    </row>
    <row r="8629" spans="33:33" x14ac:dyDescent="0.25">
      <c r="AG8629">
        <v>8627</v>
      </c>
    </row>
    <row r="8630" spans="33:33" x14ac:dyDescent="0.25">
      <c r="AG8630">
        <v>8628</v>
      </c>
    </row>
    <row r="8631" spans="33:33" x14ac:dyDescent="0.25">
      <c r="AG8631">
        <v>8629</v>
      </c>
    </row>
    <row r="8632" spans="33:33" x14ac:dyDescent="0.25">
      <c r="AG8632">
        <v>8630</v>
      </c>
    </row>
    <row r="8633" spans="33:33" x14ac:dyDescent="0.25">
      <c r="AG8633">
        <v>8631</v>
      </c>
    </row>
    <row r="8634" spans="33:33" x14ac:dyDescent="0.25">
      <c r="AG8634">
        <v>8632</v>
      </c>
    </row>
    <row r="8635" spans="33:33" x14ac:dyDescent="0.25">
      <c r="AG8635">
        <v>8633</v>
      </c>
    </row>
    <row r="8636" spans="33:33" x14ac:dyDescent="0.25">
      <c r="AG8636">
        <v>8634</v>
      </c>
    </row>
    <row r="8637" spans="33:33" x14ac:dyDescent="0.25">
      <c r="AG8637">
        <v>8635</v>
      </c>
    </row>
    <row r="8638" spans="33:33" x14ac:dyDescent="0.25">
      <c r="AG8638">
        <v>8636</v>
      </c>
    </row>
    <row r="8639" spans="33:33" x14ac:dyDescent="0.25">
      <c r="AG8639">
        <v>8637</v>
      </c>
    </row>
    <row r="8640" spans="33:33" x14ac:dyDescent="0.25">
      <c r="AG8640">
        <v>8638</v>
      </c>
    </row>
    <row r="8641" spans="33:33" x14ac:dyDescent="0.25">
      <c r="AG8641">
        <v>8639</v>
      </c>
    </row>
    <row r="8642" spans="33:33" x14ac:dyDescent="0.25">
      <c r="AG8642">
        <v>8640</v>
      </c>
    </row>
    <row r="8643" spans="33:33" x14ac:dyDescent="0.25">
      <c r="AG8643">
        <v>8641</v>
      </c>
    </row>
    <row r="8644" spans="33:33" x14ac:dyDescent="0.25">
      <c r="AG8644">
        <v>8642</v>
      </c>
    </row>
    <row r="8645" spans="33:33" x14ac:dyDescent="0.25">
      <c r="AG8645">
        <v>8643</v>
      </c>
    </row>
    <row r="8646" spans="33:33" x14ac:dyDescent="0.25">
      <c r="AG8646">
        <v>8644</v>
      </c>
    </row>
    <row r="8647" spans="33:33" x14ac:dyDescent="0.25">
      <c r="AG8647">
        <v>8645</v>
      </c>
    </row>
    <row r="8648" spans="33:33" x14ac:dyDescent="0.25">
      <c r="AG8648">
        <v>8646</v>
      </c>
    </row>
    <row r="8649" spans="33:33" x14ac:dyDescent="0.25">
      <c r="AG8649">
        <v>8647</v>
      </c>
    </row>
    <row r="8650" spans="33:33" x14ac:dyDescent="0.25">
      <c r="AG8650">
        <v>8648</v>
      </c>
    </row>
    <row r="8651" spans="33:33" x14ac:dyDescent="0.25">
      <c r="AG8651">
        <v>8649</v>
      </c>
    </row>
    <row r="8652" spans="33:33" x14ac:dyDescent="0.25">
      <c r="AG8652">
        <v>8650</v>
      </c>
    </row>
    <row r="8653" spans="33:33" x14ac:dyDescent="0.25">
      <c r="AG8653">
        <v>8651</v>
      </c>
    </row>
    <row r="8654" spans="33:33" x14ac:dyDescent="0.25">
      <c r="AG8654">
        <v>8652</v>
      </c>
    </row>
    <row r="8655" spans="33:33" x14ac:dyDescent="0.25">
      <c r="AG8655">
        <v>8653</v>
      </c>
    </row>
    <row r="8656" spans="33:33" x14ac:dyDescent="0.25">
      <c r="AG8656">
        <v>8654</v>
      </c>
    </row>
    <row r="8657" spans="33:33" x14ac:dyDescent="0.25">
      <c r="AG8657">
        <v>8655</v>
      </c>
    </row>
    <row r="8658" spans="33:33" x14ac:dyDescent="0.25">
      <c r="AG8658">
        <v>8656</v>
      </c>
    </row>
    <row r="8659" spans="33:33" x14ac:dyDescent="0.25">
      <c r="AG8659">
        <v>8657</v>
      </c>
    </row>
    <row r="8660" spans="33:33" x14ac:dyDescent="0.25">
      <c r="AG8660">
        <v>8658</v>
      </c>
    </row>
    <row r="8661" spans="33:33" x14ac:dyDescent="0.25">
      <c r="AG8661">
        <v>8659</v>
      </c>
    </row>
    <row r="8662" spans="33:33" x14ac:dyDescent="0.25">
      <c r="AG8662">
        <v>8660</v>
      </c>
    </row>
    <row r="8663" spans="33:33" x14ac:dyDescent="0.25">
      <c r="AG8663">
        <v>8661</v>
      </c>
    </row>
    <row r="8664" spans="33:33" x14ac:dyDescent="0.25">
      <c r="AG8664">
        <v>8662</v>
      </c>
    </row>
    <row r="8665" spans="33:33" x14ac:dyDescent="0.25">
      <c r="AG8665">
        <v>8663</v>
      </c>
    </row>
    <row r="8666" spans="33:33" x14ac:dyDescent="0.25">
      <c r="AG8666">
        <v>8664</v>
      </c>
    </row>
    <row r="8667" spans="33:33" x14ac:dyDescent="0.25">
      <c r="AG8667">
        <v>8665</v>
      </c>
    </row>
    <row r="8668" spans="33:33" x14ac:dyDescent="0.25">
      <c r="AG8668">
        <v>8666</v>
      </c>
    </row>
    <row r="8669" spans="33:33" x14ac:dyDescent="0.25">
      <c r="AG8669">
        <v>8667</v>
      </c>
    </row>
    <row r="8670" spans="33:33" x14ac:dyDescent="0.25">
      <c r="AG8670">
        <v>8668</v>
      </c>
    </row>
    <row r="8671" spans="33:33" x14ac:dyDescent="0.25">
      <c r="AG8671">
        <v>8669</v>
      </c>
    </row>
    <row r="8672" spans="33:33" x14ac:dyDescent="0.25">
      <c r="AG8672">
        <v>8670</v>
      </c>
    </row>
    <row r="8673" spans="33:33" x14ac:dyDescent="0.25">
      <c r="AG8673">
        <v>8671</v>
      </c>
    </row>
    <row r="8674" spans="33:33" x14ac:dyDescent="0.25">
      <c r="AG8674">
        <v>8672</v>
      </c>
    </row>
    <row r="8675" spans="33:33" x14ac:dyDescent="0.25">
      <c r="AG8675">
        <v>8673</v>
      </c>
    </row>
    <row r="8676" spans="33:33" x14ac:dyDescent="0.25">
      <c r="AG8676">
        <v>8674</v>
      </c>
    </row>
    <row r="8677" spans="33:33" x14ac:dyDescent="0.25">
      <c r="AG8677">
        <v>8675</v>
      </c>
    </row>
    <row r="8678" spans="33:33" x14ac:dyDescent="0.25">
      <c r="AG8678">
        <v>8676</v>
      </c>
    </row>
    <row r="8679" spans="33:33" x14ac:dyDescent="0.25">
      <c r="AG8679">
        <v>8677</v>
      </c>
    </row>
    <row r="8680" spans="33:33" x14ac:dyDescent="0.25">
      <c r="AG8680">
        <v>8678</v>
      </c>
    </row>
    <row r="8681" spans="33:33" x14ac:dyDescent="0.25">
      <c r="AG8681">
        <v>8679</v>
      </c>
    </row>
    <row r="8682" spans="33:33" x14ac:dyDescent="0.25">
      <c r="AG8682">
        <v>8680</v>
      </c>
    </row>
    <row r="8683" spans="33:33" x14ac:dyDescent="0.25">
      <c r="AG8683">
        <v>8681</v>
      </c>
    </row>
    <row r="8684" spans="33:33" x14ac:dyDescent="0.25">
      <c r="AG8684">
        <v>8682</v>
      </c>
    </row>
    <row r="8685" spans="33:33" x14ac:dyDescent="0.25">
      <c r="AG8685">
        <v>8683</v>
      </c>
    </row>
    <row r="8686" spans="33:33" x14ac:dyDescent="0.25">
      <c r="AG8686">
        <v>8684</v>
      </c>
    </row>
    <row r="8687" spans="33:33" x14ac:dyDescent="0.25">
      <c r="AG8687">
        <v>8685</v>
      </c>
    </row>
    <row r="8688" spans="33:33" x14ac:dyDescent="0.25">
      <c r="AG8688">
        <v>8686</v>
      </c>
    </row>
    <row r="8689" spans="33:33" x14ac:dyDescent="0.25">
      <c r="AG8689">
        <v>8687</v>
      </c>
    </row>
    <row r="8690" spans="33:33" x14ac:dyDescent="0.25">
      <c r="AG8690">
        <v>8688</v>
      </c>
    </row>
    <row r="8691" spans="33:33" x14ac:dyDescent="0.25">
      <c r="AG8691">
        <v>8689</v>
      </c>
    </row>
    <row r="8692" spans="33:33" x14ac:dyDescent="0.25">
      <c r="AG8692">
        <v>8690</v>
      </c>
    </row>
    <row r="8693" spans="33:33" x14ac:dyDescent="0.25">
      <c r="AG8693">
        <v>8691</v>
      </c>
    </row>
    <row r="8694" spans="33:33" x14ac:dyDescent="0.25">
      <c r="AG8694">
        <v>8692</v>
      </c>
    </row>
    <row r="8695" spans="33:33" x14ac:dyDescent="0.25">
      <c r="AG8695">
        <v>8693</v>
      </c>
    </row>
    <row r="8696" spans="33:33" x14ac:dyDescent="0.25">
      <c r="AG8696">
        <v>8694</v>
      </c>
    </row>
    <row r="8697" spans="33:33" x14ac:dyDescent="0.25">
      <c r="AG8697">
        <v>8695</v>
      </c>
    </row>
    <row r="8698" spans="33:33" x14ac:dyDescent="0.25">
      <c r="AG8698">
        <v>8696</v>
      </c>
    </row>
    <row r="8699" spans="33:33" x14ac:dyDescent="0.25">
      <c r="AG8699">
        <v>8697</v>
      </c>
    </row>
    <row r="8700" spans="33:33" x14ac:dyDescent="0.25">
      <c r="AG8700">
        <v>8698</v>
      </c>
    </row>
    <row r="8701" spans="33:33" x14ac:dyDescent="0.25">
      <c r="AG8701">
        <v>8699</v>
      </c>
    </row>
    <row r="8702" spans="33:33" x14ac:dyDescent="0.25">
      <c r="AG8702">
        <v>8700</v>
      </c>
    </row>
    <row r="8703" spans="33:33" x14ac:dyDescent="0.25">
      <c r="AG8703">
        <v>8701</v>
      </c>
    </row>
    <row r="8704" spans="33:33" x14ac:dyDescent="0.25">
      <c r="AG8704">
        <v>8702</v>
      </c>
    </row>
    <row r="8705" spans="33:33" x14ac:dyDescent="0.25">
      <c r="AG8705">
        <v>8703</v>
      </c>
    </row>
    <row r="8706" spans="33:33" x14ac:dyDescent="0.25">
      <c r="AG8706">
        <v>8704</v>
      </c>
    </row>
    <row r="8707" spans="33:33" x14ac:dyDescent="0.25">
      <c r="AG8707">
        <v>8705</v>
      </c>
    </row>
    <row r="8708" spans="33:33" x14ac:dyDescent="0.25">
      <c r="AG8708">
        <v>8706</v>
      </c>
    </row>
    <row r="8709" spans="33:33" x14ac:dyDescent="0.25">
      <c r="AG8709">
        <v>8707</v>
      </c>
    </row>
    <row r="8710" spans="33:33" x14ac:dyDescent="0.25">
      <c r="AG8710">
        <v>8708</v>
      </c>
    </row>
    <row r="8711" spans="33:33" x14ac:dyDescent="0.25">
      <c r="AG8711">
        <v>8709</v>
      </c>
    </row>
    <row r="8712" spans="33:33" x14ac:dyDescent="0.25">
      <c r="AG8712">
        <v>8710</v>
      </c>
    </row>
    <row r="8713" spans="33:33" x14ac:dyDescent="0.25">
      <c r="AG8713">
        <v>8711</v>
      </c>
    </row>
    <row r="8714" spans="33:33" x14ac:dyDescent="0.25">
      <c r="AG8714">
        <v>8712</v>
      </c>
    </row>
    <row r="8715" spans="33:33" x14ac:dyDescent="0.25">
      <c r="AG8715">
        <v>8713</v>
      </c>
    </row>
    <row r="8716" spans="33:33" x14ac:dyDescent="0.25">
      <c r="AG8716">
        <v>8714</v>
      </c>
    </row>
    <row r="8717" spans="33:33" x14ac:dyDescent="0.25">
      <c r="AG8717">
        <v>8715</v>
      </c>
    </row>
    <row r="8718" spans="33:33" x14ac:dyDescent="0.25">
      <c r="AG8718">
        <v>8716</v>
      </c>
    </row>
    <row r="8719" spans="33:33" x14ac:dyDescent="0.25">
      <c r="AG8719">
        <v>8717</v>
      </c>
    </row>
    <row r="8720" spans="33:33" x14ac:dyDescent="0.25">
      <c r="AG8720">
        <v>8718</v>
      </c>
    </row>
    <row r="8721" spans="33:33" x14ac:dyDescent="0.25">
      <c r="AG8721">
        <v>8719</v>
      </c>
    </row>
    <row r="8722" spans="33:33" x14ac:dyDescent="0.25">
      <c r="AG8722">
        <v>8720</v>
      </c>
    </row>
    <row r="8723" spans="33:33" x14ac:dyDescent="0.25">
      <c r="AG8723">
        <v>8721</v>
      </c>
    </row>
    <row r="8724" spans="33:33" x14ac:dyDescent="0.25">
      <c r="AG8724">
        <v>8722</v>
      </c>
    </row>
    <row r="8725" spans="33:33" x14ac:dyDescent="0.25">
      <c r="AG8725">
        <v>8723</v>
      </c>
    </row>
    <row r="8726" spans="33:33" x14ac:dyDescent="0.25">
      <c r="AG8726">
        <v>8724</v>
      </c>
    </row>
    <row r="8727" spans="33:33" x14ac:dyDescent="0.25">
      <c r="AG8727">
        <v>8725</v>
      </c>
    </row>
    <row r="8728" spans="33:33" x14ac:dyDescent="0.25">
      <c r="AG8728">
        <v>8726</v>
      </c>
    </row>
    <row r="8729" spans="33:33" x14ac:dyDescent="0.25">
      <c r="AG8729">
        <v>8727</v>
      </c>
    </row>
    <row r="8730" spans="33:33" x14ac:dyDescent="0.25">
      <c r="AG8730">
        <v>8728</v>
      </c>
    </row>
    <row r="8731" spans="33:33" x14ac:dyDescent="0.25">
      <c r="AG8731">
        <v>8729</v>
      </c>
    </row>
    <row r="8732" spans="33:33" x14ac:dyDescent="0.25">
      <c r="AG8732">
        <v>8730</v>
      </c>
    </row>
    <row r="8733" spans="33:33" x14ac:dyDescent="0.25">
      <c r="AG8733">
        <v>8731</v>
      </c>
    </row>
    <row r="8734" spans="33:33" x14ac:dyDescent="0.25">
      <c r="AG8734">
        <v>8732</v>
      </c>
    </row>
    <row r="8735" spans="33:33" x14ac:dyDescent="0.25">
      <c r="AG8735">
        <v>8733</v>
      </c>
    </row>
    <row r="8736" spans="33:33" x14ac:dyDescent="0.25">
      <c r="AG8736">
        <v>8734</v>
      </c>
    </row>
    <row r="8737" spans="33:33" x14ac:dyDescent="0.25">
      <c r="AG8737">
        <v>8735</v>
      </c>
    </row>
    <row r="8738" spans="33:33" x14ac:dyDescent="0.25">
      <c r="AG8738">
        <v>8736</v>
      </c>
    </row>
    <row r="8739" spans="33:33" x14ac:dyDescent="0.25">
      <c r="AG8739">
        <v>8737</v>
      </c>
    </row>
    <row r="8740" spans="33:33" x14ac:dyDescent="0.25">
      <c r="AG8740">
        <v>8738</v>
      </c>
    </row>
    <row r="8741" spans="33:33" x14ac:dyDescent="0.25">
      <c r="AG8741">
        <v>8739</v>
      </c>
    </row>
    <row r="8742" spans="33:33" x14ac:dyDescent="0.25">
      <c r="AG8742">
        <v>8740</v>
      </c>
    </row>
    <row r="8743" spans="33:33" x14ac:dyDescent="0.25">
      <c r="AG8743">
        <v>8741</v>
      </c>
    </row>
    <row r="8744" spans="33:33" x14ac:dyDescent="0.25">
      <c r="AG8744">
        <v>8742</v>
      </c>
    </row>
    <row r="8745" spans="33:33" x14ac:dyDescent="0.25">
      <c r="AG8745">
        <v>8743</v>
      </c>
    </row>
    <row r="8746" spans="33:33" x14ac:dyDescent="0.25">
      <c r="AG8746">
        <v>8744</v>
      </c>
    </row>
    <row r="8747" spans="33:33" x14ac:dyDescent="0.25">
      <c r="AG8747">
        <v>8745</v>
      </c>
    </row>
    <row r="8748" spans="33:33" x14ac:dyDescent="0.25">
      <c r="AG8748">
        <v>8746</v>
      </c>
    </row>
    <row r="8749" spans="33:33" x14ac:dyDescent="0.25">
      <c r="AG8749">
        <v>8747</v>
      </c>
    </row>
    <row r="8750" spans="33:33" x14ac:dyDescent="0.25">
      <c r="AG8750">
        <v>8748</v>
      </c>
    </row>
    <row r="8751" spans="33:33" x14ac:dyDescent="0.25">
      <c r="AG8751">
        <v>8749</v>
      </c>
    </row>
    <row r="8752" spans="33:33" x14ac:dyDescent="0.25">
      <c r="AG8752">
        <v>8750</v>
      </c>
    </row>
    <row r="8753" spans="33:33" x14ac:dyDescent="0.25">
      <c r="AG8753">
        <v>8751</v>
      </c>
    </row>
    <row r="8754" spans="33:33" x14ac:dyDescent="0.25">
      <c r="AG8754">
        <v>8752</v>
      </c>
    </row>
    <row r="8755" spans="33:33" x14ac:dyDescent="0.25">
      <c r="AG8755">
        <v>8753</v>
      </c>
    </row>
    <row r="8756" spans="33:33" x14ac:dyDescent="0.25">
      <c r="AG8756">
        <v>8754</v>
      </c>
    </row>
    <row r="8757" spans="33:33" x14ac:dyDescent="0.25">
      <c r="AG8757">
        <v>8755</v>
      </c>
    </row>
    <row r="8758" spans="33:33" x14ac:dyDescent="0.25">
      <c r="AG8758">
        <v>8756</v>
      </c>
    </row>
    <row r="8759" spans="33:33" x14ac:dyDescent="0.25">
      <c r="AG8759">
        <v>8757</v>
      </c>
    </row>
    <row r="8760" spans="33:33" x14ac:dyDescent="0.25">
      <c r="AG8760">
        <v>8758</v>
      </c>
    </row>
    <row r="8761" spans="33:33" x14ac:dyDescent="0.25">
      <c r="AG8761">
        <v>8759</v>
      </c>
    </row>
    <row r="8762" spans="33:33" x14ac:dyDescent="0.25">
      <c r="AG8762">
        <v>8760</v>
      </c>
    </row>
    <row r="8763" spans="33:33" x14ac:dyDescent="0.25">
      <c r="AG8763">
        <v>8761</v>
      </c>
    </row>
    <row r="8764" spans="33:33" x14ac:dyDescent="0.25">
      <c r="AG8764">
        <v>8762</v>
      </c>
    </row>
    <row r="8765" spans="33:33" x14ac:dyDescent="0.25">
      <c r="AG8765">
        <v>8763</v>
      </c>
    </row>
    <row r="8766" spans="33:33" x14ac:dyDescent="0.25">
      <c r="AG8766">
        <v>8764</v>
      </c>
    </row>
    <row r="8767" spans="33:33" x14ac:dyDescent="0.25">
      <c r="AG8767">
        <v>8765</v>
      </c>
    </row>
    <row r="8768" spans="33:33" x14ac:dyDescent="0.25">
      <c r="AG8768">
        <v>8766</v>
      </c>
    </row>
    <row r="8769" spans="33:33" x14ac:dyDescent="0.25">
      <c r="AG8769">
        <v>8767</v>
      </c>
    </row>
    <row r="8770" spans="33:33" x14ac:dyDescent="0.25">
      <c r="AG8770">
        <v>8768</v>
      </c>
    </row>
    <row r="8771" spans="33:33" x14ac:dyDescent="0.25">
      <c r="AG8771">
        <v>8769</v>
      </c>
    </row>
    <row r="8772" spans="33:33" x14ac:dyDescent="0.25">
      <c r="AG8772">
        <v>8770</v>
      </c>
    </row>
    <row r="8773" spans="33:33" x14ac:dyDescent="0.25">
      <c r="AG8773">
        <v>8771</v>
      </c>
    </row>
    <row r="8774" spans="33:33" x14ac:dyDescent="0.25">
      <c r="AG8774">
        <v>8772</v>
      </c>
    </row>
    <row r="8775" spans="33:33" x14ac:dyDescent="0.25">
      <c r="AG8775">
        <v>8773</v>
      </c>
    </row>
    <row r="8776" spans="33:33" x14ac:dyDescent="0.25">
      <c r="AG8776">
        <v>8774</v>
      </c>
    </row>
    <row r="8777" spans="33:33" x14ac:dyDescent="0.25">
      <c r="AG8777">
        <v>8775</v>
      </c>
    </row>
    <row r="8778" spans="33:33" x14ac:dyDescent="0.25">
      <c r="AG8778">
        <v>8776</v>
      </c>
    </row>
    <row r="8779" spans="33:33" x14ac:dyDescent="0.25">
      <c r="AG8779">
        <v>8777</v>
      </c>
    </row>
    <row r="8780" spans="33:33" x14ac:dyDescent="0.25">
      <c r="AG8780">
        <v>8778</v>
      </c>
    </row>
    <row r="8781" spans="33:33" x14ac:dyDescent="0.25">
      <c r="AG8781">
        <v>8779</v>
      </c>
    </row>
    <row r="8782" spans="33:33" x14ac:dyDescent="0.25">
      <c r="AG8782">
        <v>8780</v>
      </c>
    </row>
    <row r="8783" spans="33:33" x14ac:dyDescent="0.25">
      <c r="AG8783">
        <v>8781</v>
      </c>
    </row>
    <row r="8784" spans="33:33" x14ac:dyDescent="0.25">
      <c r="AG8784">
        <v>8782</v>
      </c>
    </row>
    <row r="8785" spans="33:33" x14ac:dyDescent="0.25">
      <c r="AG8785">
        <v>8783</v>
      </c>
    </row>
    <row r="8786" spans="33:33" x14ac:dyDescent="0.25">
      <c r="AG8786">
        <v>8784</v>
      </c>
    </row>
    <row r="8787" spans="33:33" x14ac:dyDescent="0.25">
      <c r="AG8787">
        <v>8785</v>
      </c>
    </row>
    <row r="8788" spans="33:33" x14ac:dyDescent="0.25">
      <c r="AG8788">
        <v>8786</v>
      </c>
    </row>
    <row r="8789" spans="33:33" x14ac:dyDescent="0.25">
      <c r="AG8789">
        <v>8787</v>
      </c>
    </row>
    <row r="8790" spans="33:33" x14ac:dyDescent="0.25">
      <c r="AG8790">
        <v>8788</v>
      </c>
    </row>
    <row r="8791" spans="33:33" x14ac:dyDescent="0.25">
      <c r="AG8791">
        <v>8789</v>
      </c>
    </row>
    <row r="8792" spans="33:33" x14ac:dyDescent="0.25">
      <c r="AG8792">
        <v>8790</v>
      </c>
    </row>
    <row r="8793" spans="33:33" x14ac:dyDescent="0.25">
      <c r="AG8793">
        <v>8791</v>
      </c>
    </row>
    <row r="8794" spans="33:33" x14ac:dyDescent="0.25">
      <c r="AG8794">
        <v>8792</v>
      </c>
    </row>
    <row r="8795" spans="33:33" x14ac:dyDescent="0.25">
      <c r="AG8795">
        <v>8793</v>
      </c>
    </row>
    <row r="8796" spans="33:33" x14ac:dyDescent="0.25">
      <c r="AG8796">
        <v>8794</v>
      </c>
    </row>
    <row r="8797" spans="33:33" x14ac:dyDescent="0.25">
      <c r="AG8797">
        <v>8795</v>
      </c>
    </row>
    <row r="8798" spans="33:33" x14ac:dyDescent="0.25">
      <c r="AG8798">
        <v>8796</v>
      </c>
    </row>
    <row r="8799" spans="33:33" x14ac:dyDescent="0.25">
      <c r="AG8799">
        <v>8797</v>
      </c>
    </row>
    <row r="8800" spans="33:33" x14ac:dyDescent="0.25">
      <c r="AG8800">
        <v>8798</v>
      </c>
    </row>
    <row r="8801" spans="33:33" x14ac:dyDescent="0.25">
      <c r="AG8801">
        <v>8799</v>
      </c>
    </row>
    <row r="8802" spans="33:33" x14ac:dyDescent="0.25">
      <c r="AG8802">
        <v>8800</v>
      </c>
    </row>
    <row r="8803" spans="33:33" x14ac:dyDescent="0.25">
      <c r="AG8803">
        <v>8801</v>
      </c>
    </row>
    <row r="8804" spans="33:33" x14ac:dyDescent="0.25">
      <c r="AG8804">
        <v>8802</v>
      </c>
    </row>
    <row r="8805" spans="33:33" x14ac:dyDescent="0.25">
      <c r="AG8805">
        <v>8803</v>
      </c>
    </row>
    <row r="8806" spans="33:33" x14ac:dyDescent="0.25">
      <c r="AG8806">
        <v>8804</v>
      </c>
    </row>
    <row r="8807" spans="33:33" x14ac:dyDescent="0.25">
      <c r="AG8807">
        <v>8805</v>
      </c>
    </row>
    <row r="8808" spans="33:33" x14ac:dyDescent="0.25">
      <c r="AG8808">
        <v>8806</v>
      </c>
    </row>
    <row r="8809" spans="33:33" x14ac:dyDescent="0.25">
      <c r="AG8809">
        <v>8807</v>
      </c>
    </row>
    <row r="8810" spans="33:33" x14ac:dyDescent="0.25">
      <c r="AG8810">
        <v>8808</v>
      </c>
    </row>
    <row r="8811" spans="33:33" x14ac:dyDescent="0.25">
      <c r="AG8811">
        <v>8809</v>
      </c>
    </row>
    <row r="8812" spans="33:33" x14ac:dyDescent="0.25">
      <c r="AG8812">
        <v>8810</v>
      </c>
    </row>
    <row r="8813" spans="33:33" x14ac:dyDescent="0.25">
      <c r="AG8813">
        <v>8811</v>
      </c>
    </row>
    <row r="8814" spans="33:33" x14ac:dyDescent="0.25">
      <c r="AG8814">
        <v>8812</v>
      </c>
    </row>
    <row r="8815" spans="33:33" x14ac:dyDescent="0.25">
      <c r="AG8815">
        <v>8813</v>
      </c>
    </row>
    <row r="8816" spans="33:33" x14ac:dyDescent="0.25">
      <c r="AG8816">
        <v>8814</v>
      </c>
    </row>
    <row r="8817" spans="33:33" x14ac:dyDescent="0.25">
      <c r="AG8817">
        <v>8815</v>
      </c>
    </row>
    <row r="8818" spans="33:33" x14ac:dyDescent="0.25">
      <c r="AG8818">
        <v>8816</v>
      </c>
    </row>
    <row r="8819" spans="33:33" x14ac:dyDescent="0.25">
      <c r="AG8819">
        <v>8817</v>
      </c>
    </row>
    <row r="8820" spans="33:33" x14ac:dyDescent="0.25">
      <c r="AG8820">
        <v>8818</v>
      </c>
    </row>
    <row r="8821" spans="33:33" x14ac:dyDescent="0.25">
      <c r="AG8821">
        <v>8819</v>
      </c>
    </row>
    <row r="8822" spans="33:33" x14ac:dyDescent="0.25">
      <c r="AG8822">
        <v>8820</v>
      </c>
    </row>
    <row r="8823" spans="33:33" x14ac:dyDescent="0.25">
      <c r="AG8823">
        <v>8821</v>
      </c>
    </row>
    <row r="8824" spans="33:33" x14ac:dyDescent="0.25">
      <c r="AG8824">
        <v>8822</v>
      </c>
    </row>
    <row r="8825" spans="33:33" x14ac:dyDescent="0.25">
      <c r="AG8825">
        <v>8823</v>
      </c>
    </row>
    <row r="8826" spans="33:33" x14ac:dyDescent="0.25">
      <c r="AG8826">
        <v>8824</v>
      </c>
    </row>
    <row r="8827" spans="33:33" x14ac:dyDescent="0.25">
      <c r="AG8827">
        <v>8825</v>
      </c>
    </row>
    <row r="8828" spans="33:33" x14ac:dyDescent="0.25">
      <c r="AG8828">
        <v>8826</v>
      </c>
    </row>
    <row r="8829" spans="33:33" x14ac:dyDescent="0.25">
      <c r="AG8829">
        <v>8827</v>
      </c>
    </row>
    <row r="8830" spans="33:33" x14ac:dyDescent="0.25">
      <c r="AG8830">
        <v>8828</v>
      </c>
    </row>
    <row r="8831" spans="33:33" x14ac:dyDescent="0.25">
      <c r="AG8831">
        <v>8829</v>
      </c>
    </row>
    <row r="8832" spans="33:33" x14ac:dyDescent="0.25">
      <c r="AG8832">
        <v>8830</v>
      </c>
    </row>
    <row r="8833" spans="33:33" x14ac:dyDescent="0.25">
      <c r="AG8833">
        <v>8831</v>
      </c>
    </row>
    <row r="8834" spans="33:33" x14ac:dyDescent="0.25">
      <c r="AG8834">
        <v>8832</v>
      </c>
    </row>
    <row r="8835" spans="33:33" x14ac:dyDescent="0.25">
      <c r="AG8835">
        <v>8833</v>
      </c>
    </row>
    <row r="8836" spans="33:33" x14ac:dyDescent="0.25">
      <c r="AG8836">
        <v>8834</v>
      </c>
    </row>
    <row r="8837" spans="33:33" x14ac:dyDescent="0.25">
      <c r="AG8837">
        <v>8835</v>
      </c>
    </row>
    <row r="8838" spans="33:33" x14ac:dyDescent="0.25">
      <c r="AG8838">
        <v>8836</v>
      </c>
    </row>
    <row r="8839" spans="33:33" x14ac:dyDescent="0.25">
      <c r="AG8839">
        <v>8837</v>
      </c>
    </row>
    <row r="8840" spans="33:33" x14ac:dyDescent="0.25">
      <c r="AG8840">
        <v>8838</v>
      </c>
    </row>
    <row r="8841" spans="33:33" x14ac:dyDescent="0.25">
      <c r="AG8841">
        <v>8839</v>
      </c>
    </row>
    <row r="8842" spans="33:33" x14ac:dyDescent="0.25">
      <c r="AG8842">
        <v>8840</v>
      </c>
    </row>
    <row r="8843" spans="33:33" x14ac:dyDescent="0.25">
      <c r="AG8843">
        <v>8841</v>
      </c>
    </row>
    <row r="8844" spans="33:33" x14ac:dyDescent="0.25">
      <c r="AG8844">
        <v>8842</v>
      </c>
    </row>
    <row r="8845" spans="33:33" x14ac:dyDescent="0.25">
      <c r="AG8845">
        <v>8843</v>
      </c>
    </row>
    <row r="8846" spans="33:33" x14ac:dyDescent="0.25">
      <c r="AG8846">
        <v>8844</v>
      </c>
    </row>
    <row r="8847" spans="33:33" x14ac:dyDescent="0.25">
      <c r="AG8847">
        <v>8845</v>
      </c>
    </row>
    <row r="8848" spans="33:33" x14ac:dyDescent="0.25">
      <c r="AG8848">
        <v>8846</v>
      </c>
    </row>
    <row r="8849" spans="33:33" x14ac:dyDescent="0.25">
      <c r="AG8849">
        <v>8847</v>
      </c>
    </row>
    <row r="8850" spans="33:33" x14ac:dyDescent="0.25">
      <c r="AG8850">
        <v>8848</v>
      </c>
    </row>
    <row r="8851" spans="33:33" x14ac:dyDescent="0.25">
      <c r="AG8851">
        <v>8849</v>
      </c>
    </row>
    <row r="8852" spans="33:33" x14ac:dyDescent="0.25">
      <c r="AG8852">
        <v>8850</v>
      </c>
    </row>
    <row r="8853" spans="33:33" x14ac:dyDescent="0.25">
      <c r="AG8853">
        <v>8851</v>
      </c>
    </row>
    <row r="8854" spans="33:33" x14ac:dyDescent="0.25">
      <c r="AG8854">
        <v>8852</v>
      </c>
    </row>
    <row r="8855" spans="33:33" x14ac:dyDescent="0.25">
      <c r="AG8855">
        <v>8853</v>
      </c>
    </row>
    <row r="8856" spans="33:33" x14ac:dyDescent="0.25">
      <c r="AG8856">
        <v>8854</v>
      </c>
    </row>
    <row r="8857" spans="33:33" x14ac:dyDescent="0.25">
      <c r="AG8857">
        <v>8855</v>
      </c>
    </row>
    <row r="8858" spans="33:33" x14ac:dyDescent="0.25">
      <c r="AG8858">
        <v>8856</v>
      </c>
    </row>
    <row r="8859" spans="33:33" x14ac:dyDescent="0.25">
      <c r="AG8859">
        <v>8857</v>
      </c>
    </row>
    <row r="8860" spans="33:33" x14ac:dyDescent="0.25">
      <c r="AG8860">
        <v>8858</v>
      </c>
    </row>
    <row r="8861" spans="33:33" x14ac:dyDescent="0.25">
      <c r="AG8861">
        <v>8859</v>
      </c>
    </row>
    <row r="8862" spans="33:33" x14ac:dyDescent="0.25">
      <c r="AG8862">
        <v>8860</v>
      </c>
    </row>
    <row r="8863" spans="33:33" x14ac:dyDescent="0.25">
      <c r="AG8863">
        <v>8861</v>
      </c>
    </row>
    <row r="8864" spans="33:33" x14ac:dyDescent="0.25">
      <c r="AG8864">
        <v>8862</v>
      </c>
    </row>
    <row r="8865" spans="33:33" x14ac:dyDescent="0.25">
      <c r="AG8865">
        <v>8863</v>
      </c>
    </row>
    <row r="8866" spans="33:33" x14ac:dyDescent="0.25">
      <c r="AG8866">
        <v>8864</v>
      </c>
    </row>
    <row r="8867" spans="33:33" x14ac:dyDescent="0.25">
      <c r="AG8867">
        <v>8865</v>
      </c>
    </row>
    <row r="8868" spans="33:33" x14ac:dyDescent="0.25">
      <c r="AG8868">
        <v>8866</v>
      </c>
    </row>
    <row r="8869" spans="33:33" x14ac:dyDescent="0.25">
      <c r="AG8869">
        <v>8867</v>
      </c>
    </row>
    <row r="8870" spans="33:33" x14ac:dyDescent="0.25">
      <c r="AG8870">
        <v>8868</v>
      </c>
    </row>
    <row r="8871" spans="33:33" x14ac:dyDescent="0.25">
      <c r="AG8871">
        <v>8869</v>
      </c>
    </row>
    <row r="8872" spans="33:33" x14ac:dyDescent="0.25">
      <c r="AG8872">
        <v>8870</v>
      </c>
    </row>
    <row r="8873" spans="33:33" x14ac:dyDescent="0.25">
      <c r="AG8873">
        <v>8871</v>
      </c>
    </row>
    <row r="8874" spans="33:33" x14ac:dyDescent="0.25">
      <c r="AG8874">
        <v>8872</v>
      </c>
    </row>
    <row r="8875" spans="33:33" x14ac:dyDescent="0.25">
      <c r="AG8875">
        <v>8873</v>
      </c>
    </row>
    <row r="8876" spans="33:33" x14ac:dyDescent="0.25">
      <c r="AG8876">
        <v>8874</v>
      </c>
    </row>
    <row r="8877" spans="33:33" x14ac:dyDescent="0.25">
      <c r="AG8877">
        <v>8875</v>
      </c>
    </row>
    <row r="8878" spans="33:33" x14ac:dyDescent="0.25">
      <c r="AG8878">
        <v>8876</v>
      </c>
    </row>
    <row r="8879" spans="33:33" x14ac:dyDescent="0.25">
      <c r="AG8879">
        <v>8877</v>
      </c>
    </row>
    <row r="8880" spans="33:33" x14ac:dyDescent="0.25">
      <c r="AG8880">
        <v>8878</v>
      </c>
    </row>
    <row r="8881" spans="33:33" x14ac:dyDescent="0.25">
      <c r="AG8881">
        <v>8879</v>
      </c>
    </row>
    <row r="8882" spans="33:33" x14ac:dyDescent="0.25">
      <c r="AG8882">
        <v>8880</v>
      </c>
    </row>
    <row r="8883" spans="33:33" x14ac:dyDescent="0.25">
      <c r="AG8883">
        <v>8881</v>
      </c>
    </row>
    <row r="8884" spans="33:33" x14ac:dyDescent="0.25">
      <c r="AG8884">
        <v>8882</v>
      </c>
    </row>
    <row r="8885" spans="33:33" x14ac:dyDescent="0.25">
      <c r="AG8885">
        <v>8883</v>
      </c>
    </row>
    <row r="8886" spans="33:33" x14ac:dyDescent="0.25">
      <c r="AG8886">
        <v>8884</v>
      </c>
    </row>
    <row r="8887" spans="33:33" x14ac:dyDescent="0.25">
      <c r="AG8887">
        <v>8885</v>
      </c>
    </row>
    <row r="8888" spans="33:33" x14ac:dyDescent="0.25">
      <c r="AG8888">
        <v>8886</v>
      </c>
    </row>
    <row r="8889" spans="33:33" x14ac:dyDescent="0.25">
      <c r="AG8889">
        <v>8887</v>
      </c>
    </row>
    <row r="8890" spans="33:33" x14ac:dyDescent="0.25">
      <c r="AG8890">
        <v>8888</v>
      </c>
    </row>
    <row r="8891" spans="33:33" x14ac:dyDescent="0.25">
      <c r="AG8891">
        <v>8889</v>
      </c>
    </row>
    <row r="8892" spans="33:33" x14ac:dyDescent="0.25">
      <c r="AG8892">
        <v>8890</v>
      </c>
    </row>
    <row r="8893" spans="33:33" x14ac:dyDescent="0.25">
      <c r="AG8893">
        <v>8891</v>
      </c>
    </row>
    <row r="8894" spans="33:33" x14ac:dyDescent="0.25">
      <c r="AG8894">
        <v>8892</v>
      </c>
    </row>
    <row r="8895" spans="33:33" x14ac:dyDescent="0.25">
      <c r="AG8895">
        <v>8893</v>
      </c>
    </row>
    <row r="8896" spans="33:33" x14ac:dyDescent="0.25">
      <c r="AG8896">
        <v>8894</v>
      </c>
    </row>
    <row r="8897" spans="33:33" x14ac:dyDescent="0.25">
      <c r="AG8897">
        <v>8895</v>
      </c>
    </row>
    <row r="8898" spans="33:33" x14ac:dyDescent="0.25">
      <c r="AG8898">
        <v>8896</v>
      </c>
    </row>
    <row r="8899" spans="33:33" x14ac:dyDescent="0.25">
      <c r="AG8899">
        <v>8897</v>
      </c>
    </row>
    <row r="8900" spans="33:33" x14ac:dyDescent="0.25">
      <c r="AG8900">
        <v>8898</v>
      </c>
    </row>
    <row r="8901" spans="33:33" x14ac:dyDescent="0.25">
      <c r="AG8901">
        <v>8899</v>
      </c>
    </row>
    <row r="8902" spans="33:33" x14ac:dyDescent="0.25">
      <c r="AG8902">
        <v>8900</v>
      </c>
    </row>
    <row r="8903" spans="33:33" x14ac:dyDescent="0.25">
      <c r="AG8903">
        <v>8901</v>
      </c>
    </row>
    <row r="8904" spans="33:33" x14ac:dyDescent="0.25">
      <c r="AG8904">
        <v>8902</v>
      </c>
    </row>
    <row r="8905" spans="33:33" x14ac:dyDescent="0.25">
      <c r="AG8905">
        <v>8903</v>
      </c>
    </row>
    <row r="8906" spans="33:33" x14ac:dyDescent="0.25">
      <c r="AG8906">
        <v>8904</v>
      </c>
    </row>
    <row r="8907" spans="33:33" x14ac:dyDescent="0.25">
      <c r="AG8907">
        <v>8905</v>
      </c>
    </row>
    <row r="8908" spans="33:33" x14ac:dyDescent="0.25">
      <c r="AG8908">
        <v>8906</v>
      </c>
    </row>
    <row r="8909" spans="33:33" x14ac:dyDescent="0.25">
      <c r="AG8909">
        <v>8907</v>
      </c>
    </row>
    <row r="8910" spans="33:33" x14ac:dyDescent="0.25">
      <c r="AG8910">
        <v>8908</v>
      </c>
    </row>
    <row r="8911" spans="33:33" x14ac:dyDescent="0.25">
      <c r="AG8911">
        <v>8909</v>
      </c>
    </row>
    <row r="8912" spans="33:33" x14ac:dyDescent="0.25">
      <c r="AG8912">
        <v>8910</v>
      </c>
    </row>
    <row r="8913" spans="33:33" x14ac:dyDescent="0.25">
      <c r="AG8913">
        <v>8911</v>
      </c>
    </row>
    <row r="8914" spans="33:33" x14ac:dyDescent="0.25">
      <c r="AG8914">
        <v>8912</v>
      </c>
    </row>
    <row r="8915" spans="33:33" x14ac:dyDescent="0.25">
      <c r="AG8915">
        <v>8913</v>
      </c>
    </row>
    <row r="8916" spans="33:33" x14ac:dyDescent="0.25">
      <c r="AG8916">
        <v>8914</v>
      </c>
    </row>
    <row r="8917" spans="33:33" x14ac:dyDescent="0.25">
      <c r="AG8917">
        <v>8915</v>
      </c>
    </row>
    <row r="8918" spans="33:33" x14ac:dyDescent="0.25">
      <c r="AG8918">
        <v>8916</v>
      </c>
    </row>
    <row r="8919" spans="33:33" x14ac:dyDescent="0.25">
      <c r="AG8919">
        <v>8917</v>
      </c>
    </row>
    <row r="8920" spans="33:33" x14ac:dyDescent="0.25">
      <c r="AG8920">
        <v>8918</v>
      </c>
    </row>
    <row r="8921" spans="33:33" x14ac:dyDescent="0.25">
      <c r="AG8921">
        <v>8919</v>
      </c>
    </row>
    <row r="8922" spans="33:33" x14ac:dyDescent="0.25">
      <c r="AG8922">
        <v>8920</v>
      </c>
    </row>
    <row r="8923" spans="33:33" x14ac:dyDescent="0.25">
      <c r="AG8923">
        <v>8921</v>
      </c>
    </row>
    <row r="8924" spans="33:33" x14ac:dyDescent="0.25">
      <c r="AG8924">
        <v>8922</v>
      </c>
    </row>
    <row r="8925" spans="33:33" x14ac:dyDescent="0.25">
      <c r="AG8925">
        <v>8923</v>
      </c>
    </row>
    <row r="8926" spans="33:33" x14ac:dyDescent="0.25">
      <c r="AG8926">
        <v>8924</v>
      </c>
    </row>
    <row r="8927" spans="33:33" x14ac:dyDescent="0.25">
      <c r="AG8927">
        <v>8925</v>
      </c>
    </row>
    <row r="8928" spans="33:33" x14ac:dyDescent="0.25">
      <c r="AG8928">
        <v>8926</v>
      </c>
    </row>
    <row r="8929" spans="33:33" x14ac:dyDescent="0.25">
      <c r="AG8929">
        <v>8927</v>
      </c>
    </row>
    <row r="8930" spans="33:33" x14ac:dyDescent="0.25">
      <c r="AG8930">
        <v>8928</v>
      </c>
    </row>
    <row r="8931" spans="33:33" x14ac:dyDescent="0.25">
      <c r="AG8931">
        <v>8929</v>
      </c>
    </row>
    <row r="8932" spans="33:33" x14ac:dyDescent="0.25">
      <c r="AG8932">
        <v>8930</v>
      </c>
    </row>
    <row r="8933" spans="33:33" x14ac:dyDescent="0.25">
      <c r="AG8933">
        <v>8931</v>
      </c>
    </row>
    <row r="8934" spans="33:33" x14ac:dyDescent="0.25">
      <c r="AG8934">
        <v>8932</v>
      </c>
    </row>
    <row r="8935" spans="33:33" x14ac:dyDescent="0.25">
      <c r="AG8935">
        <v>8933</v>
      </c>
    </row>
    <row r="8936" spans="33:33" x14ac:dyDescent="0.25">
      <c r="AG8936">
        <v>8934</v>
      </c>
    </row>
    <row r="8937" spans="33:33" x14ac:dyDescent="0.25">
      <c r="AG8937">
        <v>8935</v>
      </c>
    </row>
    <row r="8938" spans="33:33" x14ac:dyDescent="0.25">
      <c r="AG8938">
        <v>8936</v>
      </c>
    </row>
    <row r="8939" spans="33:33" x14ac:dyDescent="0.25">
      <c r="AG8939">
        <v>8937</v>
      </c>
    </row>
    <row r="8940" spans="33:33" x14ac:dyDescent="0.25">
      <c r="AG8940">
        <v>8938</v>
      </c>
    </row>
    <row r="8941" spans="33:33" x14ac:dyDescent="0.25">
      <c r="AG8941">
        <v>8939</v>
      </c>
    </row>
    <row r="8942" spans="33:33" x14ac:dyDescent="0.25">
      <c r="AG8942">
        <v>8940</v>
      </c>
    </row>
    <row r="8943" spans="33:33" x14ac:dyDescent="0.25">
      <c r="AG8943">
        <v>8941</v>
      </c>
    </row>
    <row r="8944" spans="33:33" x14ac:dyDescent="0.25">
      <c r="AG8944">
        <v>8942</v>
      </c>
    </row>
    <row r="8945" spans="33:33" x14ac:dyDescent="0.25">
      <c r="AG8945">
        <v>8943</v>
      </c>
    </row>
    <row r="8946" spans="33:33" x14ac:dyDescent="0.25">
      <c r="AG8946">
        <v>8944</v>
      </c>
    </row>
    <row r="8947" spans="33:33" x14ac:dyDescent="0.25">
      <c r="AG8947">
        <v>8945</v>
      </c>
    </row>
    <row r="8948" spans="33:33" x14ac:dyDescent="0.25">
      <c r="AG8948">
        <v>8946</v>
      </c>
    </row>
    <row r="8949" spans="33:33" x14ac:dyDescent="0.25">
      <c r="AG8949">
        <v>8947</v>
      </c>
    </row>
    <row r="8950" spans="33:33" x14ac:dyDescent="0.25">
      <c r="AG8950">
        <v>8948</v>
      </c>
    </row>
    <row r="8951" spans="33:33" x14ac:dyDescent="0.25">
      <c r="AG8951">
        <v>8949</v>
      </c>
    </row>
    <row r="8952" spans="33:33" x14ac:dyDescent="0.25">
      <c r="AG8952">
        <v>8950</v>
      </c>
    </row>
    <row r="8953" spans="33:33" x14ac:dyDescent="0.25">
      <c r="AG8953">
        <v>8951</v>
      </c>
    </row>
    <row r="8954" spans="33:33" x14ac:dyDescent="0.25">
      <c r="AG8954">
        <v>8952</v>
      </c>
    </row>
    <row r="8955" spans="33:33" x14ac:dyDescent="0.25">
      <c r="AG8955">
        <v>8953</v>
      </c>
    </row>
    <row r="8956" spans="33:33" x14ac:dyDescent="0.25">
      <c r="AG8956">
        <v>8954</v>
      </c>
    </row>
    <row r="8957" spans="33:33" x14ac:dyDescent="0.25">
      <c r="AG8957">
        <v>8955</v>
      </c>
    </row>
    <row r="8958" spans="33:33" x14ac:dyDescent="0.25">
      <c r="AG8958">
        <v>8956</v>
      </c>
    </row>
    <row r="8959" spans="33:33" x14ac:dyDescent="0.25">
      <c r="AG8959">
        <v>8957</v>
      </c>
    </row>
    <row r="8960" spans="33:33" x14ac:dyDescent="0.25">
      <c r="AG8960">
        <v>8958</v>
      </c>
    </row>
    <row r="8961" spans="33:33" x14ac:dyDescent="0.25">
      <c r="AG8961">
        <v>8959</v>
      </c>
    </row>
    <row r="8962" spans="33:33" x14ac:dyDescent="0.25">
      <c r="AG8962">
        <v>8960</v>
      </c>
    </row>
    <row r="8963" spans="33:33" x14ac:dyDescent="0.25">
      <c r="AG8963">
        <v>8961</v>
      </c>
    </row>
    <row r="8964" spans="33:33" x14ac:dyDescent="0.25">
      <c r="AG8964">
        <v>8962</v>
      </c>
    </row>
    <row r="8965" spans="33:33" x14ac:dyDescent="0.25">
      <c r="AG8965">
        <v>8963</v>
      </c>
    </row>
    <row r="8966" spans="33:33" x14ac:dyDescent="0.25">
      <c r="AG8966">
        <v>8964</v>
      </c>
    </row>
    <row r="8967" spans="33:33" x14ac:dyDescent="0.25">
      <c r="AG8967">
        <v>8965</v>
      </c>
    </row>
    <row r="8968" spans="33:33" x14ac:dyDescent="0.25">
      <c r="AG8968">
        <v>8966</v>
      </c>
    </row>
    <row r="8969" spans="33:33" x14ac:dyDescent="0.25">
      <c r="AG8969">
        <v>8967</v>
      </c>
    </row>
    <row r="8970" spans="33:33" x14ac:dyDescent="0.25">
      <c r="AG8970">
        <v>8968</v>
      </c>
    </row>
    <row r="8971" spans="33:33" x14ac:dyDescent="0.25">
      <c r="AG8971">
        <v>8969</v>
      </c>
    </row>
    <row r="8972" spans="33:33" x14ac:dyDescent="0.25">
      <c r="AG8972">
        <v>8970</v>
      </c>
    </row>
    <row r="8973" spans="33:33" x14ac:dyDescent="0.25">
      <c r="AG8973">
        <v>8971</v>
      </c>
    </row>
    <row r="8974" spans="33:33" x14ac:dyDescent="0.25">
      <c r="AG8974">
        <v>8972</v>
      </c>
    </row>
    <row r="8975" spans="33:33" x14ac:dyDescent="0.25">
      <c r="AG8975">
        <v>8973</v>
      </c>
    </row>
    <row r="8976" spans="33:33" x14ac:dyDescent="0.25">
      <c r="AG8976">
        <v>8974</v>
      </c>
    </row>
    <row r="8977" spans="33:33" x14ac:dyDescent="0.25">
      <c r="AG8977">
        <v>8975</v>
      </c>
    </row>
    <row r="8978" spans="33:33" x14ac:dyDescent="0.25">
      <c r="AG8978">
        <v>8976</v>
      </c>
    </row>
    <row r="8979" spans="33:33" x14ac:dyDescent="0.25">
      <c r="AG8979">
        <v>8977</v>
      </c>
    </row>
    <row r="8980" spans="33:33" x14ac:dyDescent="0.25">
      <c r="AG8980">
        <v>8978</v>
      </c>
    </row>
    <row r="8981" spans="33:33" x14ac:dyDescent="0.25">
      <c r="AG8981">
        <v>8979</v>
      </c>
    </row>
    <row r="8982" spans="33:33" x14ac:dyDescent="0.25">
      <c r="AG8982">
        <v>8980</v>
      </c>
    </row>
    <row r="8983" spans="33:33" x14ac:dyDescent="0.25">
      <c r="AG8983">
        <v>8981</v>
      </c>
    </row>
    <row r="8984" spans="33:33" x14ac:dyDescent="0.25">
      <c r="AG8984">
        <v>8982</v>
      </c>
    </row>
    <row r="8985" spans="33:33" x14ac:dyDescent="0.25">
      <c r="AG8985">
        <v>8983</v>
      </c>
    </row>
    <row r="8986" spans="33:33" x14ac:dyDescent="0.25">
      <c r="AG8986">
        <v>8984</v>
      </c>
    </row>
    <row r="8987" spans="33:33" x14ac:dyDescent="0.25">
      <c r="AG8987">
        <v>8985</v>
      </c>
    </row>
    <row r="8988" spans="33:33" x14ac:dyDescent="0.25">
      <c r="AG8988">
        <v>8986</v>
      </c>
    </row>
    <row r="8989" spans="33:33" x14ac:dyDescent="0.25">
      <c r="AG8989">
        <v>8987</v>
      </c>
    </row>
    <row r="8990" spans="33:33" x14ac:dyDescent="0.25">
      <c r="AG8990">
        <v>8988</v>
      </c>
    </row>
    <row r="8991" spans="33:33" x14ac:dyDescent="0.25">
      <c r="AG8991">
        <v>8989</v>
      </c>
    </row>
    <row r="8992" spans="33:33" x14ac:dyDescent="0.25">
      <c r="AG8992">
        <v>8990</v>
      </c>
    </row>
    <row r="8993" spans="33:33" x14ac:dyDescent="0.25">
      <c r="AG8993">
        <v>8991</v>
      </c>
    </row>
    <row r="8994" spans="33:33" x14ac:dyDescent="0.25">
      <c r="AG8994">
        <v>8992</v>
      </c>
    </row>
    <row r="8995" spans="33:33" x14ac:dyDescent="0.25">
      <c r="AG8995">
        <v>8993</v>
      </c>
    </row>
    <row r="8996" spans="33:33" x14ac:dyDescent="0.25">
      <c r="AG8996">
        <v>8994</v>
      </c>
    </row>
    <row r="8997" spans="33:33" x14ac:dyDescent="0.25">
      <c r="AG8997">
        <v>8995</v>
      </c>
    </row>
    <row r="8998" spans="33:33" x14ac:dyDescent="0.25">
      <c r="AG8998">
        <v>8996</v>
      </c>
    </row>
    <row r="8999" spans="33:33" x14ac:dyDescent="0.25">
      <c r="AG8999">
        <v>8997</v>
      </c>
    </row>
    <row r="9000" spans="33:33" x14ac:dyDescent="0.25">
      <c r="AG9000">
        <v>8998</v>
      </c>
    </row>
    <row r="9001" spans="33:33" x14ac:dyDescent="0.25">
      <c r="AG9001">
        <v>8999</v>
      </c>
    </row>
    <row r="9002" spans="33:33" x14ac:dyDescent="0.25">
      <c r="AG9002">
        <v>9000</v>
      </c>
    </row>
    <row r="9003" spans="33:33" x14ac:dyDescent="0.25">
      <c r="AG9003">
        <v>9001</v>
      </c>
    </row>
    <row r="9004" spans="33:33" x14ac:dyDescent="0.25">
      <c r="AG9004">
        <v>9002</v>
      </c>
    </row>
    <row r="9005" spans="33:33" x14ac:dyDescent="0.25">
      <c r="AG9005">
        <v>9003</v>
      </c>
    </row>
    <row r="9006" spans="33:33" x14ac:dyDescent="0.25">
      <c r="AG9006">
        <v>9004</v>
      </c>
    </row>
    <row r="9007" spans="33:33" x14ac:dyDescent="0.25">
      <c r="AG9007">
        <v>9005</v>
      </c>
    </row>
    <row r="9008" spans="33:33" x14ac:dyDescent="0.25">
      <c r="AG9008">
        <v>9006</v>
      </c>
    </row>
    <row r="9009" spans="33:33" x14ac:dyDescent="0.25">
      <c r="AG9009">
        <v>9007</v>
      </c>
    </row>
    <row r="9010" spans="33:33" x14ac:dyDescent="0.25">
      <c r="AG9010">
        <v>9008</v>
      </c>
    </row>
    <row r="9011" spans="33:33" x14ac:dyDescent="0.25">
      <c r="AG9011">
        <v>9009</v>
      </c>
    </row>
    <row r="9012" spans="33:33" x14ac:dyDescent="0.25">
      <c r="AG9012">
        <v>9010</v>
      </c>
    </row>
    <row r="9013" spans="33:33" x14ac:dyDescent="0.25">
      <c r="AG9013">
        <v>9011</v>
      </c>
    </row>
    <row r="9014" spans="33:33" x14ac:dyDescent="0.25">
      <c r="AG9014">
        <v>9012</v>
      </c>
    </row>
    <row r="9015" spans="33:33" x14ac:dyDescent="0.25">
      <c r="AG9015">
        <v>9013</v>
      </c>
    </row>
    <row r="9016" spans="33:33" x14ac:dyDescent="0.25">
      <c r="AG9016">
        <v>9014</v>
      </c>
    </row>
    <row r="9017" spans="33:33" x14ac:dyDescent="0.25">
      <c r="AG9017">
        <v>9015</v>
      </c>
    </row>
    <row r="9018" spans="33:33" x14ac:dyDescent="0.25">
      <c r="AG9018">
        <v>9016</v>
      </c>
    </row>
    <row r="9019" spans="33:33" x14ac:dyDescent="0.25">
      <c r="AG9019">
        <v>9017</v>
      </c>
    </row>
    <row r="9020" spans="33:33" x14ac:dyDescent="0.25">
      <c r="AG9020">
        <v>9018</v>
      </c>
    </row>
    <row r="9021" spans="33:33" x14ac:dyDescent="0.25">
      <c r="AG9021">
        <v>9019</v>
      </c>
    </row>
    <row r="9022" spans="33:33" x14ac:dyDescent="0.25">
      <c r="AG9022">
        <v>9020</v>
      </c>
    </row>
    <row r="9023" spans="33:33" x14ac:dyDescent="0.25">
      <c r="AG9023">
        <v>9021</v>
      </c>
    </row>
    <row r="9024" spans="33:33" x14ac:dyDescent="0.25">
      <c r="AG9024">
        <v>9022</v>
      </c>
    </row>
    <row r="9025" spans="33:33" x14ac:dyDescent="0.25">
      <c r="AG9025">
        <v>9023</v>
      </c>
    </row>
    <row r="9026" spans="33:33" x14ac:dyDescent="0.25">
      <c r="AG9026">
        <v>9024</v>
      </c>
    </row>
    <row r="9027" spans="33:33" x14ac:dyDescent="0.25">
      <c r="AG9027">
        <v>9025</v>
      </c>
    </row>
    <row r="9028" spans="33:33" x14ac:dyDescent="0.25">
      <c r="AG9028">
        <v>9026</v>
      </c>
    </row>
    <row r="9029" spans="33:33" x14ac:dyDescent="0.25">
      <c r="AG9029">
        <v>9027</v>
      </c>
    </row>
    <row r="9030" spans="33:33" x14ac:dyDescent="0.25">
      <c r="AG9030">
        <v>9028</v>
      </c>
    </row>
    <row r="9031" spans="33:33" x14ac:dyDescent="0.25">
      <c r="AG9031">
        <v>9029</v>
      </c>
    </row>
    <row r="9032" spans="33:33" x14ac:dyDescent="0.25">
      <c r="AG9032">
        <v>9030</v>
      </c>
    </row>
    <row r="9033" spans="33:33" x14ac:dyDescent="0.25">
      <c r="AG9033">
        <v>9031</v>
      </c>
    </row>
    <row r="9034" spans="33:33" x14ac:dyDescent="0.25">
      <c r="AG9034">
        <v>9032</v>
      </c>
    </row>
    <row r="9035" spans="33:33" x14ac:dyDescent="0.25">
      <c r="AG9035">
        <v>9033</v>
      </c>
    </row>
    <row r="9036" spans="33:33" x14ac:dyDescent="0.25">
      <c r="AG9036">
        <v>9034</v>
      </c>
    </row>
    <row r="9037" spans="33:33" x14ac:dyDescent="0.25">
      <c r="AG9037">
        <v>9035</v>
      </c>
    </row>
    <row r="9038" spans="33:33" x14ac:dyDescent="0.25">
      <c r="AG9038">
        <v>9036</v>
      </c>
    </row>
    <row r="9039" spans="33:33" x14ac:dyDescent="0.25">
      <c r="AG9039">
        <v>9037</v>
      </c>
    </row>
    <row r="9040" spans="33:33" x14ac:dyDescent="0.25">
      <c r="AG9040">
        <v>9038</v>
      </c>
    </row>
    <row r="9041" spans="33:33" x14ac:dyDescent="0.25">
      <c r="AG9041">
        <v>9039</v>
      </c>
    </row>
    <row r="9042" spans="33:33" x14ac:dyDescent="0.25">
      <c r="AG9042">
        <v>9040</v>
      </c>
    </row>
    <row r="9043" spans="33:33" x14ac:dyDescent="0.25">
      <c r="AG9043">
        <v>9041</v>
      </c>
    </row>
    <row r="9044" spans="33:33" x14ac:dyDescent="0.25">
      <c r="AG9044">
        <v>9042</v>
      </c>
    </row>
    <row r="9045" spans="33:33" x14ac:dyDescent="0.25">
      <c r="AG9045">
        <v>9043</v>
      </c>
    </row>
    <row r="9046" spans="33:33" x14ac:dyDescent="0.25">
      <c r="AG9046">
        <v>9044</v>
      </c>
    </row>
    <row r="9047" spans="33:33" x14ac:dyDescent="0.25">
      <c r="AG9047">
        <v>9045</v>
      </c>
    </row>
    <row r="9048" spans="33:33" x14ac:dyDescent="0.25">
      <c r="AG9048">
        <v>9046</v>
      </c>
    </row>
    <row r="9049" spans="33:33" x14ac:dyDescent="0.25">
      <c r="AG9049">
        <v>9047</v>
      </c>
    </row>
    <row r="9050" spans="33:33" x14ac:dyDescent="0.25">
      <c r="AG9050">
        <v>9048</v>
      </c>
    </row>
    <row r="9051" spans="33:33" x14ac:dyDescent="0.25">
      <c r="AG9051">
        <v>9049</v>
      </c>
    </row>
    <row r="9052" spans="33:33" x14ac:dyDescent="0.25">
      <c r="AG9052">
        <v>9050</v>
      </c>
    </row>
    <row r="9053" spans="33:33" x14ac:dyDescent="0.25">
      <c r="AG9053">
        <v>9051</v>
      </c>
    </row>
    <row r="9054" spans="33:33" x14ac:dyDescent="0.25">
      <c r="AG9054">
        <v>9052</v>
      </c>
    </row>
    <row r="9055" spans="33:33" x14ac:dyDescent="0.25">
      <c r="AG9055">
        <v>9053</v>
      </c>
    </row>
    <row r="9056" spans="33:33" x14ac:dyDescent="0.25">
      <c r="AG9056">
        <v>9054</v>
      </c>
    </row>
    <row r="9057" spans="33:33" x14ac:dyDescent="0.25">
      <c r="AG9057">
        <v>9055</v>
      </c>
    </row>
    <row r="9058" spans="33:33" x14ac:dyDescent="0.25">
      <c r="AG9058">
        <v>9056</v>
      </c>
    </row>
    <row r="9059" spans="33:33" x14ac:dyDescent="0.25">
      <c r="AG9059">
        <v>9057</v>
      </c>
    </row>
    <row r="9060" spans="33:33" x14ac:dyDescent="0.25">
      <c r="AG9060">
        <v>9058</v>
      </c>
    </row>
    <row r="9061" spans="33:33" x14ac:dyDescent="0.25">
      <c r="AG9061">
        <v>9059</v>
      </c>
    </row>
    <row r="9062" spans="33:33" x14ac:dyDescent="0.25">
      <c r="AG9062">
        <v>9060</v>
      </c>
    </row>
    <row r="9063" spans="33:33" x14ac:dyDescent="0.25">
      <c r="AG9063">
        <v>9061</v>
      </c>
    </row>
    <row r="9064" spans="33:33" x14ac:dyDescent="0.25">
      <c r="AG9064">
        <v>9062</v>
      </c>
    </row>
    <row r="9065" spans="33:33" x14ac:dyDescent="0.25">
      <c r="AG9065">
        <v>9063</v>
      </c>
    </row>
    <row r="9066" spans="33:33" x14ac:dyDescent="0.25">
      <c r="AG9066">
        <v>9064</v>
      </c>
    </row>
    <row r="9067" spans="33:33" x14ac:dyDescent="0.25">
      <c r="AG9067">
        <v>9065</v>
      </c>
    </row>
    <row r="9068" spans="33:33" x14ac:dyDescent="0.25">
      <c r="AG9068">
        <v>9066</v>
      </c>
    </row>
    <row r="9069" spans="33:33" x14ac:dyDescent="0.25">
      <c r="AG9069">
        <v>9067</v>
      </c>
    </row>
    <row r="9070" spans="33:33" x14ac:dyDescent="0.25">
      <c r="AG9070">
        <v>9068</v>
      </c>
    </row>
    <row r="9071" spans="33:33" x14ac:dyDescent="0.25">
      <c r="AG9071">
        <v>9069</v>
      </c>
    </row>
    <row r="9072" spans="33:33" x14ac:dyDescent="0.25">
      <c r="AG9072">
        <v>9070</v>
      </c>
    </row>
    <row r="9073" spans="33:33" x14ac:dyDescent="0.25">
      <c r="AG9073">
        <v>9071</v>
      </c>
    </row>
    <row r="9074" spans="33:33" x14ac:dyDescent="0.25">
      <c r="AG9074">
        <v>9072</v>
      </c>
    </row>
    <row r="9075" spans="33:33" x14ac:dyDescent="0.25">
      <c r="AG9075">
        <v>9073</v>
      </c>
    </row>
    <row r="9076" spans="33:33" x14ac:dyDescent="0.25">
      <c r="AG9076">
        <v>9074</v>
      </c>
    </row>
    <row r="9077" spans="33:33" x14ac:dyDescent="0.25">
      <c r="AG9077">
        <v>9075</v>
      </c>
    </row>
    <row r="9078" spans="33:33" x14ac:dyDescent="0.25">
      <c r="AG9078">
        <v>9076</v>
      </c>
    </row>
    <row r="9079" spans="33:33" x14ac:dyDescent="0.25">
      <c r="AG9079">
        <v>9077</v>
      </c>
    </row>
    <row r="9080" spans="33:33" x14ac:dyDescent="0.25">
      <c r="AG9080">
        <v>9078</v>
      </c>
    </row>
    <row r="9081" spans="33:33" x14ac:dyDescent="0.25">
      <c r="AG9081">
        <v>9079</v>
      </c>
    </row>
    <row r="9082" spans="33:33" x14ac:dyDescent="0.25">
      <c r="AG9082">
        <v>9080</v>
      </c>
    </row>
    <row r="9083" spans="33:33" x14ac:dyDescent="0.25">
      <c r="AG9083">
        <v>9081</v>
      </c>
    </row>
    <row r="9084" spans="33:33" x14ac:dyDescent="0.25">
      <c r="AG9084">
        <v>9082</v>
      </c>
    </row>
    <row r="9085" spans="33:33" x14ac:dyDescent="0.25">
      <c r="AG9085">
        <v>9083</v>
      </c>
    </row>
    <row r="9086" spans="33:33" x14ac:dyDescent="0.25">
      <c r="AG9086">
        <v>9084</v>
      </c>
    </row>
    <row r="9087" spans="33:33" x14ac:dyDescent="0.25">
      <c r="AG9087">
        <v>9085</v>
      </c>
    </row>
    <row r="9088" spans="33:33" x14ac:dyDescent="0.25">
      <c r="AG9088">
        <v>9086</v>
      </c>
    </row>
    <row r="9089" spans="33:33" x14ac:dyDescent="0.25">
      <c r="AG9089">
        <v>9087</v>
      </c>
    </row>
    <row r="9090" spans="33:33" x14ac:dyDescent="0.25">
      <c r="AG9090">
        <v>9088</v>
      </c>
    </row>
    <row r="9091" spans="33:33" x14ac:dyDescent="0.25">
      <c r="AG9091">
        <v>9089</v>
      </c>
    </row>
    <row r="9092" spans="33:33" x14ac:dyDescent="0.25">
      <c r="AG9092">
        <v>9090</v>
      </c>
    </row>
    <row r="9093" spans="33:33" x14ac:dyDescent="0.25">
      <c r="AG9093">
        <v>9091</v>
      </c>
    </row>
    <row r="9094" spans="33:33" x14ac:dyDescent="0.25">
      <c r="AG9094">
        <v>9092</v>
      </c>
    </row>
    <row r="9095" spans="33:33" x14ac:dyDescent="0.25">
      <c r="AG9095">
        <v>9093</v>
      </c>
    </row>
    <row r="9096" spans="33:33" x14ac:dyDescent="0.25">
      <c r="AG9096">
        <v>9094</v>
      </c>
    </row>
    <row r="9097" spans="33:33" x14ac:dyDescent="0.25">
      <c r="AG9097">
        <v>9095</v>
      </c>
    </row>
    <row r="9098" spans="33:33" x14ac:dyDescent="0.25">
      <c r="AG9098">
        <v>9096</v>
      </c>
    </row>
    <row r="9099" spans="33:33" x14ac:dyDescent="0.25">
      <c r="AG9099">
        <v>9097</v>
      </c>
    </row>
    <row r="9100" spans="33:33" x14ac:dyDescent="0.25">
      <c r="AG9100">
        <v>9098</v>
      </c>
    </row>
    <row r="9101" spans="33:33" x14ac:dyDescent="0.25">
      <c r="AG9101">
        <v>9099</v>
      </c>
    </row>
    <row r="9102" spans="33:33" x14ac:dyDescent="0.25">
      <c r="AG9102">
        <v>9100</v>
      </c>
    </row>
    <row r="9103" spans="33:33" x14ac:dyDescent="0.25">
      <c r="AG9103">
        <v>9101</v>
      </c>
    </row>
    <row r="9104" spans="33:33" x14ac:dyDescent="0.25">
      <c r="AG9104">
        <v>9102</v>
      </c>
    </row>
    <row r="9105" spans="33:33" x14ac:dyDescent="0.25">
      <c r="AG9105">
        <v>9103</v>
      </c>
    </row>
    <row r="9106" spans="33:33" x14ac:dyDescent="0.25">
      <c r="AG9106">
        <v>9104</v>
      </c>
    </row>
    <row r="9107" spans="33:33" x14ac:dyDescent="0.25">
      <c r="AG9107">
        <v>9105</v>
      </c>
    </row>
    <row r="9108" spans="33:33" x14ac:dyDescent="0.25">
      <c r="AG9108">
        <v>9106</v>
      </c>
    </row>
    <row r="9109" spans="33:33" x14ac:dyDescent="0.25">
      <c r="AG9109">
        <v>9107</v>
      </c>
    </row>
    <row r="9110" spans="33:33" x14ac:dyDescent="0.25">
      <c r="AG9110">
        <v>9108</v>
      </c>
    </row>
    <row r="9111" spans="33:33" x14ac:dyDescent="0.25">
      <c r="AG9111">
        <v>9109</v>
      </c>
    </row>
    <row r="9112" spans="33:33" x14ac:dyDescent="0.25">
      <c r="AG9112">
        <v>9110</v>
      </c>
    </row>
    <row r="9113" spans="33:33" x14ac:dyDescent="0.25">
      <c r="AG9113">
        <v>9111</v>
      </c>
    </row>
    <row r="9114" spans="33:33" x14ac:dyDescent="0.25">
      <c r="AG9114">
        <v>9112</v>
      </c>
    </row>
    <row r="9115" spans="33:33" x14ac:dyDescent="0.25">
      <c r="AG9115">
        <v>9113</v>
      </c>
    </row>
    <row r="9116" spans="33:33" x14ac:dyDescent="0.25">
      <c r="AG9116">
        <v>9114</v>
      </c>
    </row>
    <row r="9117" spans="33:33" x14ac:dyDescent="0.25">
      <c r="AG9117">
        <v>9115</v>
      </c>
    </row>
    <row r="9118" spans="33:33" x14ac:dyDescent="0.25">
      <c r="AG9118">
        <v>9116</v>
      </c>
    </row>
    <row r="9119" spans="33:33" x14ac:dyDescent="0.25">
      <c r="AG9119">
        <v>9117</v>
      </c>
    </row>
    <row r="9120" spans="33:33" x14ac:dyDescent="0.25">
      <c r="AG9120">
        <v>9118</v>
      </c>
    </row>
    <row r="9121" spans="33:33" x14ac:dyDescent="0.25">
      <c r="AG9121">
        <v>9119</v>
      </c>
    </row>
    <row r="9122" spans="33:33" x14ac:dyDescent="0.25">
      <c r="AG9122">
        <v>9120</v>
      </c>
    </row>
    <row r="9123" spans="33:33" x14ac:dyDescent="0.25">
      <c r="AG9123">
        <v>9121</v>
      </c>
    </row>
    <row r="9124" spans="33:33" x14ac:dyDescent="0.25">
      <c r="AG9124">
        <v>9122</v>
      </c>
    </row>
    <row r="9125" spans="33:33" x14ac:dyDescent="0.25">
      <c r="AG9125">
        <v>9123</v>
      </c>
    </row>
    <row r="9126" spans="33:33" x14ac:dyDescent="0.25">
      <c r="AG9126">
        <v>9124</v>
      </c>
    </row>
    <row r="9127" spans="33:33" x14ac:dyDescent="0.25">
      <c r="AG9127">
        <v>9125</v>
      </c>
    </row>
    <row r="9128" spans="33:33" x14ac:dyDescent="0.25">
      <c r="AG9128">
        <v>9126</v>
      </c>
    </row>
    <row r="9129" spans="33:33" x14ac:dyDescent="0.25">
      <c r="AG9129">
        <v>9127</v>
      </c>
    </row>
    <row r="9130" spans="33:33" x14ac:dyDescent="0.25">
      <c r="AG9130">
        <v>9128</v>
      </c>
    </row>
    <row r="9131" spans="33:33" x14ac:dyDescent="0.25">
      <c r="AG9131">
        <v>9129</v>
      </c>
    </row>
    <row r="9132" spans="33:33" x14ac:dyDescent="0.25">
      <c r="AG9132">
        <v>9130</v>
      </c>
    </row>
    <row r="9133" spans="33:33" x14ac:dyDescent="0.25">
      <c r="AG9133">
        <v>9131</v>
      </c>
    </row>
    <row r="9134" spans="33:33" x14ac:dyDescent="0.25">
      <c r="AG9134">
        <v>9132</v>
      </c>
    </row>
    <row r="9135" spans="33:33" x14ac:dyDescent="0.25">
      <c r="AG9135">
        <v>9133</v>
      </c>
    </row>
    <row r="9136" spans="33:33" x14ac:dyDescent="0.25">
      <c r="AG9136">
        <v>9134</v>
      </c>
    </row>
    <row r="9137" spans="33:33" x14ac:dyDescent="0.25">
      <c r="AG9137">
        <v>9135</v>
      </c>
    </row>
    <row r="9138" spans="33:33" x14ac:dyDescent="0.25">
      <c r="AG9138">
        <v>9136</v>
      </c>
    </row>
    <row r="9139" spans="33:33" x14ac:dyDescent="0.25">
      <c r="AG9139">
        <v>9137</v>
      </c>
    </row>
    <row r="9140" spans="33:33" x14ac:dyDescent="0.25">
      <c r="AG9140">
        <v>9138</v>
      </c>
    </row>
    <row r="9141" spans="33:33" x14ac:dyDescent="0.25">
      <c r="AG9141">
        <v>9139</v>
      </c>
    </row>
    <row r="9142" spans="33:33" x14ac:dyDescent="0.25">
      <c r="AG9142">
        <v>9140</v>
      </c>
    </row>
    <row r="9143" spans="33:33" x14ac:dyDescent="0.25">
      <c r="AG9143">
        <v>9141</v>
      </c>
    </row>
    <row r="9144" spans="33:33" x14ac:dyDescent="0.25">
      <c r="AG9144">
        <v>9142</v>
      </c>
    </row>
    <row r="9145" spans="33:33" x14ac:dyDescent="0.25">
      <c r="AG9145">
        <v>9143</v>
      </c>
    </row>
    <row r="9146" spans="33:33" x14ac:dyDescent="0.25">
      <c r="AG9146">
        <v>9144</v>
      </c>
    </row>
    <row r="9147" spans="33:33" x14ac:dyDescent="0.25">
      <c r="AG9147">
        <v>9145</v>
      </c>
    </row>
    <row r="9148" spans="33:33" x14ac:dyDescent="0.25">
      <c r="AG9148">
        <v>9146</v>
      </c>
    </row>
    <row r="9149" spans="33:33" x14ac:dyDescent="0.25">
      <c r="AG9149">
        <v>9147</v>
      </c>
    </row>
    <row r="9150" spans="33:33" x14ac:dyDescent="0.25">
      <c r="AG9150">
        <v>9148</v>
      </c>
    </row>
    <row r="9151" spans="33:33" x14ac:dyDescent="0.25">
      <c r="AG9151">
        <v>9149</v>
      </c>
    </row>
    <row r="9152" spans="33:33" x14ac:dyDescent="0.25">
      <c r="AG9152">
        <v>9150</v>
      </c>
    </row>
    <row r="9153" spans="33:33" x14ac:dyDescent="0.25">
      <c r="AG9153">
        <v>9151</v>
      </c>
    </row>
    <row r="9154" spans="33:33" x14ac:dyDescent="0.25">
      <c r="AG9154">
        <v>9152</v>
      </c>
    </row>
    <row r="9155" spans="33:33" x14ac:dyDescent="0.25">
      <c r="AG9155">
        <v>9153</v>
      </c>
    </row>
    <row r="9156" spans="33:33" x14ac:dyDescent="0.25">
      <c r="AG9156">
        <v>9154</v>
      </c>
    </row>
    <row r="9157" spans="33:33" x14ac:dyDescent="0.25">
      <c r="AG9157">
        <v>9155</v>
      </c>
    </row>
    <row r="9158" spans="33:33" x14ac:dyDescent="0.25">
      <c r="AG9158">
        <v>9156</v>
      </c>
    </row>
    <row r="9159" spans="33:33" x14ac:dyDescent="0.25">
      <c r="AG9159">
        <v>9157</v>
      </c>
    </row>
    <row r="9160" spans="33:33" x14ac:dyDescent="0.25">
      <c r="AG9160">
        <v>9158</v>
      </c>
    </row>
    <row r="9161" spans="33:33" x14ac:dyDescent="0.25">
      <c r="AG9161">
        <v>9159</v>
      </c>
    </row>
    <row r="9162" spans="33:33" x14ac:dyDescent="0.25">
      <c r="AG9162">
        <v>9160</v>
      </c>
    </row>
    <row r="9163" spans="33:33" x14ac:dyDescent="0.25">
      <c r="AG9163">
        <v>9161</v>
      </c>
    </row>
    <row r="9164" spans="33:33" x14ac:dyDescent="0.25">
      <c r="AG9164">
        <v>9162</v>
      </c>
    </row>
    <row r="9165" spans="33:33" x14ac:dyDescent="0.25">
      <c r="AG9165">
        <v>9163</v>
      </c>
    </row>
    <row r="9166" spans="33:33" x14ac:dyDescent="0.25">
      <c r="AG9166">
        <v>9164</v>
      </c>
    </row>
    <row r="9167" spans="33:33" x14ac:dyDescent="0.25">
      <c r="AG9167">
        <v>9165</v>
      </c>
    </row>
    <row r="9168" spans="33:33" x14ac:dyDescent="0.25">
      <c r="AG9168">
        <v>9166</v>
      </c>
    </row>
    <row r="9169" spans="33:33" x14ac:dyDescent="0.25">
      <c r="AG9169">
        <v>9167</v>
      </c>
    </row>
    <row r="9170" spans="33:33" x14ac:dyDescent="0.25">
      <c r="AG9170">
        <v>9168</v>
      </c>
    </row>
    <row r="9171" spans="33:33" x14ac:dyDescent="0.25">
      <c r="AG9171">
        <v>9169</v>
      </c>
    </row>
    <row r="9172" spans="33:33" x14ac:dyDescent="0.25">
      <c r="AG9172">
        <v>9170</v>
      </c>
    </row>
    <row r="9173" spans="33:33" x14ac:dyDescent="0.25">
      <c r="AG9173">
        <v>9171</v>
      </c>
    </row>
    <row r="9174" spans="33:33" x14ac:dyDescent="0.25">
      <c r="AG9174">
        <v>9172</v>
      </c>
    </row>
    <row r="9175" spans="33:33" x14ac:dyDescent="0.25">
      <c r="AG9175">
        <v>9173</v>
      </c>
    </row>
    <row r="9176" spans="33:33" x14ac:dyDescent="0.25">
      <c r="AG9176">
        <v>9174</v>
      </c>
    </row>
    <row r="9177" spans="33:33" x14ac:dyDescent="0.25">
      <c r="AG9177">
        <v>9175</v>
      </c>
    </row>
    <row r="9178" spans="33:33" x14ac:dyDescent="0.25">
      <c r="AG9178">
        <v>9176</v>
      </c>
    </row>
    <row r="9179" spans="33:33" x14ac:dyDescent="0.25">
      <c r="AG9179">
        <v>9177</v>
      </c>
    </row>
    <row r="9180" spans="33:33" x14ac:dyDescent="0.25">
      <c r="AG9180">
        <v>9178</v>
      </c>
    </row>
    <row r="9181" spans="33:33" x14ac:dyDescent="0.25">
      <c r="AG9181">
        <v>9179</v>
      </c>
    </row>
    <row r="9182" spans="33:33" x14ac:dyDescent="0.25">
      <c r="AG9182">
        <v>9180</v>
      </c>
    </row>
    <row r="9183" spans="33:33" x14ac:dyDescent="0.25">
      <c r="AG9183">
        <v>9181</v>
      </c>
    </row>
    <row r="9184" spans="33:33" x14ac:dyDescent="0.25">
      <c r="AG9184">
        <v>9182</v>
      </c>
    </row>
    <row r="9185" spans="33:33" x14ac:dyDescent="0.25">
      <c r="AG9185">
        <v>9183</v>
      </c>
    </row>
    <row r="9186" spans="33:33" x14ac:dyDescent="0.25">
      <c r="AG9186">
        <v>9184</v>
      </c>
    </row>
    <row r="9187" spans="33:33" x14ac:dyDescent="0.25">
      <c r="AG9187">
        <v>9185</v>
      </c>
    </row>
    <row r="9188" spans="33:33" x14ac:dyDescent="0.25">
      <c r="AG9188">
        <v>9186</v>
      </c>
    </row>
    <row r="9189" spans="33:33" x14ac:dyDescent="0.25">
      <c r="AG9189">
        <v>9187</v>
      </c>
    </row>
    <row r="9190" spans="33:33" x14ac:dyDescent="0.25">
      <c r="AG9190">
        <v>9188</v>
      </c>
    </row>
    <row r="9191" spans="33:33" x14ac:dyDescent="0.25">
      <c r="AG9191">
        <v>9189</v>
      </c>
    </row>
    <row r="9192" spans="33:33" x14ac:dyDescent="0.25">
      <c r="AG9192">
        <v>9190</v>
      </c>
    </row>
    <row r="9193" spans="33:33" x14ac:dyDescent="0.25">
      <c r="AG9193">
        <v>9191</v>
      </c>
    </row>
    <row r="9194" spans="33:33" x14ac:dyDescent="0.25">
      <c r="AG9194">
        <v>9192</v>
      </c>
    </row>
    <row r="9195" spans="33:33" x14ac:dyDescent="0.25">
      <c r="AG9195">
        <v>9193</v>
      </c>
    </row>
    <row r="9196" spans="33:33" x14ac:dyDescent="0.25">
      <c r="AG9196">
        <v>9194</v>
      </c>
    </row>
    <row r="9197" spans="33:33" x14ac:dyDescent="0.25">
      <c r="AG9197">
        <v>9195</v>
      </c>
    </row>
    <row r="9198" spans="33:33" x14ac:dyDescent="0.25">
      <c r="AG9198">
        <v>9196</v>
      </c>
    </row>
    <row r="9199" spans="33:33" x14ac:dyDescent="0.25">
      <c r="AG9199">
        <v>9197</v>
      </c>
    </row>
    <row r="9200" spans="33:33" x14ac:dyDescent="0.25">
      <c r="AG9200">
        <v>9198</v>
      </c>
    </row>
    <row r="9201" spans="33:33" x14ac:dyDescent="0.25">
      <c r="AG9201">
        <v>9199</v>
      </c>
    </row>
    <row r="9202" spans="33:33" x14ac:dyDescent="0.25">
      <c r="AG9202">
        <v>9200</v>
      </c>
    </row>
    <row r="9203" spans="33:33" x14ac:dyDescent="0.25">
      <c r="AG9203">
        <v>9201</v>
      </c>
    </row>
    <row r="9204" spans="33:33" x14ac:dyDescent="0.25">
      <c r="AG9204">
        <v>9202</v>
      </c>
    </row>
    <row r="9205" spans="33:33" x14ac:dyDescent="0.25">
      <c r="AG9205">
        <v>9203</v>
      </c>
    </row>
    <row r="9206" spans="33:33" x14ac:dyDescent="0.25">
      <c r="AG9206">
        <v>9204</v>
      </c>
    </row>
    <row r="9207" spans="33:33" x14ac:dyDescent="0.25">
      <c r="AG9207">
        <v>9205</v>
      </c>
    </row>
    <row r="9208" spans="33:33" x14ac:dyDescent="0.25">
      <c r="AG9208">
        <v>9206</v>
      </c>
    </row>
    <row r="9209" spans="33:33" x14ac:dyDescent="0.25">
      <c r="AG9209">
        <v>9207</v>
      </c>
    </row>
    <row r="9210" spans="33:33" x14ac:dyDescent="0.25">
      <c r="AG9210">
        <v>9208</v>
      </c>
    </row>
    <row r="9211" spans="33:33" x14ac:dyDescent="0.25">
      <c r="AG9211">
        <v>9209</v>
      </c>
    </row>
    <row r="9212" spans="33:33" x14ac:dyDescent="0.25">
      <c r="AG9212">
        <v>9210</v>
      </c>
    </row>
    <row r="9213" spans="33:33" x14ac:dyDescent="0.25">
      <c r="AG9213">
        <v>9211</v>
      </c>
    </row>
    <row r="9214" spans="33:33" x14ac:dyDescent="0.25">
      <c r="AG9214">
        <v>9212</v>
      </c>
    </row>
    <row r="9215" spans="33:33" x14ac:dyDescent="0.25">
      <c r="AG9215">
        <v>9213</v>
      </c>
    </row>
    <row r="9216" spans="33:33" x14ac:dyDescent="0.25">
      <c r="AG9216">
        <v>9214</v>
      </c>
    </row>
    <row r="9217" spans="33:33" x14ac:dyDescent="0.25">
      <c r="AG9217">
        <v>9215</v>
      </c>
    </row>
    <row r="9218" spans="33:33" x14ac:dyDescent="0.25">
      <c r="AG9218">
        <v>9216</v>
      </c>
    </row>
    <row r="9219" spans="33:33" x14ac:dyDescent="0.25">
      <c r="AG9219">
        <v>9217</v>
      </c>
    </row>
    <row r="9220" spans="33:33" x14ac:dyDescent="0.25">
      <c r="AG9220">
        <v>9218</v>
      </c>
    </row>
    <row r="9221" spans="33:33" x14ac:dyDescent="0.25">
      <c r="AG9221">
        <v>9219</v>
      </c>
    </row>
    <row r="9222" spans="33:33" x14ac:dyDescent="0.25">
      <c r="AG9222">
        <v>9220</v>
      </c>
    </row>
    <row r="9223" spans="33:33" x14ac:dyDescent="0.25">
      <c r="AG9223">
        <v>9221</v>
      </c>
    </row>
    <row r="9224" spans="33:33" x14ac:dyDescent="0.25">
      <c r="AG9224">
        <v>9222</v>
      </c>
    </row>
    <row r="9225" spans="33:33" x14ac:dyDescent="0.25">
      <c r="AG9225">
        <v>9223</v>
      </c>
    </row>
    <row r="9226" spans="33:33" x14ac:dyDescent="0.25">
      <c r="AG9226">
        <v>9224</v>
      </c>
    </row>
    <row r="9227" spans="33:33" x14ac:dyDescent="0.25">
      <c r="AG9227">
        <v>9225</v>
      </c>
    </row>
    <row r="9228" spans="33:33" x14ac:dyDescent="0.25">
      <c r="AG9228">
        <v>9226</v>
      </c>
    </row>
    <row r="9229" spans="33:33" x14ac:dyDescent="0.25">
      <c r="AG9229">
        <v>9227</v>
      </c>
    </row>
    <row r="9230" spans="33:33" x14ac:dyDescent="0.25">
      <c r="AG9230">
        <v>9228</v>
      </c>
    </row>
    <row r="9231" spans="33:33" x14ac:dyDescent="0.25">
      <c r="AG9231">
        <v>9229</v>
      </c>
    </row>
    <row r="9232" spans="33:33" x14ac:dyDescent="0.25">
      <c r="AG9232">
        <v>9230</v>
      </c>
    </row>
    <row r="9233" spans="33:33" x14ac:dyDescent="0.25">
      <c r="AG9233">
        <v>9231</v>
      </c>
    </row>
    <row r="9234" spans="33:33" x14ac:dyDescent="0.25">
      <c r="AG9234">
        <v>9232</v>
      </c>
    </row>
    <row r="9235" spans="33:33" x14ac:dyDescent="0.25">
      <c r="AG9235">
        <v>9233</v>
      </c>
    </row>
    <row r="9236" spans="33:33" x14ac:dyDescent="0.25">
      <c r="AG9236">
        <v>9234</v>
      </c>
    </row>
    <row r="9237" spans="33:33" x14ac:dyDescent="0.25">
      <c r="AG9237">
        <v>9235</v>
      </c>
    </row>
    <row r="9238" spans="33:33" x14ac:dyDescent="0.25">
      <c r="AG9238">
        <v>9236</v>
      </c>
    </row>
    <row r="9239" spans="33:33" x14ac:dyDescent="0.25">
      <c r="AG9239">
        <v>9237</v>
      </c>
    </row>
    <row r="9240" spans="33:33" x14ac:dyDescent="0.25">
      <c r="AG9240">
        <v>9238</v>
      </c>
    </row>
    <row r="9241" spans="33:33" x14ac:dyDescent="0.25">
      <c r="AG9241">
        <v>9239</v>
      </c>
    </row>
    <row r="9242" spans="33:33" x14ac:dyDescent="0.25">
      <c r="AG9242">
        <v>9240</v>
      </c>
    </row>
    <row r="9243" spans="33:33" x14ac:dyDescent="0.25">
      <c r="AG9243">
        <v>9241</v>
      </c>
    </row>
    <row r="9244" spans="33:33" x14ac:dyDescent="0.25">
      <c r="AG9244">
        <v>9242</v>
      </c>
    </row>
    <row r="9245" spans="33:33" x14ac:dyDescent="0.25">
      <c r="AG9245">
        <v>9243</v>
      </c>
    </row>
    <row r="9246" spans="33:33" x14ac:dyDescent="0.25">
      <c r="AG9246">
        <v>9244</v>
      </c>
    </row>
    <row r="9247" spans="33:33" x14ac:dyDescent="0.25">
      <c r="AG9247">
        <v>9245</v>
      </c>
    </row>
    <row r="9248" spans="33:33" x14ac:dyDescent="0.25">
      <c r="AG9248">
        <v>9246</v>
      </c>
    </row>
    <row r="9249" spans="33:33" x14ac:dyDescent="0.25">
      <c r="AG9249">
        <v>9247</v>
      </c>
    </row>
    <row r="9250" spans="33:33" x14ac:dyDescent="0.25">
      <c r="AG9250">
        <v>9248</v>
      </c>
    </row>
    <row r="9251" spans="33:33" x14ac:dyDescent="0.25">
      <c r="AG9251">
        <v>9249</v>
      </c>
    </row>
    <row r="9252" spans="33:33" x14ac:dyDescent="0.25">
      <c r="AG9252">
        <v>9250</v>
      </c>
    </row>
    <row r="9253" spans="33:33" x14ac:dyDescent="0.25">
      <c r="AG9253">
        <v>9251</v>
      </c>
    </row>
    <row r="9254" spans="33:33" x14ac:dyDescent="0.25">
      <c r="AG9254">
        <v>9252</v>
      </c>
    </row>
    <row r="9255" spans="33:33" x14ac:dyDescent="0.25">
      <c r="AG9255">
        <v>9253</v>
      </c>
    </row>
    <row r="9256" spans="33:33" x14ac:dyDescent="0.25">
      <c r="AG9256">
        <v>9254</v>
      </c>
    </row>
    <row r="9257" spans="33:33" x14ac:dyDescent="0.25">
      <c r="AG9257">
        <v>9255</v>
      </c>
    </row>
    <row r="9258" spans="33:33" x14ac:dyDescent="0.25">
      <c r="AG9258">
        <v>9256</v>
      </c>
    </row>
    <row r="9259" spans="33:33" x14ac:dyDescent="0.25">
      <c r="AG9259">
        <v>9257</v>
      </c>
    </row>
    <row r="9260" spans="33:33" x14ac:dyDescent="0.25">
      <c r="AG9260">
        <v>9258</v>
      </c>
    </row>
    <row r="9261" spans="33:33" x14ac:dyDescent="0.25">
      <c r="AG9261">
        <v>9259</v>
      </c>
    </row>
    <row r="9262" spans="33:33" x14ac:dyDescent="0.25">
      <c r="AG9262">
        <v>9260</v>
      </c>
    </row>
    <row r="9263" spans="33:33" x14ac:dyDescent="0.25">
      <c r="AG9263">
        <v>9261</v>
      </c>
    </row>
    <row r="9264" spans="33:33" x14ac:dyDescent="0.25">
      <c r="AG9264">
        <v>9262</v>
      </c>
    </row>
    <row r="9265" spans="33:33" x14ac:dyDescent="0.25">
      <c r="AG9265">
        <v>9263</v>
      </c>
    </row>
    <row r="9266" spans="33:33" x14ac:dyDescent="0.25">
      <c r="AG9266">
        <v>9264</v>
      </c>
    </row>
    <row r="9267" spans="33:33" x14ac:dyDescent="0.25">
      <c r="AG9267">
        <v>9265</v>
      </c>
    </row>
    <row r="9268" spans="33:33" x14ac:dyDescent="0.25">
      <c r="AG9268">
        <v>9266</v>
      </c>
    </row>
    <row r="9269" spans="33:33" x14ac:dyDescent="0.25">
      <c r="AG9269">
        <v>9267</v>
      </c>
    </row>
    <row r="9270" spans="33:33" x14ac:dyDescent="0.25">
      <c r="AG9270">
        <v>9268</v>
      </c>
    </row>
    <row r="9271" spans="33:33" x14ac:dyDescent="0.25">
      <c r="AG9271">
        <v>9269</v>
      </c>
    </row>
    <row r="9272" spans="33:33" x14ac:dyDescent="0.25">
      <c r="AG9272">
        <v>9270</v>
      </c>
    </row>
    <row r="9273" spans="33:33" x14ac:dyDescent="0.25">
      <c r="AG9273">
        <v>9271</v>
      </c>
    </row>
    <row r="9274" spans="33:33" x14ac:dyDescent="0.25">
      <c r="AG9274">
        <v>9272</v>
      </c>
    </row>
    <row r="9275" spans="33:33" x14ac:dyDescent="0.25">
      <c r="AG9275">
        <v>9273</v>
      </c>
    </row>
    <row r="9276" spans="33:33" x14ac:dyDescent="0.25">
      <c r="AG9276">
        <v>9274</v>
      </c>
    </row>
    <row r="9277" spans="33:33" x14ac:dyDescent="0.25">
      <c r="AG9277">
        <v>9275</v>
      </c>
    </row>
    <row r="9278" spans="33:33" x14ac:dyDescent="0.25">
      <c r="AG9278">
        <v>9276</v>
      </c>
    </row>
    <row r="9279" spans="33:33" x14ac:dyDescent="0.25">
      <c r="AG9279">
        <v>9277</v>
      </c>
    </row>
    <row r="9280" spans="33:33" x14ac:dyDescent="0.25">
      <c r="AG9280">
        <v>9278</v>
      </c>
    </row>
    <row r="9281" spans="33:33" x14ac:dyDescent="0.25">
      <c r="AG9281">
        <v>9279</v>
      </c>
    </row>
    <row r="9282" spans="33:33" x14ac:dyDescent="0.25">
      <c r="AG9282">
        <v>9280</v>
      </c>
    </row>
    <row r="9283" spans="33:33" x14ac:dyDescent="0.25">
      <c r="AG9283">
        <v>9281</v>
      </c>
    </row>
    <row r="9284" spans="33:33" x14ac:dyDescent="0.25">
      <c r="AG9284">
        <v>9282</v>
      </c>
    </row>
    <row r="9285" spans="33:33" x14ac:dyDescent="0.25">
      <c r="AG9285">
        <v>9283</v>
      </c>
    </row>
    <row r="9286" spans="33:33" x14ac:dyDescent="0.25">
      <c r="AG9286">
        <v>9284</v>
      </c>
    </row>
    <row r="9287" spans="33:33" x14ac:dyDescent="0.25">
      <c r="AG9287">
        <v>9285</v>
      </c>
    </row>
    <row r="9288" spans="33:33" x14ac:dyDescent="0.25">
      <c r="AG9288">
        <v>9286</v>
      </c>
    </row>
    <row r="9289" spans="33:33" x14ac:dyDescent="0.25">
      <c r="AG9289">
        <v>9287</v>
      </c>
    </row>
    <row r="9290" spans="33:33" x14ac:dyDescent="0.25">
      <c r="AG9290">
        <v>9288</v>
      </c>
    </row>
    <row r="9291" spans="33:33" x14ac:dyDescent="0.25">
      <c r="AG9291">
        <v>9289</v>
      </c>
    </row>
    <row r="9292" spans="33:33" x14ac:dyDescent="0.25">
      <c r="AG9292">
        <v>9290</v>
      </c>
    </row>
    <row r="9293" spans="33:33" x14ac:dyDescent="0.25">
      <c r="AG9293">
        <v>9291</v>
      </c>
    </row>
    <row r="9294" spans="33:33" x14ac:dyDescent="0.25">
      <c r="AG9294">
        <v>9292</v>
      </c>
    </row>
    <row r="9295" spans="33:33" x14ac:dyDescent="0.25">
      <c r="AG9295">
        <v>9293</v>
      </c>
    </row>
    <row r="9296" spans="33:33" x14ac:dyDescent="0.25">
      <c r="AG9296">
        <v>9294</v>
      </c>
    </row>
    <row r="9297" spans="33:33" x14ac:dyDescent="0.25">
      <c r="AG9297">
        <v>9295</v>
      </c>
    </row>
    <row r="9298" spans="33:33" x14ac:dyDescent="0.25">
      <c r="AG9298">
        <v>9296</v>
      </c>
    </row>
    <row r="9299" spans="33:33" x14ac:dyDescent="0.25">
      <c r="AG9299">
        <v>9297</v>
      </c>
    </row>
    <row r="9300" spans="33:33" x14ac:dyDescent="0.25">
      <c r="AG9300">
        <v>9298</v>
      </c>
    </row>
    <row r="9301" spans="33:33" x14ac:dyDescent="0.25">
      <c r="AG9301">
        <v>9299</v>
      </c>
    </row>
    <row r="9302" spans="33:33" x14ac:dyDescent="0.25">
      <c r="AG9302">
        <v>9300</v>
      </c>
    </row>
    <row r="9303" spans="33:33" x14ac:dyDescent="0.25">
      <c r="AG9303">
        <v>9301</v>
      </c>
    </row>
    <row r="9304" spans="33:33" x14ac:dyDescent="0.25">
      <c r="AG9304">
        <v>9302</v>
      </c>
    </row>
    <row r="9305" spans="33:33" x14ac:dyDescent="0.25">
      <c r="AG9305">
        <v>9303</v>
      </c>
    </row>
    <row r="9306" spans="33:33" x14ac:dyDescent="0.25">
      <c r="AG9306">
        <v>9304</v>
      </c>
    </row>
    <row r="9307" spans="33:33" x14ac:dyDescent="0.25">
      <c r="AG9307">
        <v>9305</v>
      </c>
    </row>
    <row r="9308" spans="33:33" x14ac:dyDescent="0.25">
      <c r="AG9308">
        <v>9306</v>
      </c>
    </row>
    <row r="9309" spans="33:33" x14ac:dyDescent="0.25">
      <c r="AG9309">
        <v>9307</v>
      </c>
    </row>
    <row r="9310" spans="33:33" x14ac:dyDescent="0.25">
      <c r="AG9310">
        <v>9308</v>
      </c>
    </row>
    <row r="9311" spans="33:33" x14ac:dyDescent="0.25">
      <c r="AG9311">
        <v>9309</v>
      </c>
    </row>
    <row r="9312" spans="33:33" x14ac:dyDescent="0.25">
      <c r="AG9312">
        <v>9310</v>
      </c>
    </row>
    <row r="9313" spans="33:33" x14ac:dyDescent="0.25">
      <c r="AG9313">
        <v>9311</v>
      </c>
    </row>
    <row r="9314" spans="33:33" x14ac:dyDescent="0.25">
      <c r="AG9314">
        <v>9312</v>
      </c>
    </row>
    <row r="9315" spans="33:33" x14ac:dyDescent="0.25">
      <c r="AG9315">
        <v>9313</v>
      </c>
    </row>
    <row r="9316" spans="33:33" x14ac:dyDescent="0.25">
      <c r="AG9316">
        <v>9314</v>
      </c>
    </row>
    <row r="9317" spans="33:33" x14ac:dyDescent="0.25">
      <c r="AG9317">
        <v>9315</v>
      </c>
    </row>
    <row r="9318" spans="33:33" x14ac:dyDescent="0.25">
      <c r="AG9318">
        <v>9316</v>
      </c>
    </row>
    <row r="9319" spans="33:33" x14ac:dyDescent="0.25">
      <c r="AG9319">
        <v>9317</v>
      </c>
    </row>
    <row r="9320" spans="33:33" x14ac:dyDescent="0.25">
      <c r="AG9320">
        <v>9318</v>
      </c>
    </row>
    <row r="9321" spans="33:33" x14ac:dyDescent="0.25">
      <c r="AG9321">
        <v>9319</v>
      </c>
    </row>
    <row r="9322" spans="33:33" x14ac:dyDescent="0.25">
      <c r="AG9322">
        <v>9320</v>
      </c>
    </row>
    <row r="9323" spans="33:33" x14ac:dyDescent="0.25">
      <c r="AG9323">
        <v>9321</v>
      </c>
    </row>
    <row r="9324" spans="33:33" x14ac:dyDescent="0.25">
      <c r="AG9324">
        <v>9322</v>
      </c>
    </row>
    <row r="9325" spans="33:33" x14ac:dyDescent="0.25">
      <c r="AG9325">
        <v>9323</v>
      </c>
    </row>
    <row r="9326" spans="33:33" x14ac:dyDescent="0.25">
      <c r="AG9326">
        <v>9324</v>
      </c>
    </row>
    <row r="9327" spans="33:33" x14ac:dyDescent="0.25">
      <c r="AG9327">
        <v>9325</v>
      </c>
    </row>
    <row r="9328" spans="33:33" x14ac:dyDescent="0.25">
      <c r="AG9328">
        <v>9326</v>
      </c>
    </row>
    <row r="9329" spans="33:33" x14ac:dyDescent="0.25">
      <c r="AG9329">
        <v>9327</v>
      </c>
    </row>
    <row r="9330" spans="33:33" x14ac:dyDescent="0.25">
      <c r="AG9330">
        <v>9328</v>
      </c>
    </row>
    <row r="9331" spans="33:33" x14ac:dyDescent="0.25">
      <c r="AG9331">
        <v>9329</v>
      </c>
    </row>
    <row r="9332" spans="33:33" x14ac:dyDescent="0.25">
      <c r="AG9332">
        <v>9330</v>
      </c>
    </row>
    <row r="9333" spans="33:33" x14ac:dyDescent="0.25">
      <c r="AG9333">
        <v>9331</v>
      </c>
    </row>
    <row r="9334" spans="33:33" x14ac:dyDescent="0.25">
      <c r="AG9334">
        <v>9332</v>
      </c>
    </row>
    <row r="9335" spans="33:33" x14ac:dyDescent="0.25">
      <c r="AG9335">
        <v>9333</v>
      </c>
    </row>
    <row r="9336" spans="33:33" x14ac:dyDescent="0.25">
      <c r="AG9336">
        <v>9334</v>
      </c>
    </row>
    <row r="9337" spans="33:33" x14ac:dyDescent="0.25">
      <c r="AG9337">
        <v>9335</v>
      </c>
    </row>
    <row r="9338" spans="33:33" x14ac:dyDescent="0.25">
      <c r="AG9338">
        <v>9336</v>
      </c>
    </row>
    <row r="9339" spans="33:33" x14ac:dyDescent="0.25">
      <c r="AG9339">
        <v>9337</v>
      </c>
    </row>
    <row r="9340" spans="33:33" x14ac:dyDescent="0.25">
      <c r="AG9340">
        <v>9338</v>
      </c>
    </row>
    <row r="9341" spans="33:33" x14ac:dyDescent="0.25">
      <c r="AG9341">
        <v>9339</v>
      </c>
    </row>
    <row r="9342" spans="33:33" x14ac:dyDescent="0.25">
      <c r="AG9342">
        <v>9340</v>
      </c>
    </row>
    <row r="9343" spans="33:33" x14ac:dyDescent="0.25">
      <c r="AG9343">
        <v>9341</v>
      </c>
    </row>
    <row r="9344" spans="33:33" x14ac:dyDescent="0.25">
      <c r="AG9344">
        <v>9342</v>
      </c>
    </row>
    <row r="9345" spans="33:33" x14ac:dyDescent="0.25">
      <c r="AG9345">
        <v>9343</v>
      </c>
    </row>
    <row r="9346" spans="33:33" x14ac:dyDescent="0.25">
      <c r="AG9346">
        <v>9344</v>
      </c>
    </row>
    <row r="9347" spans="33:33" x14ac:dyDescent="0.25">
      <c r="AG9347">
        <v>9345</v>
      </c>
    </row>
    <row r="9348" spans="33:33" x14ac:dyDescent="0.25">
      <c r="AG9348">
        <v>9346</v>
      </c>
    </row>
    <row r="9349" spans="33:33" x14ac:dyDescent="0.25">
      <c r="AG9349">
        <v>9347</v>
      </c>
    </row>
    <row r="9350" spans="33:33" x14ac:dyDescent="0.25">
      <c r="AG9350">
        <v>9348</v>
      </c>
    </row>
    <row r="9351" spans="33:33" x14ac:dyDescent="0.25">
      <c r="AG9351">
        <v>9349</v>
      </c>
    </row>
    <row r="9352" spans="33:33" x14ac:dyDescent="0.25">
      <c r="AG9352">
        <v>9350</v>
      </c>
    </row>
    <row r="9353" spans="33:33" x14ac:dyDescent="0.25">
      <c r="AG9353">
        <v>9351</v>
      </c>
    </row>
    <row r="9354" spans="33:33" x14ac:dyDescent="0.25">
      <c r="AG9354">
        <v>9352</v>
      </c>
    </row>
    <row r="9355" spans="33:33" x14ac:dyDescent="0.25">
      <c r="AG9355">
        <v>9353</v>
      </c>
    </row>
    <row r="9356" spans="33:33" x14ac:dyDescent="0.25">
      <c r="AG9356">
        <v>9354</v>
      </c>
    </row>
    <row r="9357" spans="33:33" x14ac:dyDescent="0.25">
      <c r="AG9357">
        <v>9355</v>
      </c>
    </row>
    <row r="9358" spans="33:33" x14ac:dyDescent="0.25">
      <c r="AG9358">
        <v>9356</v>
      </c>
    </row>
    <row r="9359" spans="33:33" x14ac:dyDescent="0.25">
      <c r="AG9359">
        <v>9357</v>
      </c>
    </row>
    <row r="9360" spans="33:33" x14ac:dyDescent="0.25">
      <c r="AG9360">
        <v>9358</v>
      </c>
    </row>
    <row r="9361" spans="33:33" x14ac:dyDescent="0.25">
      <c r="AG9361">
        <v>9359</v>
      </c>
    </row>
    <row r="9362" spans="33:33" x14ac:dyDescent="0.25">
      <c r="AG9362">
        <v>9360</v>
      </c>
    </row>
    <row r="9363" spans="33:33" x14ac:dyDescent="0.25">
      <c r="AG9363">
        <v>9361</v>
      </c>
    </row>
    <row r="9364" spans="33:33" x14ac:dyDescent="0.25">
      <c r="AG9364">
        <v>9362</v>
      </c>
    </row>
    <row r="9365" spans="33:33" x14ac:dyDescent="0.25">
      <c r="AG9365">
        <v>9363</v>
      </c>
    </row>
    <row r="9366" spans="33:33" x14ac:dyDescent="0.25">
      <c r="AG9366">
        <v>9364</v>
      </c>
    </row>
    <row r="9367" spans="33:33" x14ac:dyDescent="0.25">
      <c r="AG9367">
        <v>9365</v>
      </c>
    </row>
    <row r="9368" spans="33:33" x14ac:dyDescent="0.25">
      <c r="AG9368">
        <v>9366</v>
      </c>
    </row>
    <row r="9369" spans="33:33" x14ac:dyDescent="0.25">
      <c r="AG9369">
        <v>9367</v>
      </c>
    </row>
    <row r="9370" spans="33:33" x14ac:dyDescent="0.25">
      <c r="AG9370">
        <v>9368</v>
      </c>
    </row>
    <row r="9371" spans="33:33" x14ac:dyDescent="0.25">
      <c r="AG9371">
        <v>9369</v>
      </c>
    </row>
    <row r="9372" spans="33:33" x14ac:dyDescent="0.25">
      <c r="AG9372">
        <v>9370</v>
      </c>
    </row>
    <row r="9373" spans="33:33" x14ac:dyDescent="0.25">
      <c r="AG9373">
        <v>9371</v>
      </c>
    </row>
    <row r="9374" spans="33:33" x14ac:dyDescent="0.25">
      <c r="AG9374">
        <v>9372</v>
      </c>
    </row>
    <row r="9375" spans="33:33" x14ac:dyDescent="0.25">
      <c r="AG9375">
        <v>9373</v>
      </c>
    </row>
    <row r="9376" spans="33:33" x14ac:dyDescent="0.25">
      <c r="AG9376">
        <v>9374</v>
      </c>
    </row>
    <row r="9377" spans="33:33" x14ac:dyDescent="0.25">
      <c r="AG9377">
        <v>9375</v>
      </c>
    </row>
    <row r="9378" spans="33:33" x14ac:dyDescent="0.25">
      <c r="AG9378">
        <v>9376</v>
      </c>
    </row>
    <row r="9379" spans="33:33" x14ac:dyDescent="0.25">
      <c r="AG9379">
        <v>9377</v>
      </c>
    </row>
    <row r="9380" spans="33:33" x14ac:dyDescent="0.25">
      <c r="AG9380">
        <v>9378</v>
      </c>
    </row>
    <row r="9381" spans="33:33" x14ac:dyDescent="0.25">
      <c r="AG9381">
        <v>9379</v>
      </c>
    </row>
    <row r="9382" spans="33:33" x14ac:dyDescent="0.25">
      <c r="AG9382">
        <v>9380</v>
      </c>
    </row>
    <row r="9383" spans="33:33" x14ac:dyDescent="0.25">
      <c r="AG9383">
        <v>9381</v>
      </c>
    </row>
    <row r="9384" spans="33:33" x14ac:dyDescent="0.25">
      <c r="AG9384">
        <v>9382</v>
      </c>
    </row>
    <row r="9385" spans="33:33" x14ac:dyDescent="0.25">
      <c r="AG9385">
        <v>9383</v>
      </c>
    </row>
    <row r="9386" spans="33:33" x14ac:dyDescent="0.25">
      <c r="AG9386">
        <v>9384</v>
      </c>
    </row>
    <row r="9387" spans="33:33" x14ac:dyDescent="0.25">
      <c r="AG9387">
        <v>9385</v>
      </c>
    </row>
    <row r="9388" spans="33:33" x14ac:dyDescent="0.25">
      <c r="AG9388">
        <v>9386</v>
      </c>
    </row>
    <row r="9389" spans="33:33" x14ac:dyDescent="0.25">
      <c r="AG9389">
        <v>9387</v>
      </c>
    </row>
    <row r="9390" spans="33:33" x14ac:dyDescent="0.25">
      <c r="AG9390">
        <v>9388</v>
      </c>
    </row>
    <row r="9391" spans="33:33" x14ac:dyDescent="0.25">
      <c r="AG9391">
        <v>9389</v>
      </c>
    </row>
    <row r="9392" spans="33:33" x14ac:dyDescent="0.25">
      <c r="AG9392">
        <v>9390</v>
      </c>
    </row>
    <row r="9393" spans="33:33" x14ac:dyDescent="0.25">
      <c r="AG9393">
        <v>9391</v>
      </c>
    </row>
    <row r="9394" spans="33:33" x14ac:dyDescent="0.25">
      <c r="AG9394">
        <v>9392</v>
      </c>
    </row>
    <row r="9395" spans="33:33" x14ac:dyDescent="0.25">
      <c r="AG9395">
        <v>9393</v>
      </c>
    </row>
    <row r="9396" spans="33:33" x14ac:dyDescent="0.25">
      <c r="AG9396">
        <v>9394</v>
      </c>
    </row>
    <row r="9397" spans="33:33" x14ac:dyDescent="0.25">
      <c r="AG9397">
        <v>9395</v>
      </c>
    </row>
    <row r="9398" spans="33:33" x14ac:dyDescent="0.25">
      <c r="AG9398">
        <v>9396</v>
      </c>
    </row>
    <row r="9399" spans="33:33" x14ac:dyDescent="0.25">
      <c r="AG9399">
        <v>9397</v>
      </c>
    </row>
    <row r="9400" spans="33:33" x14ac:dyDescent="0.25">
      <c r="AG9400">
        <v>9398</v>
      </c>
    </row>
    <row r="9401" spans="33:33" x14ac:dyDescent="0.25">
      <c r="AG9401">
        <v>9399</v>
      </c>
    </row>
    <row r="9402" spans="33:33" x14ac:dyDescent="0.25">
      <c r="AG9402">
        <v>9400</v>
      </c>
    </row>
    <row r="9403" spans="33:33" x14ac:dyDescent="0.25">
      <c r="AG9403">
        <v>9401</v>
      </c>
    </row>
    <row r="9404" spans="33:33" x14ac:dyDescent="0.25">
      <c r="AG9404">
        <v>9402</v>
      </c>
    </row>
    <row r="9405" spans="33:33" x14ac:dyDescent="0.25">
      <c r="AG9405">
        <v>9403</v>
      </c>
    </row>
    <row r="9406" spans="33:33" x14ac:dyDescent="0.25">
      <c r="AG9406">
        <v>9404</v>
      </c>
    </row>
    <row r="9407" spans="33:33" x14ac:dyDescent="0.25">
      <c r="AG9407">
        <v>9405</v>
      </c>
    </row>
    <row r="9408" spans="33:33" x14ac:dyDescent="0.25">
      <c r="AG9408">
        <v>9406</v>
      </c>
    </row>
    <row r="9409" spans="33:33" x14ac:dyDescent="0.25">
      <c r="AG9409">
        <v>9407</v>
      </c>
    </row>
    <row r="9410" spans="33:33" x14ac:dyDescent="0.25">
      <c r="AG9410">
        <v>9408</v>
      </c>
    </row>
    <row r="9411" spans="33:33" x14ac:dyDescent="0.25">
      <c r="AG9411">
        <v>9409</v>
      </c>
    </row>
    <row r="9412" spans="33:33" x14ac:dyDescent="0.25">
      <c r="AG9412">
        <v>9410</v>
      </c>
    </row>
    <row r="9413" spans="33:33" x14ac:dyDescent="0.25">
      <c r="AG9413">
        <v>9411</v>
      </c>
    </row>
    <row r="9414" spans="33:33" x14ac:dyDescent="0.25">
      <c r="AG9414">
        <v>9412</v>
      </c>
    </row>
    <row r="9415" spans="33:33" x14ac:dyDescent="0.25">
      <c r="AG9415">
        <v>9413</v>
      </c>
    </row>
    <row r="9416" spans="33:33" x14ac:dyDescent="0.25">
      <c r="AG9416">
        <v>9414</v>
      </c>
    </row>
    <row r="9417" spans="33:33" x14ac:dyDescent="0.25">
      <c r="AG9417">
        <v>9415</v>
      </c>
    </row>
    <row r="9418" spans="33:33" x14ac:dyDescent="0.25">
      <c r="AG9418">
        <v>9416</v>
      </c>
    </row>
    <row r="9419" spans="33:33" x14ac:dyDescent="0.25">
      <c r="AG9419">
        <v>9417</v>
      </c>
    </row>
    <row r="9420" spans="33:33" x14ac:dyDescent="0.25">
      <c r="AG9420">
        <v>9418</v>
      </c>
    </row>
    <row r="9421" spans="33:33" x14ac:dyDescent="0.25">
      <c r="AG9421">
        <v>9419</v>
      </c>
    </row>
    <row r="9422" spans="33:33" x14ac:dyDescent="0.25">
      <c r="AG9422">
        <v>9420</v>
      </c>
    </row>
    <row r="9423" spans="33:33" x14ac:dyDescent="0.25">
      <c r="AG9423">
        <v>9421</v>
      </c>
    </row>
    <row r="9424" spans="33:33" x14ac:dyDescent="0.25">
      <c r="AG9424">
        <v>9422</v>
      </c>
    </row>
    <row r="9425" spans="33:33" x14ac:dyDescent="0.25">
      <c r="AG9425">
        <v>9423</v>
      </c>
    </row>
    <row r="9426" spans="33:33" x14ac:dyDescent="0.25">
      <c r="AG9426">
        <v>9424</v>
      </c>
    </row>
    <row r="9427" spans="33:33" x14ac:dyDescent="0.25">
      <c r="AG9427">
        <v>9425</v>
      </c>
    </row>
    <row r="9428" spans="33:33" x14ac:dyDescent="0.25">
      <c r="AG9428">
        <v>9426</v>
      </c>
    </row>
    <row r="9429" spans="33:33" x14ac:dyDescent="0.25">
      <c r="AG9429">
        <v>9427</v>
      </c>
    </row>
    <row r="9430" spans="33:33" x14ac:dyDescent="0.25">
      <c r="AG9430">
        <v>9428</v>
      </c>
    </row>
    <row r="9431" spans="33:33" x14ac:dyDescent="0.25">
      <c r="AG9431">
        <v>9429</v>
      </c>
    </row>
    <row r="9432" spans="33:33" x14ac:dyDescent="0.25">
      <c r="AG9432">
        <v>9430</v>
      </c>
    </row>
    <row r="9433" spans="33:33" x14ac:dyDescent="0.25">
      <c r="AG9433">
        <v>9431</v>
      </c>
    </row>
    <row r="9434" spans="33:33" x14ac:dyDescent="0.25">
      <c r="AG9434">
        <v>9432</v>
      </c>
    </row>
    <row r="9435" spans="33:33" x14ac:dyDescent="0.25">
      <c r="AG9435">
        <v>9433</v>
      </c>
    </row>
    <row r="9436" spans="33:33" x14ac:dyDescent="0.25">
      <c r="AG9436">
        <v>9434</v>
      </c>
    </row>
    <row r="9437" spans="33:33" x14ac:dyDescent="0.25">
      <c r="AG9437">
        <v>9435</v>
      </c>
    </row>
    <row r="9438" spans="33:33" x14ac:dyDescent="0.25">
      <c r="AG9438">
        <v>9436</v>
      </c>
    </row>
    <row r="9439" spans="33:33" x14ac:dyDescent="0.25">
      <c r="AG9439">
        <v>9437</v>
      </c>
    </row>
    <row r="9440" spans="33:33" x14ac:dyDescent="0.25">
      <c r="AG9440">
        <v>9438</v>
      </c>
    </row>
    <row r="9441" spans="33:33" x14ac:dyDescent="0.25">
      <c r="AG9441">
        <v>9439</v>
      </c>
    </row>
    <row r="9442" spans="33:33" x14ac:dyDescent="0.25">
      <c r="AG9442">
        <v>9440</v>
      </c>
    </row>
    <row r="9443" spans="33:33" x14ac:dyDescent="0.25">
      <c r="AG9443">
        <v>9441</v>
      </c>
    </row>
    <row r="9444" spans="33:33" x14ac:dyDescent="0.25">
      <c r="AG9444">
        <v>9442</v>
      </c>
    </row>
    <row r="9445" spans="33:33" x14ac:dyDescent="0.25">
      <c r="AG9445">
        <v>9443</v>
      </c>
    </row>
    <row r="9446" spans="33:33" x14ac:dyDescent="0.25">
      <c r="AG9446">
        <v>9444</v>
      </c>
    </row>
    <row r="9447" spans="33:33" x14ac:dyDescent="0.25">
      <c r="AG9447">
        <v>9445</v>
      </c>
    </row>
    <row r="9448" spans="33:33" x14ac:dyDescent="0.25">
      <c r="AG9448">
        <v>9446</v>
      </c>
    </row>
    <row r="9449" spans="33:33" x14ac:dyDescent="0.25">
      <c r="AG9449">
        <v>9447</v>
      </c>
    </row>
    <row r="9450" spans="33:33" x14ac:dyDescent="0.25">
      <c r="AG9450">
        <v>9448</v>
      </c>
    </row>
    <row r="9451" spans="33:33" x14ac:dyDescent="0.25">
      <c r="AG9451">
        <v>9449</v>
      </c>
    </row>
    <row r="9452" spans="33:33" x14ac:dyDescent="0.25">
      <c r="AG9452">
        <v>9450</v>
      </c>
    </row>
    <row r="9453" spans="33:33" x14ac:dyDescent="0.25">
      <c r="AG9453">
        <v>9451</v>
      </c>
    </row>
    <row r="9454" spans="33:33" x14ac:dyDescent="0.25">
      <c r="AG9454">
        <v>9452</v>
      </c>
    </row>
    <row r="9455" spans="33:33" x14ac:dyDescent="0.25">
      <c r="AG9455">
        <v>9453</v>
      </c>
    </row>
    <row r="9456" spans="33:33" x14ac:dyDescent="0.25">
      <c r="AG9456">
        <v>9454</v>
      </c>
    </row>
    <row r="9457" spans="33:33" x14ac:dyDescent="0.25">
      <c r="AG9457">
        <v>9455</v>
      </c>
    </row>
    <row r="9458" spans="33:33" x14ac:dyDescent="0.25">
      <c r="AG9458">
        <v>9456</v>
      </c>
    </row>
    <row r="9459" spans="33:33" x14ac:dyDescent="0.25">
      <c r="AG9459">
        <v>9457</v>
      </c>
    </row>
    <row r="9460" spans="33:33" x14ac:dyDescent="0.25">
      <c r="AG9460">
        <v>9458</v>
      </c>
    </row>
    <row r="9461" spans="33:33" x14ac:dyDescent="0.25">
      <c r="AG9461">
        <v>9459</v>
      </c>
    </row>
    <row r="9462" spans="33:33" x14ac:dyDescent="0.25">
      <c r="AG9462">
        <v>9460</v>
      </c>
    </row>
    <row r="9463" spans="33:33" x14ac:dyDescent="0.25">
      <c r="AG9463">
        <v>9461</v>
      </c>
    </row>
    <row r="9464" spans="33:33" x14ac:dyDescent="0.25">
      <c r="AG9464">
        <v>9462</v>
      </c>
    </row>
    <row r="9465" spans="33:33" x14ac:dyDescent="0.25">
      <c r="AG9465">
        <v>9463</v>
      </c>
    </row>
    <row r="9466" spans="33:33" x14ac:dyDescent="0.25">
      <c r="AG9466">
        <v>9464</v>
      </c>
    </row>
    <row r="9467" spans="33:33" x14ac:dyDescent="0.25">
      <c r="AG9467">
        <v>9465</v>
      </c>
    </row>
    <row r="9468" spans="33:33" x14ac:dyDescent="0.25">
      <c r="AG9468">
        <v>9466</v>
      </c>
    </row>
    <row r="9469" spans="33:33" x14ac:dyDescent="0.25">
      <c r="AG9469">
        <v>9467</v>
      </c>
    </row>
    <row r="9470" spans="33:33" x14ac:dyDescent="0.25">
      <c r="AG9470">
        <v>9468</v>
      </c>
    </row>
    <row r="9471" spans="33:33" x14ac:dyDescent="0.25">
      <c r="AG9471">
        <v>9469</v>
      </c>
    </row>
    <row r="9472" spans="33:33" x14ac:dyDescent="0.25">
      <c r="AG9472">
        <v>9470</v>
      </c>
    </row>
    <row r="9473" spans="33:33" x14ac:dyDescent="0.25">
      <c r="AG9473">
        <v>9471</v>
      </c>
    </row>
    <row r="9474" spans="33:33" x14ac:dyDescent="0.25">
      <c r="AG9474">
        <v>9472</v>
      </c>
    </row>
    <row r="9475" spans="33:33" x14ac:dyDescent="0.25">
      <c r="AG9475">
        <v>9473</v>
      </c>
    </row>
    <row r="9476" spans="33:33" x14ac:dyDescent="0.25">
      <c r="AG9476">
        <v>9474</v>
      </c>
    </row>
    <row r="9477" spans="33:33" x14ac:dyDescent="0.25">
      <c r="AG9477">
        <v>9475</v>
      </c>
    </row>
    <row r="9478" spans="33:33" x14ac:dyDescent="0.25">
      <c r="AG9478">
        <v>9476</v>
      </c>
    </row>
    <row r="9479" spans="33:33" x14ac:dyDescent="0.25">
      <c r="AG9479">
        <v>9477</v>
      </c>
    </row>
    <row r="9480" spans="33:33" x14ac:dyDescent="0.25">
      <c r="AG9480">
        <v>9478</v>
      </c>
    </row>
    <row r="9481" spans="33:33" x14ac:dyDescent="0.25">
      <c r="AG9481">
        <v>9479</v>
      </c>
    </row>
    <row r="9482" spans="33:33" x14ac:dyDescent="0.25">
      <c r="AG9482">
        <v>9480</v>
      </c>
    </row>
    <row r="9483" spans="33:33" x14ac:dyDescent="0.25">
      <c r="AG9483">
        <v>9481</v>
      </c>
    </row>
    <row r="9484" spans="33:33" x14ac:dyDescent="0.25">
      <c r="AG9484">
        <v>9482</v>
      </c>
    </row>
    <row r="9485" spans="33:33" x14ac:dyDescent="0.25">
      <c r="AG9485">
        <v>9483</v>
      </c>
    </row>
    <row r="9486" spans="33:33" x14ac:dyDescent="0.25">
      <c r="AG9486">
        <v>9484</v>
      </c>
    </row>
    <row r="9487" spans="33:33" x14ac:dyDescent="0.25">
      <c r="AG9487">
        <v>9485</v>
      </c>
    </row>
    <row r="9488" spans="33:33" x14ac:dyDescent="0.25">
      <c r="AG9488">
        <v>9486</v>
      </c>
    </row>
    <row r="9489" spans="33:33" x14ac:dyDescent="0.25">
      <c r="AG9489">
        <v>9487</v>
      </c>
    </row>
    <row r="9490" spans="33:33" x14ac:dyDescent="0.25">
      <c r="AG9490">
        <v>9488</v>
      </c>
    </row>
    <row r="9491" spans="33:33" x14ac:dyDescent="0.25">
      <c r="AG9491">
        <v>9489</v>
      </c>
    </row>
    <row r="9492" spans="33:33" x14ac:dyDescent="0.25">
      <c r="AG9492">
        <v>9490</v>
      </c>
    </row>
    <row r="9493" spans="33:33" x14ac:dyDescent="0.25">
      <c r="AG9493">
        <v>9491</v>
      </c>
    </row>
    <row r="9494" spans="33:33" x14ac:dyDescent="0.25">
      <c r="AG9494">
        <v>9492</v>
      </c>
    </row>
    <row r="9495" spans="33:33" x14ac:dyDescent="0.25">
      <c r="AG9495">
        <v>9493</v>
      </c>
    </row>
    <row r="9496" spans="33:33" x14ac:dyDescent="0.25">
      <c r="AG9496">
        <v>9494</v>
      </c>
    </row>
    <row r="9497" spans="33:33" x14ac:dyDescent="0.25">
      <c r="AG9497">
        <v>9495</v>
      </c>
    </row>
    <row r="9498" spans="33:33" x14ac:dyDescent="0.25">
      <c r="AG9498">
        <v>9496</v>
      </c>
    </row>
    <row r="9499" spans="33:33" x14ac:dyDescent="0.25">
      <c r="AG9499">
        <v>9497</v>
      </c>
    </row>
    <row r="9500" spans="33:33" x14ac:dyDescent="0.25">
      <c r="AG9500">
        <v>9498</v>
      </c>
    </row>
    <row r="9501" spans="33:33" x14ac:dyDescent="0.25">
      <c r="AG9501">
        <v>9499</v>
      </c>
    </row>
    <row r="9502" spans="33:33" x14ac:dyDescent="0.25">
      <c r="AG9502">
        <v>9500</v>
      </c>
    </row>
    <row r="9503" spans="33:33" x14ac:dyDescent="0.25">
      <c r="AG9503">
        <v>9501</v>
      </c>
    </row>
    <row r="9504" spans="33:33" x14ac:dyDescent="0.25">
      <c r="AG9504">
        <v>9502</v>
      </c>
    </row>
    <row r="9505" spans="33:33" x14ac:dyDescent="0.25">
      <c r="AG9505">
        <v>9503</v>
      </c>
    </row>
    <row r="9506" spans="33:33" x14ac:dyDescent="0.25">
      <c r="AG9506">
        <v>9504</v>
      </c>
    </row>
    <row r="9507" spans="33:33" x14ac:dyDescent="0.25">
      <c r="AG9507">
        <v>9505</v>
      </c>
    </row>
    <row r="9508" spans="33:33" x14ac:dyDescent="0.25">
      <c r="AG9508">
        <v>9506</v>
      </c>
    </row>
    <row r="9509" spans="33:33" x14ac:dyDescent="0.25">
      <c r="AG9509">
        <v>9507</v>
      </c>
    </row>
    <row r="9510" spans="33:33" x14ac:dyDescent="0.25">
      <c r="AG9510">
        <v>9508</v>
      </c>
    </row>
    <row r="9511" spans="33:33" x14ac:dyDescent="0.25">
      <c r="AG9511">
        <v>9509</v>
      </c>
    </row>
    <row r="9512" spans="33:33" x14ac:dyDescent="0.25">
      <c r="AG9512">
        <v>9510</v>
      </c>
    </row>
    <row r="9513" spans="33:33" x14ac:dyDescent="0.25">
      <c r="AG9513">
        <v>9511</v>
      </c>
    </row>
    <row r="9514" spans="33:33" x14ac:dyDescent="0.25">
      <c r="AG9514">
        <v>9512</v>
      </c>
    </row>
    <row r="9515" spans="33:33" x14ac:dyDescent="0.25">
      <c r="AG9515">
        <v>9513</v>
      </c>
    </row>
    <row r="9516" spans="33:33" x14ac:dyDescent="0.25">
      <c r="AG9516">
        <v>9514</v>
      </c>
    </row>
    <row r="9517" spans="33:33" x14ac:dyDescent="0.25">
      <c r="AG9517">
        <v>9515</v>
      </c>
    </row>
    <row r="9518" spans="33:33" x14ac:dyDescent="0.25">
      <c r="AG9518">
        <v>9516</v>
      </c>
    </row>
    <row r="9519" spans="33:33" x14ac:dyDescent="0.25">
      <c r="AG9519">
        <v>9517</v>
      </c>
    </row>
    <row r="9520" spans="33:33" x14ac:dyDescent="0.25">
      <c r="AG9520">
        <v>9518</v>
      </c>
    </row>
    <row r="9521" spans="33:33" x14ac:dyDescent="0.25">
      <c r="AG9521">
        <v>9519</v>
      </c>
    </row>
    <row r="9522" spans="33:33" x14ac:dyDescent="0.25">
      <c r="AG9522">
        <v>9520</v>
      </c>
    </row>
    <row r="9523" spans="33:33" x14ac:dyDescent="0.25">
      <c r="AG9523">
        <v>9521</v>
      </c>
    </row>
    <row r="9524" spans="33:33" x14ac:dyDescent="0.25">
      <c r="AG9524">
        <v>9522</v>
      </c>
    </row>
    <row r="9525" spans="33:33" x14ac:dyDescent="0.25">
      <c r="AG9525">
        <v>9523</v>
      </c>
    </row>
    <row r="9526" spans="33:33" x14ac:dyDescent="0.25">
      <c r="AG9526">
        <v>9524</v>
      </c>
    </row>
    <row r="9527" spans="33:33" x14ac:dyDescent="0.25">
      <c r="AG9527">
        <v>9525</v>
      </c>
    </row>
    <row r="9528" spans="33:33" x14ac:dyDescent="0.25">
      <c r="AG9528">
        <v>9526</v>
      </c>
    </row>
    <row r="9529" spans="33:33" x14ac:dyDescent="0.25">
      <c r="AG9529">
        <v>9527</v>
      </c>
    </row>
    <row r="9530" spans="33:33" x14ac:dyDescent="0.25">
      <c r="AG9530">
        <v>9528</v>
      </c>
    </row>
    <row r="9531" spans="33:33" x14ac:dyDescent="0.25">
      <c r="AG9531">
        <v>9529</v>
      </c>
    </row>
    <row r="9532" spans="33:33" x14ac:dyDescent="0.25">
      <c r="AG9532">
        <v>9530</v>
      </c>
    </row>
    <row r="9533" spans="33:33" x14ac:dyDescent="0.25">
      <c r="AG9533">
        <v>9531</v>
      </c>
    </row>
    <row r="9534" spans="33:33" x14ac:dyDescent="0.25">
      <c r="AG9534">
        <v>9532</v>
      </c>
    </row>
    <row r="9535" spans="33:33" x14ac:dyDescent="0.25">
      <c r="AG9535">
        <v>9533</v>
      </c>
    </row>
    <row r="9536" spans="33:33" x14ac:dyDescent="0.25">
      <c r="AG9536">
        <v>9534</v>
      </c>
    </row>
    <row r="9537" spans="33:33" x14ac:dyDescent="0.25">
      <c r="AG9537">
        <v>9535</v>
      </c>
    </row>
    <row r="9538" spans="33:33" x14ac:dyDescent="0.25">
      <c r="AG9538">
        <v>9536</v>
      </c>
    </row>
    <row r="9539" spans="33:33" x14ac:dyDescent="0.25">
      <c r="AG9539">
        <v>9537</v>
      </c>
    </row>
    <row r="9540" spans="33:33" x14ac:dyDescent="0.25">
      <c r="AG9540">
        <v>9538</v>
      </c>
    </row>
    <row r="9541" spans="33:33" x14ac:dyDescent="0.25">
      <c r="AG9541">
        <v>9539</v>
      </c>
    </row>
    <row r="9542" spans="33:33" x14ac:dyDescent="0.25">
      <c r="AG9542">
        <v>9540</v>
      </c>
    </row>
    <row r="9543" spans="33:33" x14ac:dyDescent="0.25">
      <c r="AG9543">
        <v>9541</v>
      </c>
    </row>
    <row r="9544" spans="33:33" x14ac:dyDescent="0.25">
      <c r="AG9544">
        <v>9542</v>
      </c>
    </row>
    <row r="9545" spans="33:33" x14ac:dyDescent="0.25">
      <c r="AG9545">
        <v>9543</v>
      </c>
    </row>
    <row r="9546" spans="33:33" x14ac:dyDescent="0.25">
      <c r="AG9546">
        <v>9544</v>
      </c>
    </row>
    <row r="9547" spans="33:33" x14ac:dyDescent="0.25">
      <c r="AG9547">
        <v>9545</v>
      </c>
    </row>
    <row r="9548" spans="33:33" x14ac:dyDescent="0.25">
      <c r="AG9548">
        <v>9546</v>
      </c>
    </row>
    <row r="9549" spans="33:33" x14ac:dyDescent="0.25">
      <c r="AG9549">
        <v>9547</v>
      </c>
    </row>
    <row r="9550" spans="33:33" x14ac:dyDescent="0.25">
      <c r="AG9550">
        <v>9548</v>
      </c>
    </row>
    <row r="9551" spans="33:33" x14ac:dyDescent="0.25">
      <c r="AG9551">
        <v>9549</v>
      </c>
    </row>
    <row r="9552" spans="33:33" x14ac:dyDescent="0.25">
      <c r="AG9552">
        <v>9550</v>
      </c>
    </row>
    <row r="9553" spans="33:33" x14ac:dyDescent="0.25">
      <c r="AG9553">
        <v>9551</v>
      </c>
    </row>
    <row r="9554" spans="33:33" x14ac:dyDescent="0.25">
      <c r="AG9554">
        <v>9552</v>
      </c>
    </row>
    <row r="9555" spans="33:33" x14ac:dyDescent="0.25">
      <c r="AG9555">
        <v>9553</v>
      </c>
    </row>
    <row r="9556" spans="33:33" x14ac:dyDescent="0.25">
      <c r="AG9556">
        <v>9554</v>
      </c>
    </row>
    <row r="9557" spans="33:33" x14ac:dyDescent="0.25">
      <c r="AG9557">
        <v>9555</v>
      </c>
    </row>
    <row r="9558" spans="33:33" x14ac:dyDescent="0.25">
      <c r="AG9558">
        <v>9556</v>
      </c>
    </row>
    <row r="9559" spans="33:33" x14ac:dyDescent="0.25">
      <c r="AG9559">
        <v>9557</v>
      </c>
    </row>
    <row r="9560" spans="33:33" x14ac:dyDescent="0.25">
      <c r="AG9560">
        <v>9558</v>
      </c>
    </row>
    <row r="9561" spans="33:33" x14ac:dyDescent="0.25">
      <c r="AG9561">
        <v>9559</v>
      </c>
    </row>
    <row r="9562" spans="33:33" x14ac:dyDescent="0.25">
      <c r="AG9562">
        <v>9560</v>
      </c>
    </row>
    <row r="9563" spans="33:33" x14ac:dyDescent="0.25">
      <c r="AG9563">
        <v>9561</v>
      </c>
    </row>
    <row r="9564" spans="33:33" x14ac:dyDescent="0.25">
      <c r="AG9564">
        <v>9562</v>
      </c>
    </row>
    <row r="9565" spans="33:33" x14ac:dyDescent="0.25">
      <c r="AG9565">
        <v>9563</v>
      </c>
    </row>
    <row r="9566" spans="33:33" x14ac:dyDescent="0.25">
      <c r="AG9566">
        <v>9564</v>
      </c>
    </row>
    <row r="9567" spans="33:33" x14ac:dyDescent="0.25">
      <c r="AG9567">
        <v>9565</v>
      </c>
    </row>
    <row r="9568" spans="33:33" x14ac:dyDescent="0.25">
      <c r="AG9568">
        <v>9566</v>
      </c>
    </row>
    <row r="9569" spans="33:33" x14ac:dyDescent="0.25">
      <c r="AG9569">
        <v>9567</v>
      </c>
    </row>
    <row r="9570" spans="33:33" x14ac:dyDescent="0.25">
      <c r="AG9570">
        <v>9568</v>
      </c>
    </row>
    <row r="9571" spans="33:33" x14ac:dyDescent="0.25">
      <c r="AG9571">
        <v>9569</v>
      </c>
    </row>
    <row r="9572" spans="33:33" x14ac:dyDescent="0.25">
      <c r="AG9572">
        <v>9570</v>
      </c>
    </row>
    <row r="9573" spans="33:33" x14ac:dyDescent="0.25">
      <c r="AG9573">
        <v>9571</v>
      </c>
    </row>
    <row r="9574" spans="33:33" x14ac:dyDescent="0.25">
      <c r="AG9574">
        <v>9572</v>
      </c>
    </row>
    <row r="9575" spans="33:33" x14ac:dyDescent="0.25">
      <c r="AG9575">
        <v>9573</v>
      </c>
    </row>
    <row r="9576" spans="33:33" x14ac:dyDescent="0.25">
      <c r="AG9576">
        <v>9574</v>
      </c>
    </row>
    <row r="9577" spans="33:33" x14ac:dyDescent="0.25">
      <c r="AG9577">
        <v>9575</v>
      </c>
    </row>
    <row r="9578" spans="33:33" x14ac:dyDescent="0.25">
      <c r="AG9578">
        <v>9576</v>
      </c>
    </row>
    <row r="9579" spans="33:33" x14ac:dyDescent="0.25">
      <c r="AG9579">
        <v>9577</v>
      </c>
    </row>
    <row r="9580" spans="33:33" x14ac:dyDescent="0.25">
      <c r="AG9580">
        <v>9578</v>
      </c>
    </row>
    <row r="9581" spans="33:33" x14ac:dyDescent="0.25">
      <c r="AG9581">
        <v>9579</v>
      </c>
    </row>
    <row r="9582" spans="33:33" x14ac:dyDescent="0.25">
      <c r="AG9582">
        <v>9580</v>
      </c>
    </row>
    <row r="9583" spans="33:33" x14ac:dyDescent="0.25">
      <c r="AG9583">
        <v>9581</v>
      </c>
    </row>
    <row r="9584" spans="33:33" x14ac:dyDescent="0.25">
      <c r="AG9584">
        <v>9582</v>
      </c>
    </row>
    <row r="9585" spans="33:33" x14ac:dyDescent="0.25">
      <c r="AG9585">
        <v>9583</v>
      </c>
    </row>
    <row r="9586" spans="33:33" x14ac:dyDescent="0.25">
      <c r="AG9586">
        <v>9584</v>
      </c>
    </row>
    <row r="9587" spans="33:33" x14ac:dyDescent="0.25">
      <c r="AG9587">
        <v>9585</v>
      </c>
    </row>
    <row r="9588" spans="33:33" x14ac:dyDescent="0.25">
      <c r="AG9588">
        <v>9586</v>
      </c>
    </row>
    <row r="9589" spans="33:33" x14ac:dyDescent="0.25">
      <c r="AG9589">
        <v>9587</v>
      </c>
    </row>
    <row r="9590" spans="33:33" x14ac:dyDescent="0.25">
      <c r="AG9590">
        <v>9588</v>
      </c>
    </row>
    <row r="9591" spans="33:33" x14ac:dyDescent="0.25">
      <c r="AG9591">
        <v>9589</v>
      </c>
    </row>
    <row r="9592" spans="33:33" x14ac:dyDescent="0.25">
      <c r="AG9592">
        <v>9590</v>
      </c>
    </row>
    <row r="9593" spans="33:33" x14ac:dyDescent="0.25">
      <c r="AG9593">
        <v>9591</v>
      </c>
    </row>
    <row r="9594" spans="33:33" x14ac:dyDescent="0.25">
      <c r="AG9594">
        <v>9592</v>
      </c>
    </row>
    <row r="9595" spans="33:33" x14ac:dyDescent="0.25">
      <c r="AG9595">
        <v>9593</v>
      </c>
    </row>
    <row r="9596" spans="33:33" x14ac:dyDescent="0.25">
      <c r="AG9596">
        <v>9594</v>
      </c>
    </row>
    <row r="9597" spans="33:33" x14ac:dyDescent="0.25">
      <c r="AG9597">
        <v>9595</v>
      </c>
    </row>
    <row r="9598" spans="33:33" x14ac:dyDescent="0.25">
      <c r="AG9598">
        <v>9596</v>
      </c>
    </row>
    <row r="9599" spans="33:33" x14ac:dyDescent="0.25">
      <c r="AG9599">
        <v>9597</v>
      </c>
    </row>
    <row r="9600" spans="33:33" x14ac:dyDescent="0.25">
      <c r="AG9600">
        <v>9598</v>
      </c>
    </row>
    <row r="9601" spans="33:33" x14ac:dyDescent="0.25">
      <c r="AG9601">
        <v>9599</v>
      </c>
    </row>
    <row r="9602" spans="33:33" x14ac:dyDescent="0.25">
      <c r="AG9602">
        <v>9600</v>
      </c>
    </row>
    <row r="9603" spans="33:33" x14ac:dyDescent="0.25">
      <c r="AG9603">
        <v>9601</v>
      </c>
    </row>
    <row r="9604" spans="33:33" x14ac:dyDescent="0.25">
      <c r="AG9604">
        <v>9602</v>
      </c>
    </row>
    <row r="9605" spans="33:33" x14ac:dyDescent="0.25">
      <c r="AG9605">
        <v>9603</v>
      </c>
    </row>
    <row r="9606" spans="33:33" x14ac:dyDescent="0.25">
      <c r="AG9606">
        <v>9604</v>
      </c>
    </row>
    <row r="9607" spans="33:33" x14ac:dyDescent="0.25">
      <c r="AG9607">
        <v>9605</v>
      </c>
    </row>
    <row r="9608" spans="33:33" x14ac:dyDescent="0.25">
      <c r="AG9608">
        <v>9606</v>
      </c>
    </row>
    <row r="9609" spans="33:33" x14ac:dyDescent="0.25">
      <c r="AG9609">
        <v>9607</v>
      </c>
    </row>
    <row r="9610" spans="33:33" x14ac:dyDescent="0.25">
      <c r="AG9610">
        <v>9608</v>
      </c>
    </row>
    <row r="9611" spans="33:33" x14ac:dyDescent="0.25">
      <c r="AG9611">
        <v>9609</v>
      </c>
    </row>
    <row r="9612" spans="33:33" x14ac:dyDescent="0.25">
      <c r="AG9612">
        <v>9610</v>
      </c>
    </row>
    <row r="9613" spans="33:33" x14ac:dyDescent="0.25">
      <c r="AG9613">
        <v>9611</v>
      </c>
    </row>
    <row r="9614" spans="33:33" x14ac:dyDescent="0.25">
      <c r="AG9614">
        <v>9612</v>
      </c>
    </row>
    <row r="9615" spans="33:33" x14ac:dyDescent="0.25">
      <c r="AG9615">
        <v>9613</v>
      </c>
    </row>
    <row r="9616" spans="33:33" x14ac:dyDescent="0.25">
      <c r="AG9616">
        <v>9614</v>
      </c>
    </row>
    <row r="9617" spans="33:33" x14ac:dyDescent="0.25">
      <c r="AG9617">
        <v>9615</v>
      </c>
    </row>
    <row r="9618" spans="33:33" x14ac:dyDescent="0.25">
      <c r="AG9618">
        <v>9616</v>
      </c>
    </row>
    <row r="9619" spans="33:33" x14ac:dyDescent="0.25">
      <c r="AG9619">
        <v>9617</v>
      </c>
    </row>
    <row r="9620" spans="33:33" x14ac:dyDescent="0.25">
      <c r="AG9620">
        <v>9618</v>
      </c>
    </row>
    <row r="9621" spans="33:33" x14ac:dyDescent="0.25">
      <c r="AG9621">
        <v>9619</v>
      </c>
    </row>
    <row r="9622" spans="33:33" x14ac:dyDescent="0.25">
      <c r="AG9622">
        <v>9620</v>
      </c>
    </row>
    <row r="9623" spans="33:33" x14ac:dyDescent="0.25">
      <c r="AG9623">
        <v>9621</v>
      </c>
    </row>
    <row r="9624" spans="33:33" x14ac:dyDescent="0.25">
      <c r="AG9624">
        <v>9622</v>
      </c>
    </row>
    <row r="9625" spans="33:33" x14ac:dyDescent="0.25">
      <c r="AG9625">
        <v>9623</v>
      </c>
    </row>
    <row r="9626" spans="33:33" x14ac:dyDescent="0.25">
      <c r="AG9626">
        <v>9624</v>
      </c>
    </row>
    <row r="9627" spans="33:33" x14ac:dyDescent="0.25">
      <c r="AG9627">
        <v>9625</v>
      </c>
    </row>
    <row r="9628" spans="33:33" x14ac:dyDescent="0.25">
      <c r="AG9628">
        <v>9626</v>
      </c>
    </row>
    <row r="9629" spans="33:33" x14ac:dyDescent="0.25">
      <c r="AG9629">
        <v>9627</v>
      </c>
    </row>
    <row r="9630" spans="33:33" x14ac:dyDescent="0.25">
      <c r="AG9630">
        <v>9628</v>
      </c>
    </row>
    <row r="9631" spans="33:33" x14ac:dyDescent="0.25">
      <c r="AG9631">
        <v>9629</v>
      </c>
    </row>
    <row r="9632" spans="33:33" x14ac:dyDescent="0.25">
      <c r="AG9632">
        <v>9630</v>
      </c>
    </row>
    <row r="9633" spans="33:33" x14ac:dyDescent="0.25">
      <c r="AG9633">
        <v>9631</v>
      </c>
    </row>
    <row r="9634" spans="33:33" x14ac:dyDescent="0.25">
      <c r="AG9634">
        <v>9632</v>
      </c>
    </row>
    <row r="9635" spans="33:33" x14ac:dyDescent="0.25">
      <c r="AG9635">
        <v>9633</v>
      </c>
    </row>
    <row r="9636" spans="33:33" x14ac:dyDescent="0.25">
      <c r="AG9636">
        <v>9634</v>
      </c>
    </row>
    <row r="9637" spans="33:33" x14ac:dyDescent="0.25">
      <c r="AG9637">
        <v>9635</v>
      </c>
    </row>
    <row r="9638" spans="33:33" x14ac:dyDescent="0.25">
      <c r="AG9638">
        <v>9636</v>
      </c>
    </row>
    <row r="9639" spans="33:33" x14ac:dyDescent="0.25">
      <c r="AG9639">
        <v>9637</v>
      </c>
    </row>
    <row r="9640" spans="33:33" x14ac:dyDescent="0.25">
      <c r="AG9640">
        <v>9638</v>
      </c>
    </row>
    <row r="9641" spans="33:33" x14ac:dyDescent="0.25">
      <c r="AG9641">
        <v>9639</v>
      </c>
    </row>
    <row r="9642" spans="33:33" x14ac:dyDescent="0.25">
      <c r="AG9642">
        <v>9640</v>
      </c>
    </row>
    <row r="9643" spans="33:33" x14ac:dyDescent="0.25">
      <c r="AG9643">
        <v>9641</v>
      </c>
    </row>
    <row r="9644" spans="33:33" x14ac:dyDescent="0.25">
      <c r="AG9644">
        <v>9642</v>
      </c>
    </row>
    <row r="9645" spans="33:33" x14ac:dyDescent="0.25">
      <c r="AG9645">
        <v>9643</v>
      </c>
    </row>
    <row r="9646" spans="33:33" x14ac:dyDescent="0.25">
      <c r="AG9646">
        <v>9644</v>
      </c>
    </row>
    <row r="9647" spans="33:33" x14ac:dyDescent="0.25">
      <c r="AG9647">
        <v>9645</v>
      </c>
    </row>
    <row r="9648" spans="33:33" x14ac:dyDescent="0.25">
      <c r="AG9648">
        <v>9646</v>
      </c>
    </row>
    <row r="9649" spans="33:33" x14ac:dyDescent="0.25">
      <c r="AG9649">
        <v>9647</v>
      </c>
    </row>
    <row r="9650" spans="33:33" x14ac:dyDescent="0.25">
      <c r="AG9650">
        <v>9648</v>
      </c>
    </row>
    <row r="9651" spans="33:33" x14ac:dyDescent="0.25">
      <c r="AG9651">
        <v>9649</v>
      </c>
    </row>
    <row r="9652" spans="33:33" x14ac:dyDescent="0.25">
      <c r="AG9652">
        <v>9650</v>
      </c>
    </row>
    <row r="9653" spans="33:33" x14ac:dyDescent="0.25">
      <c r="AG9653">
        <v>9651</v>
      </c>
    </row>
    <row r="9654" spans="33:33" x14ac:dyDescent="0.25">
      <c r="AG9654">
        <v>9652</v>
      </c>
    </row>
    <row r="9655" spans="33:33" x14ac:dyDescent="0.25">
      <c r="AG9655">
        <v>9653</v>
      </c>
    </row>
    <row r="9656" spans="33:33" x14ac:dyDescent="0.25">
      <c r="AG9656">
        <v>9654</v>
      </c>
    </row>
    <row r="9657" spans="33:33" x14ac:dyDescent="0.25">
      <c r="AG9657">
        <v>9655</v>
      </c>
    </row>
    <row r="9658" spans="33:33" x14ac:dyDescent="0.25">
      <c r="AG9658">
        <v>9656</v>
      </c>
    </row>
    <row r="9659" spans="33:33" x14ac:dyDescent="0.25">
      <c r="AG9659">
        <v>9657</v>
      </c>
    </row>
    <row r="9660" spans="33:33" x14ac:dyDescent="0.25">
      <c r="AG9660">
        <v>9658</v>
      </c>
    </row>
    <row r="9661" spans="33:33" x14ac:dyDescent="0.25">
      <c r="AG9661">
        <v>9659</v>
      </c>
    </row>
    <row r="9662" spans="33:33" x14ac:dyDescent="0.25">
      <c r="AG9662">
        <v>9660</v>
      </c>
    </row>
    <row r="9663" spans="33:33" x14ac:dyDescent="0.25">
      <c r="AG9663">
        <v>9661</v>
      </c>
    </row>
    <row r="9664" spans="33:33" x14ac:dyDescent="0.25">
      <c r="AG9664">
        <v>9662</v>
      </c>
    </row>
    <row r="9665" spans="33:33" x14ac:dyDescent="0.25">
      <c r="AG9665">
        <v>9663</v>
      </c>
    </row>
    <row r="9666" spans="33:33" x14ac:dyDescent="0.25">
      <c r="AG9666">
        <v>9664</v>
      </c>
    </row>
    <row r="9667" spans="33:33" x14ac:dyDescent="0.25">
      <c r="AG9667">
        <v>9665</v>
      </c>
    </row>
    <row r="9668" spans="33:33" x14ac:dyDescent="0.25">
      <c r="AG9668">
        <v>9666</v>
      </c>
    </row>
    <row r="9669" spans="33:33" x14ac:dyDescent="0.25">
      <c r="AG9669">
        <v>9667</v>
      </c>
    </row>
    <row r="9670" spans="33:33" x14ac:dyDescent="0.25">
      <c r="AG9670">
        <v>9668</v>
      </c>
    </row>
    <row r="9671" spans="33:33" x14ac:dyDescent="0.25">
      <c r="AG9671">
        <v>9669</v>
      </c>
    </row>
    <row r="9672" spans="33:33" x14ac:dyDescent="0.25">
      <c r="AG9672">
        <v>9670</v>
      </c>
    </row>
    <row r="9673" spans="33:33" x14ac:dyDescent="0.25">
      <c r="AG9673">
        <v>9671</v>
      </c>
    </row>
    <row r="9674" spans="33:33" x14ac:dyDescent="0.25">
      <c r="AG9674">
        <v>9672</v>
      </c>
    </row>
    <row r="9675" spans="33:33" x14ac:dyDescent="0.25">
      <c r="AG9675">
        <v>9673</v>
      </c>
    </row>
    <row r="9676" spans="33:33" x14ac:dyDescent="0.25">
      <c r="AG9676">
        <v>9674</v>
      </c>
    </row>
    <row r="9677" spans="33:33" x14ac:dyDescent="0.25">
      <c r="AG9677">
        <v>9675</v>
      </c>
    </row>
    <row r="9678" spans="33:33" x14ac:dyDescent="0.25">
      <c r="AG9678">
        <v>9676</v>
      </c>
    </row>
    <row r="9679" spans="33:33" x14ac:dyDescent="0.25">
      <c r="AG9679">
        <v>9677</v>
      </c>
    </row>
    <row r="9680" spans="33:33" x14ac:dyDescent="0.25">
      <c r="AG9680">
        <v>9678</v>
      </c>
    </row>
    <row r="9681" spans="33:33" x14ac:dyDescent="0.25">
      <c r="AG9681">
        <v>9679</v>
      </c>
    </row>
    <row r="9682" spans="33:33" x14ac:dyDescent="0.25">
      <c r="AG9682">
        <v>9680</v>
      </c>
    </row>
    <row r="9683" spans="33:33" x14ac:dyDescent="0.25">
      <c r="AG9683">
        <v>9681</v>
      </c>
    </row>
    <row r="9684" spans="33:33" x14ac:dyDescent="0.25">
      <c r="AG9684">
        <v>9682</v>
      </c>
    </row>
    <row r="9685" spans="33:33" x14ac:dyDescent="0.25">
      <c r="AG9685">
        <v>9683</v>
      </c>
    </row>
    <row r="9686" spans="33:33" x14ac:dyDescent="0.25">
      <c r="AG9686">
        <v>9684</v>
      </c>
    </row>
    <row r="9687" spans="33:33" x14ac:dyDescent="0.25">
      <c r="AG9687">
        <v>9685</v>
      </c>
    </row>
    <row r="9688" spans="33:33" x14ac:dyDescent="0.25">
      <c r="AG9688">
        <v>9686</v>
      </c>
    </row>
    <row r="9689" spans="33:33" x14ac:dyDescent="0.25">
      <c r="AG9689">
        <v>9687</v>
      </c>
    </row>
    <row r="9690" spans="33:33" x14ac:dyDescent="0.25">
      <c r="AG9690">
        <v>9688</v>
      </c>
    </row>
    <row r="9691" spans="33:33" x14ac:dyDescent="0.25">
      <c r="AG9691">
        <v>9689</v>
      </c>
    </row>
    <row r="9692" spans="33:33" x14ac:dyDescent="0.25">
      <c r="AG9692">
        <v>9690</v>
      </c>
    </row>
    <row r="9693" spans="33:33" x14ac:dyDescent="0.25">
      <c r="AG9693">
        <v>9691</v>
      </c>
    </row>
    <row r="9694" spans="33:33" x14ac:dyDescent="0.25">
      <c r="AG9694">
        <v>9692</v>
      </c>
    </row>
    <row r="9695" spans="33:33" x14ac:dyDescent="0.25">
      <c r="AG9695">
        <v>9693</v>
      </c>
    </row>
    <row r="9696" spans="33:33" x14ac:dyDescent="0.25">
      <c r="AG9696">
        <v>9694</v>
      </c>
    </row>
    <row r="9697" spans="33:33" x14ac:dyDescent="0.25">
      <c r="AG9697">
        <v>9695</v>
      </c>
    </row>
    <row r="9698" spans="33:33" x14ac:dyDescent="0.25">
      <c r="AG9698">
        <v>9696</v>
      </c>
    </row>
    <row r="9699" spans="33:33" x14ac:dyDescent="0.25">
      <c r="AG9699">
        <v>9697</v>
      </c>
    </row>
    <row r="9700" spans="33:33" x14ac:dyDescent="0.25">
      <c r="AG9700">
        <v>9698</v>
      </c>
    </row>
    <row r="9701" spans="33:33" x14ac:dyDescent="0.25">
      <c r="AG9701">
        <v>9699</v>
      </c>
    </row>
    <row r="9702" spans="33:33" x14ac:dyDescent="0.25">
      <c r="AG9702">
        <v>9700</v>
      </c>
    </row>
    <row r="9703" spans="33:33" x14ac:dyDescent="0.25">
      <c r="AG9703">
        <v>9701</v>
      </c>
    </row>
    <row r="9704" spans="33:33" x14ac:dyDescent="0.25">
      <c r="AG9704">
        <v>9702</v>
      </c>
    </row>
    <row r="9705" spans="33:33" x14ac:dyDescent="0.25">
      <c r="AG9705">
        <v>9703</v>
      </c>
    </row>
    <row r="9706" spans="33:33" x14ac:dyDescent="0.25">
      <c r="AG9706">
        <v>9704</v>
      </c>
    </row>
    <row r="9707" spans="33:33" x14ac:dyDescent="0.25">
      <c r="AG9707">
        <v>9705</v>
      </c>
    </row>
    <row r="9708" spans="33:33" x14ac:dyDescent="0.25">
      <c r="AG9708">
        <v>9706</v>
      </c>
    </row>
    <row r="9709" spans="33:33" x14ac:dyDescent="0.25">
      <c r="AG9709">
        <v>9707</v>
      </c>
    </row>
    <row r="9710" spans="33:33" x14ac:dyDescent="0.25">
      <c r="AG9710">
        <v>9708</v>
      </c>
    </row>
    <row r="9711" spans="33:33" x14ac:dyDescent="0.25">
      <c r="AG9711">
        <v>9709</v>
      </c>
    </row>
    <row r="9712" spans="33:33" x14ac:dyDescent="0.25">
      <c r="AG9712">
        <v>9710</v>
      </c>
    </row>
    <row r="9713" spans="33:33" x14ac:dyDescent="0.25">
      <c r="AG9713">
        <v>9711</v>
      </c>
    </row>
    <row r="9714" spans="33:33" x14ac:dyDescent="0.25">
      <c r="AG9714">
        <v>9712</v>
      </c>
    </row>
    <row r="9715" spans="33:33" x14ac:dyDescent="0.25">
      <c r="AG9715">
        <v>9713</v>
      </c>
    </row>
    <row r="9716" spans="33:33" x14ac:dyDescent="0.25">
      <c r="AG9716">
        <v>9714</v>
      </c>
    </row>
    <row r="9717" spans="33:33" x14ac:dyDescent="0.25">
      <c r="AG9717">
        <v>9715</v>
      </c>
    </row>
    <row r="9718" spans="33:33" x14ac:dyDescent="0.25">
      <c r="AG9718">
        <v>9716</v>
      </c>
    </row>
    <row r="9719" spans="33:33" x14ac:dyDescent="0.25">
      <c r="AG9719">
        <v>9717</v>
      </c>
    </row>
    <row r="9720" spans="33:33" x14ac:dyDescent="0.25">
      <c r="AG9720">
        <v>9718</v>
      </c>
    </row>
    <row r="9721" spans="33:33" x14ac:dyDescent="0.25">
      <c r="AG9721">
        <v>9719</v>
      </c>
    </row>
    <row r="9722" spans="33:33" x14ac:dyDescent="0.25">
      <c r="AG9722">
        <v>9720</v>
      </c>
    </row>
    <row r="9723" spans="33:33" x14ac:dyDescent="0.25">
      <c r="AG9723">
        <v>9721</v>
      </c>
    </row>
    <row r="9724" spans="33:33" x14ac:dyDescent="0.25">
      <c r="AG9724">
        <v>9722</v>
      </c>
    </row>
    <row r="9725" spans="33:33" x14ac:dyDescent="0.25">
      <c r="AG9725">
        <v>9723</v>
      </c>
    </row>
    <row r="9726" spans="33:33" x14ac:dyDescent="0.25">
      <c r="AG9726">
        <v>9724</v>
      </c>
    </row>
    <row r="9727" spans="33:33" x14ac:dyDescent="0.25">
      <c r="AG9727">
        <v>9725</v>
      </c>
    </row>
    <row r="9728" spans="33:33" x14ac:dyDescent="0.25">
      <c r="AG9728">
        <v>9726</v>
      </c>
    </row>
    <row r="9729" spans="33:33" x14ac:dyDescent="0.25">
      <c r="AG9729">
        <v>9727</v>
      </c>
    </row>
    <row r="9730" spans="33:33" x14ac:dyDescent="0.25">
      <c r="AG9730">
        <v>9728</v>
      </c>
    </row>
    <row r="9731" spans="33:33" x14ac:dyDescent="0.25">
      <c r="AG9731">
        <v>9729</v>
      </c>
    </row>
    <row r="9732" spans="33:33" x14ac:dyDescent="0.25">
      <c r="AG9732">
        <v>9730</v>
      </c>
    </row>
    <row r="9733" spans="33:33" x14ac:dyDescent="0.25">
      <c r="AG9733">
        <v>9731</v>
      </c>
    </row>
    <row r="9734" spans="33:33" x14ac:dyDescent="0.25">
      <c r="AG9734">
        <v>9732</v>
      </c>
    </row>
    <row r="9735" spans="33:33" x14ac:dyDescent="0.25">
      <c r="AG9735">
        <v>9733</v>
      </c>
    </row>
    <row r="9736" spans="33:33" x14ac:dyDescent="0.25">
      <c r="AG9736">
        <v>9734</v>
      </c>
    </row>
    <row r="9737" spans="33:33" x14ac:dyDescent="0.25">
      <c r="AG9737">
        <v>9735</v>
      </c>
    </row>
    <row r="9738" spans="33:33" x14ac:dyDescent="0.25">
      <c r="AG9738">
        <v>9736</v>
      </c>
    </row>
    <row r="9739" spans="33:33" x14ac:dyDescent="0.25">
      <c r="AG9739">
        <v>9737</v>
      </c>
    </row>
    <row r="9740" spans="33:33" x14ac:dyDescent="0.25">
      <c r="AG9740">
        <v>9738</v>
      </c>
    </row>
    <row r="9741" spans="33:33" x14ac:dyDescent="0.25">
      <c r="AG9741">
        <v>9739</v>
      </c>
    </row>
    <row r="9742" spans="33:33" x14ac:dyDescent="0.25">
      <c r="AG9742">
        <v>9740</v>
      </c>
    </row>
    <row r="9743" spans="33:33" x14ac:dyDescent="0.25">
      <c r="AG9743">
        <v>9741</v>
      </c>
    </row>
    <row r="9744" spans="33:33" x14ac:dyDescent="0.25">
      <c r="AG9744">
        <v>9742</v>
      </c>
    </row>
    <row r="9745" spans="33:33" x14ac:dyDescent="0.25">
      <c r="AG9745">
        <v>9743</v>
      </c>
    </row>
    <row r="9746" spans="33:33" x14ac:dyDescent="0.25">
      <c r="AG9746">
        <v>9744</v>
      </c>
    </row>
    <row r="9747" spans="33:33" x14ac:dyDescent="0.25">
      <c r="AG9747">
        <v>9745</v>
      </c>
    </row>
    <row r="9748" spans="33:33" x14ac:dyDescent="0.25">
      <c r="AG9748">
        <v>9746</v>
      </c>
    </row>
    <row r="9749" spans="33:33" x14ac:dyDescent="0.25">
      <c r="AG9749">
        <v>9747</v>
      </c>
    </row>
    <row r="9750" spans="33:33" x14ac:dyDescent="0.25">
      <c r="AG9750">
        <v>9748</v>
      </c>
    </row>
    <row r="9751" spans="33:33" x14ac:dyDescent="0.25">
      <c r="AG9751">
        <v>9749</v>
      </c>
    </row>
    <row r="9752" spans="33:33" x14ac:dyDescent="0.25">
      <c r="AG9752">
        <v>9750</v>
      </c>
    </row>
    <row r="9753" spans="33:33" x14ac:dyDescent="0.25">
      <c r="AG9753">
        <v>9751</v>
      </c>
    </row>
    <row r="9754" spans="33:33" x14ac:dyDescent="0.25">
      <c r="AG9754">
        <v>9752</v>
      </c>
    </row>
    <row r="9755" spans="33:33" x14ac:dyDescent="0.25">
      <c r="AG9755">
        <v>9753</v>
      </c>
    </row>
    <row r="9756" spans="33:33" x14ac:dyDescent="0.25">
      <c r="AG9756">
        <v>9754</v>
      </c>
    </row>
    <row r="9757" spans="33:33" x14ac:dyDescent="0.25">
      <c r="AG9757">
        <v>9755</v>
      </c>
    </row>
    <row r="9758" spans="33:33" x14ac:dyDescent="0.25">
      <c r="AG9758">
        <v>9756</v>
      </c>
    </row>
    <row r="9759" spans="33:33" x14ac:dyDescent="0.25">
      <c r="AG9759">
        <v>9757</v>
      </c>
    </row>
    <row r="9760" spans="33:33" x14ac:dyDescent="0.25">
      <c r="AG9760">
        <v>9758</v>
      </c>
    </row>
    <row r="9761" spans="33:33" x14ac:dyDescent="0.25">
      <c r="AG9761">
        <v>9759</v>
      </c>
    </row>
    <row r="9762" spans="33:33" x14ac:dyDescent="0.25">
      <c r="AG9762">
        <v>9760</v>
      </c>
    </row>
    <row r="9763" spans="33:33" x14ac:dyDescent="0.25">
      <c r="AG9763">
        <v>9761</v>
      </c>
    </row>
    <row r="9764" spans="33:33" x14ac:dyDescent="0.25">
      <c r="AG9764">
        <v>9762</v>
      </c>
    </row>
    <row r="9765" spans="33:33" x14ac:dyDescent="0.25">
      <c r="AG9765">
        <v>9763</v>
      </c>
    </row>
    <row r="9766" spans="33:33" x14ac:dyDescent="0.25">
      <c r="AG9766">
        <v>9764</v>
      </c>
    </row>
    <row r="9767" spans="33:33" x14ac:dyDescent="0.25">
      <c r="AG9767">
        <v>9765</v>
      </c>
    </row>
    <row r="9768" spans="33:33" x14ac:dyDescent="0.25">
      <c r="AG9768">
        <v>9766</v>
      </c>
    </row>
    <row r="9769" spans="33:33" x14ac:dyDescent="0.25">
      <c r="AG9769">
        <v>9767</v>
      </c>
    </row>
    <row r="9770" spans="33:33" x14ac:dyDescent="0.25">
      <c r="AG9770">
        <v>9768</v>
      </c>
    </row>
    <row r="9771" spans="33:33" x14ac:dyDescent="0.25">
      <c r="AG9771">
        <v>9769</v>
      </c>
    </row>
    <row r="9772" spans="33:33" x14ac:dyDescent="0.25">
      <c r="AG9772">
        <v>9770</v>
      </c>
    </row>
    <row r="9773" spans="33:33" x14ac:dyDescent="0.25">
      <c r="AG9773">
        <v>9771</v>
      </c>
    </row>
    <row r="9774" spans="33:33" x14ac:dyDescent="0.25">
      <c r="AG9774">
        <v>9772</v>
      </c>
    </row>
    <row r="9775" spans="33:33" x14ac:dyDescent="0.25">
      <c r="AG9775">
        <v>9773</v>
      </c>
    </row>
    <row r="9776" spans="33:33" x14ac:dyDescent="0.25">
      <c r="AG9776">
        <v>9774</v>
      </c>
    </row>
    <row r="9777" spans="33:33" x14ac:dyDescent="0.25">
      <c r="AG9777">
        <v>9775</v>
      </c>
    </row>
    <row r="9778" spans="33:33" x14ac:dyDescent="0.25">
      <c r="AG9778">
        <v>9776</v>
      </c>
    </row>
    <row r="9779" spans="33:33" x14ac:dyDescent="0.25">
      <c r="AG9779">
        <v>9777</v>
      </c>
    </row>
    <row r="9780" spans="33:33" x14ac:dyDescent="0.25">
      <c r="AG9780">
        <v>9778</v>
      </c>
    </row>
    <row r="9781" spans="33:33" x14ac:dyDescent="0.25">
      <c r="AG9781">
        <v>9779</v>
      </c>
    </row>
    <row r="9782" spans="33:33" x14ac:dyDescent="0.25">
      <c r="AG9782">
        <v>9780</v>
      </c>
    </row>
    <row r="9783" spans="33:33" x14ac:dyDescent="0.25">
      <c r="AG9783">
        <v>9781</v>
      </c>
    </row>
    <row r="9784" spans="33:33" x14ac:dyDescent="0.25">
      <c r="AG9784">
        <v>9782</v>
      </c>
    </row>
    <row r="9785" spans="33:33" x14ac:dyDescent="0.25">
      <c r="AG9785">
        <v>9783</v>
      </c>
    </row>
    <row r="9786" spans="33:33" x14ac:dyDescent="0.25">
      <c r="AG9786">
        <v>9784</v>
      </c>
    </row>
    <row r="9787" spans="33:33" x14ac:dyDescent="0.25">
      <c r="AG9787">
        <v>9785</v>
      </c>
    </row>
    <row r="9788" spans="33:33" x14ac:dyDescent="0.25">
      <c r="AG9788">
        <v>9786</v>
      </c>
    </row>
    <row r="9789" spans="33:33" x14ac:dyDescent="0.25">
      <c r="AG9789">
        <v>9787</v>
      </c>
    </row>
    <row r="9790" spans="33:33" x14ac:dyDescent="0.25">
      <c r="AG9790">
        <v>9788</v>
      </c>
    </row>
    <row r="9791" spans="33:33" x14ac:dyDescent="0.25">
      <c r="AG9791">
        <v>9789</v>
      </c>
    </row>
    <row r="9792" spans="33:33" x14ac:dyDescent="0.25">
      <c r="AG9792">
        <v>9790</v>
      </c>
    </row>
    <row r="9793" spans="33:33" x14ac:dyDescent="0.25">
      <c r="AG9793">
        <v>9791</v>
      </c>
    </row>
    <row r="9794" spans="33:33" x14ac:dyDescent="0.25">
      <c r="AG9794">
        <v>9792</v>
      </c>
    </row>
    <row r="9795" spans="33:33" x14ac:dyDescent="0.25">
      <c r="AG9795">
        <v>9793</v>
      </c>
    </row>
    <row r="9796" spans="33:33" x14ac:dyDescent="0.25">
      <c r="AG9796">
        <v>9794</v>
      </c>
    </row>
    <row r="9797" spans="33:33" x14ac:dyDescent="0.25">
      <c r="AG9797">
        <v>9795</v>
      </c>
    </row>
    <row r="9798" spans="33:33" x14ac:dyDescent="0.25">
      <c r="AG9798">
        <v>9796</v>
      </c>
    </row>
    <row r="9799" spans="33:33" x14ac:dyDescent="0.25">
      <c r="AG9799">
        <v>9797</v>
      </c>
    </row>
    <row r="9800" spans="33:33" x14ac:dyDescent="0.25">
      <c r="AG9800">
        <v>9798</v>
      </c>
    </row>
    <row r="9801" spans="33:33" x14ac:dyDescent="0.25">
      <c r="AG9801">
        <v>9799</v>
      </c>
    </row>
    <row r="9802" spans="33:33" x14ac:dyDescent="0.25">
      <c r="AG9802">
        <v>9800</v>
      </c>
    </row>
    <row r="9803" spans="33:33" x14ac:dyDescent="0.25">
      <c r="AG9803">
        <v>9801</v>
      </c>
    </row>
    <row r="9804" spans="33:33" x14ac:dyDescent="0.25">
      <c r="AG9804">
        <v>9802</v>
      </c>
    </row>
    <row r="9805" spans="33:33" x14ac:dyDescent="0.25">
      <c r="AG9805">
        <v>9803</v>
      </c>
    </row>
    <row r="9806" spans="33:33" x14ac:dyDescent="0.25">
      <c r="AG9806">
        <v>9804</v>
      </c>
    </row>
    <row r="9807" spans="33:33" x14ac:dyDescent="0.25">
      <c r="AG9807">
        <v>9805</v>
      </c>
    </row>
    <row r="9808" spans="33:33" x14ac:dyDescent="0.25">
      <c r="AG9808">
        <v>9806</v>
      </c>
    </row>
    <row r="9809" spans="33:33" x14ac:dyDescent="0.25">
      <c r="AG9809">
        <v>9807</v>
      </c>
    </row>
    <row r="9810" spans="33:33" x14ac:dyDescent="0.25">
      <c r="AG9810">
        <v>9808</v>
      </c>
    </row>
    <row r="9811" spans="33:33" x14ac:dyDescent="0.25">
      <c r="AG9811">
        <v>9809</v>
      </c>
    </row>
    <row r="9812" spans="33:33" x14ac:dyDescent="0.25">
      <c r="AG9812">
        <v>9810</v>
      </c>
    </row>
    <row r="9813" spans="33:33" x14ac:dyDescent="0.25">
      <c r="AG9813">
        <v>9811</v>
      </c>
    </row>
    <row r="9814" spans="33:33" x14ac:dyDescent="0.25">
      <c r="AG9814">
        <v>9812</v>
      </c>
    </row>
    <row r="9815" spans="33:33" x14ac:dyDescent="0.25">
      <c r="AG9815">
        <v>9813</v>
      </c>
    </row>
    <row r="9816" spans="33:33" x14ac:dyDescent="0.25">
      <c r="AG9816">
        <v>9814</v>
      </c>
    </row>
    <row r="9817" spans="33:33" x14ac:dyDescent="0.25">
      <c r="AG9817">
        <v>9815</v>
      </c>
    </row>
    <row r="9818" spans="33:33" x14ac:dyDescent="0.25">
      <c r="AG9818">
        <v>9816</v>
      </c>
    </row>
    <row r="9819" spans="33:33" x14ac:dyDescent="0.25">
      <c r="AG9819">
        <v>9817</v>
      </c>
    </row>
    <row r="9820" spans="33:33" x14ac:dyDescent="0.25">
      <c r="AG9820">
        <v>9818</v>
      </c>
    </row>
    <row r="9821" spans="33:33" x14ac:dyDescent="0.25">
      <c r="AG9821">
        <v>9819</v>
      </c>
    </row>
    <row r="9822" spans="33:33" x14ac:dyDescent="0.25">
      <c r="AG9822">
        <v>9820</v>
      </c>
    </row>
    <row r="9823" spans="33:33" x14ac:dyDescent="0.25">
      <c r="AG9823">
        <v>9821</v>
      </c>
    </row>
    <row r="9824" spans="33:33" x14ac:dyDescent="0.25">
      <c r="AG9824">
        <v>9822</v>
      </c>
    </row>
    <row r="9825" spans="33:33" x14ac:dyDescent="0.25">
      <c r="AG9825">
        <v>9823</v>
      </c>
    </row>
    <row r="9826" spans="33:33" x14ac:dyDescent="0.25">
      <c r="AG9826">
        <v>9824</v>
      </c>
    </row>
    <row r="9827" spans="33:33" x14ac:dyDescent="0.25">
      <c r="AG9827">
        <v>9825</v>
      </c>
    </row>
    <row r="9828" spans="33:33" x14ac:dyDescent="0.25">
      <c r="AG9828">
        <v>9826</v>
      </c>
    </row>
    <row r="9829" spans="33:33" x14ac:dyDescent="0.25">
      <c r="AG9829">
        <v>9827</v>
      </c>
    </row>
    <row r="9830" spans="33:33" x14ac:dyDescent="0.25">
      <c r="AG9830">
        <v>9828</v>
      </c>
    </row>
    <row r="9831" spans="33:33" x14ac:dyDescent="0.25">
      <c r="AG9831">
        <v>9829</v>
      </c>
    </row>
    <row r="9832" spans="33:33" x14ac:dyDescent="0.25">
      <c r="AG9832">
        <v>9830</v>
      </c>
    </row>
    <row r="9833" spans="33:33" x14ac:dyDescent="0.25">
      <c r="AG9833">
        <v>9831</v>
      </c>
    </row>
    <row r="9834" spans="33:33" x14ac:dyDescent="0.25">
      <c r="AG9834">
        <v>9832</v>
      </c>
    </row>
    <row r="9835" spans="33:33" x14ac:dyDescent="0.25">
      <c r="AG9835">
        <v>9833</v>
      </c>
    </row>
    <row r="9836" spans="33:33" x14ac:dyDescent="0.25">
      <c r="AG9836">
        <v>9834</v>
      </c>
    </row>
    <row r="9837" spans="33:33" x14ac:dyDescent="0.25">
      <c r="AG9837">
        <v>9835</v>
      </c>
    </row>
    <row r="9838" spans="33:33" x14ac:dyDescent="0.25">
      <c r="AG9838">
        <v>9836</v>
      </c>
    </row>
    <row r="9839" spans="33:33" x14ac:dyDescent="0.25">
      <c r="AG9839">
        <v>9837</v>
      </c>
    </row>
    <row r="9840" spans="33:33" x14ac:dyDescent="0.25">
      <c r="AG9840">
        <v>9838</v>
      </c>
    </row>
    <row r="9841" spans="33:33" x14ac:dyDescent="0.25">
      <c r="AG9841">
        <v>9839</v>
      </c>
    </row>
    <row r="9842" spans="33:33" x14ac:dyDescent="0.25">
      <c r="AG9842">
        <v>9840</v>
      </c>
    </row>
    <row r="9843" spans="33:33" x14ac:dyDescent="0.25">
      <c r="AG9843">
        <v>9841</v>
      </c>
    </row>
    <row r="9844" spans="33:33" x14ac:dyDescent="0.25">
      <c r="AG9844">
        <v>9842</v>
      </c>
    </row>
    <row r="9845" spans="33:33" x14ac:dyDescent="0.25">
      <c r="AG9845">
        <v>9843</v>
      </c>
    </row>
    <row r="9846" spans="33:33" x14ac:dyDescent="0.25">
      <c r="AG9846">
        <v>9844</v>
      </c>
    </row>
    <row r="9847" spans="33:33" x14ac:dyDescent="0.25">
      <c r="AG9847">
        <v>9845</v>
      </c>
    </row>
    <row r="9848" spans="33:33" x14ac:dyDescent="0.25">
      <c r="AG9848">
        <v>9846</v>
      </c>
    </row>
    <row r="9849" spans="33:33" x14ac:dyDescent="0.25">
      <c r="AG9849">
        <v>9847</v>
      </c>
    </row>
    <row r="9850" spans="33:33" x14ac:dyDescent="0.25">
      <c r="AG9850">
        <v>9848</v>
      </c>
    </row>
    <row r="9851" spans="33:33" x14ac:dyDescent="0.25">
      <c r="AG9851">
        <v>9849</v>
      </c>
    </row>
    <row r="9852" spans="33:33" x14ac:dyDescent="0.25">
      <c r="AG9852">
        <v>9850</v>
      </c>
    </row>
    <row r="9853" spans="33:33" x14ac:dyDescent="0.25">
      <c r="AG9853">
        <v>9851</v>
      </c>
    </row>
    <row r="9854" spans="33:33" x14ac:dyDescent="0.25">
      <c r="AG9854">
        <v>9852</v>
      </c>
    </row>
    <row r="9855" spans="33:33" x14ac:dyDescent="0.25">
      <c r="AG9855">
        <v>9853</v>
      </c>
    </row>
    <row r="9856" spans="33:33" x14ac:dyDescent="0.25">
      <c r="AG9856">
        <v>9854</v>
      </c>
    </row>
    <row r="9857" spans="33:33" x14ac:dyDescent="0.25">
      <c r="AG9857">
        <v>9855</v>
      </c>
    </row>
    <row r="9858" spans="33:33" x14ac:dyDescent="0.25">
      <c r="AG9858">
        <v>9856</v>
      </c>
    </row>
    <row r="9859" spans="33:33" x14ac:dyDescent="0.25">
      <c r="AG9859">
        <v>9857</v>
      </c>
    </row>
    <row r="9860" spans="33:33" x14ac:dyDescent="0.25">
      <c r="AG9860">
        <v>9858</v>
      </c>
    </row>
    <row r="9861" spans="33:33" x14ac:dyDescent="0.25">
      <c r="AG9861">
        <v>9859</v>
      </c>
    </row>
    <row r="9862" spans="33:33" x14ac:dyDescent="0.25">
      <c r="AG9862">
        <v>9860</v>
      </c>
    </row>
    <row r="9863" spans="33:33" x14ac:dyDescent="0.25">
      <c r="AG9863">
        <v>9861</v>
      </c>
    </row>
    <row r="9864" spans="33:33" x14ac:dyDescent="0.25">
      <c r="AG9864">
        <v>9862</v>
      </c>
    </row>
    <row r="9865" spans="33:33" x14ac:dyDescent="0.25">
      <c r="AG9865">
        <v>9863</v>
      </c>
    </row>
    <row r="9866" spans="33:33" x14ac:dyDescent="0.25">
      <c r="AG9866">
        <v>9864</v>
      </c>
    </row>
    <row r="9867" spans="33:33" x14ac:dyDescent="0.25">
      <c r="AG9867">
        <v>9865</v>
      </c>
    </row>
    <row r="9868" spans="33:33" x14ac:dyDescent="0.25">
      <c r="AG9868">
        <v>9866</v>
      </c>
    </row>
    <row r="9869" spans="33:33" x14ac:dyDescent="0.25">
      <c r="AG9869">
        <v>9867</v>
      </c>
    </row>
    <row r="9870" spans="33:33" x14ac:dyDescent="0.25">
      <c r="AG9870">
        <v>9868</v>
      </c>
    </row>
    <row r="9871" spans="33:33" x14ac:dyDescent="0.25">
      <c r="AG9871">
        <v>9869</v>
      </c>
    </row>
    <row r="9872" spans="33:33" x14ac:dyDescent="0.25">
      <c r="AG9872">
        <v>9870</v>
      </c>
    </row>
    <row r="9873" spans="33:33" x14ac:dyDescent="0.25">
      <c r="AG9873">
        <v>9871</v>
      </c>
    </row>
    <row r="9874" spans="33:33" x14ac:dyDescent="0.25">
      <c r="AG9874">
        <v>9872</v>
      </c>
    </row>
    <row r="9875" spans="33:33" x14ac:dyDescent="0.25">
      <c r="AG9875">
        <v>9873</v>
      </c>
    </row>
    <row r="9876" spans="33:33" x14ac:dyDescent="0.25">
      <c r="AG9876">
        <v>9874</v>
      </c>
    </row>
    <row r="9877" spans="33:33" x14ac:dyDescent="0.25">
      <c r="AG9877">
        <v>9875</v>
      </c>
    </row>
    <row r="9878" spans="33:33" x14ac:dyDescent="0.25">
      <c r="AG9878">
        <v>9876</v>
      </c>
    </row>
    <row r="9879" spans="33:33" x14ac:dyDescent="0.25">
      <c r="AG9879">
        <v>9877</v>
      </c>
    </row>
    <row r="9880" spans="33:33" x14ac:dyDescent="0.25">
      <c r="AG9880">
        <v>9878</v>
      </c>
    </row>
    <row r="9881" spans="33:33" x14ac:dyDescent="0.25">
      <c r="AG9881">
        <v>9879</v>
      </c>
    </row>
    <row r="9882" spans="33:33" x14ac:dyDescent="0.25">
      <c r="AG9882">
        <v>9880</v>
      </c>
    </row>
    <row r="9883" spans="33:33" x14ac:dyDescent="0.25">
      <c r="AG9883">
        <v>9881</v>
      </c>
    </row>
    <row r="9884" spans="33:33" x14ac:dyDescent="0.25">
      <c r="AG9884">
        <v>9882</v>
      </c>
    </row>
    <row r="9885" spans="33:33" x14ac:dyDescent="0.25">
      <c r="AG9885">
        <v>9883</v>
      </c>
    </row>
    <row r="9886" spans="33:33" x14ac:dyDescent="0.25">
      <c r="AG9886">
        <v>9884</v>
      </c>
    </row>
    <row r="9887" spans="33:33" x14ac:dyDescent="0.25">
      <c r="AG9887">
        <v>9885</v>
      </c>
    </row>
    <row r="9888" spans="33:33" x14ac:dyDescent="0.25">
      <c r="AG9888">
        <v>9886</v>
      </c>
    </row>
    <row r="9889" spans="33:33" x14ac:dyDescent="0.25">
      <c r="AG9889">
        <v>9887</v>
      </c>
    </row>
    <row r="9890" spans="33:33" x14ac:dyDescent="0.25">
      <c r="AG9890">
        <v>9888</v>
      </c>
    </row>
    <row r="9891" spans="33:33" x14ac:dyDescent="0.25">
      <c r="AG9891">
        <v>9889</v>
      </c>
    </row>
    <row r="9892" spans="33:33" x14ac:dyDescent="0.25">
      <c r="AG9892">
        <v>9890</v>
      </c>
    </row>
    <row r="9893" spans="33:33" x14ac:dyDescent="0.25">
      <c r="AG9893">
        <v>9891</v>
      </c>
    </row>
    <row r="9894" spans="33:33" x14ac:dyDescent="0.25">
      <c r="AG9894">
        <v>9892</v>
      </c>
    </row>
    <row r="9895" spans="33:33" x14ac:dyDescent="0.25">
      <c r="AG9895">
        <v>9893</v>
      </c>
    </row>
    <row r="9896" spans="33:33" x14ac:dyDescent="0.25">
      <c r="AG9896">
        <v>9894</v>
      </c>
    </row>
    <row r="9897" spans="33:33" x14ac:dyDescent="0.25">
      <c r="AG9897">
        <v>9895</v>
      </c>
    </row>
    <row r="9898" spans="33:33" x14ac:dyDescent="0.25">
      <c r="AG9898">
        <v>9896</v>
      </c>
    </row>
    <row r="9899" spans="33:33" x14ac:dyDescent="0.25">
      <c r="AG9899">
        <v>9897</v>
      </c>
    </row>
    <row r="9900" spans="33:33" x14ac:dyDescent="0.25">
      <c r="AG9900">
        <v>9898</v>
      </c>
    </row>
    <row r="9901" spans="33:33" x14ac:dyDescent="0.25">
      <c r="AG9901">
        <v>9899</v>
      </c>
    </row>
    <row r="9902" spans="33:33" x14ac:dyDescent="0.25">
      <c r="AG9902">
        <v>9900</v>
      </c>
    </row>
    <row r="9903" spans="33:33" x14ac:dyDescent="0.25">
      <c r="AG9903">
        <v>9901</v>
      </c>
    </row>
    <row r="9904" spans="33:33" x14ac:dyDescent="0.25">
      <c r="AG9904">
        <v>9902</v>
      </c>
    </row>
    <row r="9905" spans="33:33" x14ac:dyDescent="0.25">
      <c r="AG9905">
        <v>9903</v>
      </c>
    </row>
    <row r="9906" spans="33:33" x14ac:dyDescent="0.25">
      <c r="AG9906">
        <v>9904</v>
      </c>
    </row>
    <row r="9907" spans="33:33" x14ac:dyDescent="0.25">
      <c r="AG9907">
        <v>9905</v>
      </c>
    </row>
    <row r="9908" spans="33:33" x14ac:dyDescent="0.25">
      <c r="AG9908">
        <v>9906</v>
      </c>
    </row>
    <row r="9909" spans="33:33" x14ac:dyDescent="0.25">
      <c r="AG9909">
        <v>9907</v>
      </c>
    </row>
    <row r="9910" spans="33:33" x14ac:dyDescent="0.25">
      <c r="AG9910">
        <v>9908</v>
      </c>
    </row>
    <row r="9911" spans="33:33" x14ac:dyDescent="0.25">
      <c r="AG9911">
        <v>9909</v>
      </c>
    </row>
    <row r="9912" spans="33:33" x14ac:dyDescent="0.25">
      <c r="AG9912">
        <v>9910</v>
      </c>
    </row>
    <row r="9913" spans="33:33" x14ac:dyDescent="0.25">
      <c r="AG9913">
        <v>9911</v>
      </c>
    </row>
    <row r="9914" spans="33:33" x14ac:dyDescent="0.25">
      <c r="AG9914">
        <v>9912</v>
      </c>
    </row>
    <row r="9915" spans="33:33" x14ac:dyDescent="0.25">
      <c r="AG9915">
        <v>9913</v>
      </c>
    </row>
    <row r="9916" spans="33:33" x14ac:dyDescent="0.25">
      <c r="AG9916">
        <v>9914</v>
      </c>
    </row>
    <row r="9917" spans="33:33" x14ac:dyDescent="0.25">
      <c r="AG9917">
        <v>9915</v>
      </c>
    </row>
    <row r="9918" spans="33:33" x14ac:dyDescent="0.25">
      <c r="AG9918">
        <v>9916</v>
      </c>
    </row>
    <row r="9919" spans="33:33" x14ac:dyDescent="0.25">
      <c r="AG9919">
        <v>9917</v>
      </c>
    </row>
    <row r="9920" spans="33:33" x14ac:dyDescent="0.25">
      <c r="AG9920">
        <v>9918</v>
      </c>
    </row>
    <row r="9921" spans="33:33" x14ac:dyDescent="0.25">
      <c r="AG9921">
        <v>9919</v>
      </c>
    </row>
    <row r="9922" spans="33:33" x14ac:dyDescent="0.25">
      <c r="AG9922">
        <v>9920</v>
      </c>
    </row>
    <row r="9923" spans="33:33" x14ac:dyDescent="0.25">
      <c r="AG9923">
        <v>9921</v>
      </c>
    </row>
    <row r="9924" spans="33:33" x14ac:dyDescent="0.25">
      <c r="AG9924">
        <v>9922</v>
      </c>
    </row>
    <row r="9925" spans="33:33" x14ac:dyDescent="0.25">
      <c r="AG9925">
        <v>9923</v>
      </c>
    </row>
    <row r="9926" spans="33:33" x14ac:dyDescent="0.25">
      <c r="AG9926">
        <v>9924</v>
      </c>
    </row>
    <row r="9927" spans="33:33" x14ac:dyDescent="0.25">
      <c r="AG9927">
        <v>9925</v>
      </c>
    </row>
    <row r="9928" spans="33:33" x14ac:dyDescent="0.25">
      <c r="AG9928">
        <v>9926</v>
      </c>
    </row>
    <row r="9929" spans="33:33" x14ac:dyDescent="0.25">
      <c r="AG9929">
        <v>9927</v>
      </c>
    </row>
    <row r="9930" spans="33:33" x14ac:dyDescent="0.25">
      <c r="AG9930">
        <v>9928</v>
      </c>
    </row>
    <row r="9931" spans="33:33" x14ac:dyDescent="0.25">
      <c r="AG9931">
        <v>9929</v>
      </c>
    </row>
    <row r="9932" spans="33:33" x14ac:dyDescent="0.25">
      <c r="AG9932">
        <v>9930</v>
      </c>
    </row>
    <row r="9933" spans="33:33" x14ac:dyDescent="0.25">
      <c r="AG9933">
        <v>9931</v>
      </c>
    </row>
    <row r="9934" spans="33:33" x14ac:dyDescent="0.25">
      <c r="AG9934">
        <v>9932</v>
      </c>
    </row>
    <row r="9935" spans="33:33" x14ac:dyDescent="0.25">
      <c r="AG9935">
        <v>9933</v>
      </c>
    </row>
    <row r="9936" spans="33:33" x14ac:dyDescent="0.25">
      <c r="AG9936">
        <v>9934</v>
      </c>
    </row>
    <row r="9937" spans="33:33" x14ac:dyDescent="0.25">
      <c r="AG9937">
        <v>9935</v>
      </c>
    </row>
    <row r="9938" spans="33:33" x14ac:dyDescent="0.25">
      <c r="AG9938">
        <v>9936</v>
      </c>
    </row>
    <row r="9939" spans="33:33" x14ac:dyDescent="0.25">
      <c r="AG9939">
        <v>9937</v>
      </c>
    </row>
    <row r="9940" spans="33:33" x14ac:dyDescent="0.25">
      <c r="AG9940">
        <v>9938</v>
      </c>
    </row>
    <row r="9941" spans="33:33" x14ac:dyDescent="0.25">
      <c r="AG9941">
        <v>9939</v>
      </c>
    </row>
    <row r="9942" spans="33:33" x14ac:dyDescent="0.25">
      <c r="AG9942">
        <v>9940</v>
      </c>
    </row>
    <row r="9943" spans="33:33" x14ac:dyDescent="0.25">
      <c r="AG9943">
        <v>9941</v>
      </c>
    </row>
    <row r="9944" spans="33:33" x14ac:dyDescent="0.25">
      <c r="AG9944">
        <v>9942</v>
      </c>
    </row>
    <row r="9945" spans="33:33" x14ac:dyDescent="0.25">
      <c r="AG9945">
        <v>9943</v>
      </c>
    </row>
    <row r="9946" spans="33:33" x14ac:dyDescent="0.25">
      <c r="AG9946">
        <v>9944</v>
      </c>
    </row>
    <row r="9947" spans="33:33" x14ac:dyDescent="0.25">
      <c r="AG9947">
        <v>9945</v>
      </c>
    </row>
    <row r="9948" spans="33:33" x14ac:dyDescent="0.25">
      <c r="AG9948">
        <v>9946</v>
      </c>
    </row>
    <row r="9949" spans="33:33" x14ac:dyDescent="0.25">
      <c r="AG9949">
        <v>9947</v>
      </c>
    </row>
    <row r="9950" spans="33:33" x14ac:dyDescent="0.25">
      <c r="AG9950">
        <v>9948</v>
      </c>
    </row>
    <row r="9951" spans="33:33" x14ac:dyDescent="0.25">
      <c r="AG9951">
        <v>9949</v>
      </c>
    </row>
    <row r="9952" spans="33:33" x14ac:dyDescent="0.25">
      <c r="AG9952">
        <v>9950</v>
      </c>
    </row>
    <row r="9953" spans="33:33" x14ac:dyDescent="0.25">
      <c r="AG9953">
        <v>9951</v>
      </c>
    </row>
    <row r="9954" spans="33:33" x14ac:dyDescent="0.25">
      <c r="AG9954">
        <v>9952</v>
      </c>
    </row>
    <row r="9955" spans="33:33" x14ac:dyDescent="0.25">
      <c r="AG9955">
        <v>9953</v>
      </c>
    </row>
    <row r="9956" spans="33:33" x14ac:dyDescent="0.25">
      <c r="AG9956">
        <v>9954</v>
      </c>
    </row>
    <row r="9957" spans="33:33" x14ac:dyDescent="0.25">
      <c r="AG9957">
        <v>9955</v>
      </c>
    </row>
    <row r="9958" spans="33:33" x14ac:dyDescent="0.25">
      <c r="AG9958">
        <v>9956</v>
      </c>
    </row>
    <row r="9959" spans="33:33" x14ac:dyDescent="0.25">
      <c r="AG9959">
        <v>9957</v>
      </c>
    </row>
    <row r="9960" spans="33:33" x14ac:dyDescent="0.25">
      <c r="AG9960">
        <v>9958</v>
      </c>
    </row>
    <row r="9961" spans="33:33" x14ac:dyDescent="0.25">
      <c r="AG9961">
        <v>9959</v>
      </c>
    </row>
    <row r="9962" spans="33:33" x14ac:dyDescent="0.25">
      <c r="AG9962">
        <v>9960</v>
      </c>
    </row>
    <row r="9963" spans="33:33" x14ac:dyDescent="0.25">
      <c r="AG9963">
        <v>9961</v>
      </c>
    </row>
    <row r="9964" spans="33:33" x14ac:dyDescent="0.25">
      <c r="AG9964">
        <v>9962</v>
      </c>
    </row>
    <row r="9965" spans="33:33" x14ac:dyDescent="0.25">
      <c r="AG9965">
        <v>9963</v>
      </c>
    </row>
    <row r="9966" spans="33:33" x14ac:dyDescent="0.25">
      <c r="AG9966">
        <v>9964</v>
      </c>
    </row>
    <row r="9967" spans="33:33" x14ac:dyDescent="0.25">
      <c r="AG9967">
        <v>9965</v>
      </c>
    </row>
    <row r="9968" spans="33:33" x14ac:dyDescent="0.25">
      <c r="AG9968">
        <v>9966</v>
      </c>
    </row>
    <row r="9969" spans="33:33" x14ac:dyDescent="0.25">
      <c r="AG9969">
        <v>9967</v>
      </c>
    </row>
    <row r="9970" spans="33:33" x14ac:dyDescent="0.25">
      <c r="AG9970">
        <v>9968</v>
      </c>
    </row>
    <row r="9971" spans="33:33" x14ac:dyDescent="0.25">
      <c r="AG9971">
        <v>9969</v>
      </c>
    </row>
    <row r="9972" spans="33:33" x14ac:dyDescent="0.25">
      <c r="AG9972">
        <v>9970</v>
      </c>
    </row>
    <row r="9973" spans="33:33" x14ac:dyDescent="0.25">
      <c r="AG9973">
        <v>9971</v>
      </c>
    </row>
    <row r="9974" spans="33:33" x14ac:dyDescent="0.25">
      <c r="AG9974">
        <v>9972</v>
      </c>
    </row>
    <row r="9975" spans="33:33" x14ac:dyDescent="0.25">
      <c r="AG9975">
        <v>9973</v>
      </c>
    </row>
    <row r="9976" spans="33:33" x14ac:dyDescent="0.25">
      <c r="AG9976">
        <v>9974</v>
      </c>
    </row>
    <row r="9977" spans="33:33" x14ac:dyDescent="0.25">
      <c r="AG9977">
        <v>9975</v>
      </c>
    </row>
    <row r="9978" spans="33:33" x14ac:dyDescent="0.25">
      <c r="AG9978">
        <v>9976</v>
      </c>
    </row>
    <row r="9979" spans="33:33" x14ac:dyDescent="0.25">
      <c r="AG9979">
        <v>9977</v>
      </c>
    </row>
    <row r="9980" spans="33:33" x14ac:dyDescent="0.25">
      <c r="AG9980">
        <v>9978</v>
      </c>
    </row>
    <row r="9981" spans="33:33" x14ac:dyDescent="0.25">
      <c r="AG9981">
        <v>9979</v>
      </c>
    </row>
    <row r="9982" spans="33:33" x14ac:dyDescent="0.25">
      <c r="AG9982">
        <v>9980</v>
      </c>
    </row>
    <row r="9983" spans="33:33" x14ac:dyDescent="0.25">
      <c r="AG9983">
        <v>9981</v>
      </c>
    </row>
    <row r="9984" spans="33:33" x14ac:dyDescent="0.25">
      <c r="AG9984">
        <v>9982</v>
      </c>
    </row>
    <row r="9985" spans="33:33" x14ac:dyDescent="0.25">
      <c r="AG9985">
        <v>9983</v>
      </c>
    </row>
    <row r="9986" spans="33:33" x14ac:dyDescent="0.25">
      <c r="AG9986">
        <v>9984</v>
      </c>
    </row>
    <row r="9987" spans="33:33" x14ac:dyDescent="0.25">
      <c r="AG9987">
        <v>9985</v>
      </c>
    </row>
    <row r="9988" spans="33:33" x14ac:dyDescent="0.25">
      <c r="AG9988">
        <v>9986</v>
      </c>
    </row>
    <row r="9989" spans="33:33" x14ac:dyDescent="0.25">
      <c r="AG9989">
        <v>9987</v>
      </c>
    </row>
    <row r="9990" spans="33:33" x14ac:dyDescent="0.25">
      <c r="AG9990">
        <v>9988</v>
      </c>
    </row>
    <row r="9991" spans="33:33" x14ac:dyDescent="0.25">
      <c r="AG9991">
        <v>9989</v>
      </c>
    </row>
    <row r="9992" spans="33:33" x14ac:dyDescent="0.25">
      <c r="AG9992">
        <v>9990</v>
      </c>
    </row>
    <row r="9993" spans="33:33" x14ac:dyDescent="0.25">
      <c r="AG9993">
        <v>9991</v>
      </c>
    </row>
    <row r="9994" spans="33:33" x14ac:dyDescent="0.25">
      <c r="AG9994">
        <v>9992</v>
      </c>
    </row>
    <row r="9995" spans="33:33" x14ac:dyDescent="0.25">
      <c r="AG9995">
        <v>9993</v>
      </c>
    </row>
    <row r="9996" spans="33:33" x14ac:dyDescent="0.25">
      <c r="AG9996">
        <v>9994</v>
      </c>
    </row>
    <row r="9997" spans="33:33" x14ac:dyDescent="0.25">
      <c r="AG9997">
        <v>9995</v>
      </c>
    </row>
    <row r="9998" spans="33:33" x14ac:dyDescent="0.25">
      <c r="AG9998">
        <v>9996</v>
      </c>
    </row>
    <row r="9999" spans="33:33" x14ac:dyDescent="0.25">
      <c r="AG9999">
        <v>9997</v>
      </c>
    </row>
    <row r="10000" spans="33:33" x14ac:dyDescent="0.25">
      <c r="AG10000">
        <v>9998</v>
      </c>
    </row>
    <row r="10001" spans="33:33" x14ac:dyDescent="0.25">
      <c r="AG10001">
        <v>9999</v>
      </c>
    </row>
    <row r="10002" spans="33:33" x14ac:dyDescent="0.25">
      <c r="AG10002">
        <v>10000</v>
      </c>
    </row>
    <row r="10003" spans="33:33" x14ac:dyDescent="0.25">
      <c r="AG10003">
        <v>0</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2"/>
  <sheetViews>
    <sheetView zoomScale="70" zoomScaleNormal="70" workbookViewId="0">
      <selection activeCell="C7" sqref="C7:D7"/>
    </sheetView>
  </sheetViews>
  <sheetFormatPr defaultRowHeight="15" x14ac:dyDescent="0.25"/>
  <sheetData>
    <row r="1" spans="1:73"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1931</v>
      </c>
      <c r="AB1" t="s">
        <v>1953</v>
      </c>
      <c r="AC1" t="s">
        <v>1954</v>
      </c>
      <c r="AD1" t="s">
        <v>1955</v>
      </c>
      <c r="AE1" t="s">
        <v>1956</v>
      </c>
      <c r="AF1" t="s">
        <v>1957</v>
      </c>
      <c r="AG1" t="s">
        <v>1958</v>
      </c>
      <c r="AH1" t="s">
        <v>1959</v>
      </c>
      <c r="AI1" t="s">
        <v>1960</v>
      </c>
      <c r="AJ1" t="s">
        <v>1961</v>
      </c>
      <c r="AK1" t="s">
        <v>1962</v>
      </c>
      <c r="AL1" t="s">
        <v>1963</v>
      </c>
      <c r="AM1" t="s">
        <v>1964</v>
      </c>
      <c r="AN1" t="s">
        <v>1965</v>
      </c>
      <c r="AO1" t="s">
        <v>1966</v>
      </c>
      <c r="AP1" t="s">
        <v>1967</v>
      </c>
      <c r="AQ1" t="s">
        <v>1968</v>
      </c>
      <c r="AR1" t="s">
        <v>1969</v>
      </c>
      <c r="AS1" t="s">
        <v>1970</v>
      </c>
      <c r="AT1" t="s">
        <v>1971</v>
      </c>
      <c r="AU1" t="s">
        <v>1972</v>
      </c>
      <c r="AV1" t="s">
        <v>1973</v>
      </c>
      <c r="AW1" t="s">
        <v>1974</v>
      </c>
      <c r="AX1" t="s">
        <v>1975</v>
      </c>
      <c r="AY1" t="s">
        <v>1976</v>
      </c>
      <c r="AZ1" t="s">
        <v>1977</v>
      </c>
      <c r="BA1" t="s">
        <v>1978</v>
      </c>
      <c r="BB1" t="s">
        <v>1979</v>
      </c>
      <c r="BC1" t="s">
        <v>1980</v>
      </c>
      <c r="BD1" t="s">
        <v>1981</v>
      </c>
      <c r="BE1" t="s">
        <v>1982</v>
      </c>
      <c r="BF1" t="s">
        <v>1983</v>
      </c>
      <c r="BG1" t="s">
        <v>1984</v>
      </c>
      <c r="BH1" t="s">
        <v>1985</v>
      </c>
      <c r="BI1" t="s">
        <v>1986</v>
      </c>
      <c r="BJ1" t="s">
        <v>1987</v>
      </c>
      <c r="BK1" t="s">
        <v>1988</v>
      </c>
      <c r="BL1" t="s">
        <v>1989</v>
      </c>
      <c r="BM1" t="s">
        <v>1990</v>
      </c>
      <c r="BN1" t="s">
        <v>1991</v>
      </c>
      <c r="BO1" t="s">
        <v>1992</v>
      </c>
      <c r="BP1" t="s">
        <v>1993</v>
      </c>
      <c r="BQ1" t="s">
        <v>1994</v>
      </c>
      <c r="BR1" t="s">
        <v>1995</v>
      </c>
      <c r="BS1" t="s">
        <v>1996</v>
      </c>
      <c r="BT1" t="s">
        <v>1997</v>
      </c>
      <c r="BU1" t="s">
        <v>1998</v>
      </c>
    </row>
    <row r="2" spans="1:73" x14ac:dyDescent="0.25">
      <c r="A2">
        <f>Q_RP_B_DSSCAGE_01</f>
        <v>0</v>
      </c>
      <c r="B2">
        <f>Q1a_A_LocationName</f>
        <v>0</v>
      </c>
      <c r="C2">
        <f>Q1a_A_LocOrgName</f>
        <v>0</v>
      </c>
      <c r="D2">
        <f>Q1a_B_Parent1_Name</f>
        <v>0</v>
      </c>
      <c r="E2">
        <f>Q_RP_A_MultiResponse</f>
        <v>0</v>
      </c>
      <c r="F2">
        <f>COUNTIF($AB$2:$AP$2, "&lt;&gt;0")</f>
        <v>0</v>
      </c>
      <c r="G2">
        <f>COUNTIF($AQ$2:$BT$2, "&lt;&gt;0")</f>
        <v>0</v>
      </c>
      <c r="H2">
        <f>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Q4b_A_NumUSGPrograms</f>
        <v>0</v>
      </c>
      <c r="M2">
        <f>Q6_A_Employees_Year3</f>
        <v>0</v>
      </c>
      <c r="N2">
        <f>Q6_B_Employee_H1B_Total+Q6_B_Employee_H2B_Total+Q6_B_Employee_F1_Total+Q6_B_Employee_GreenCard_Total+Q6_B_Employee_Other_Total</f>
        <v>0</v>
      </c>
      <c r="O2">
        <f>Year3</f>
        <v>2015</v>
      </c>
      <c r="P2">
        <f>Q7_A_TotalSales_US_Year3+Q7_A_TotalSales_NonUS_Year3</f>
        <v>0</v>
      </c>
      <c r="Q2">
        <f>Q7_B_DefSales_US_Year3_Pct*Q7_A_TotalSales_US_Year3+Q7_B_DefSales_NonUS_Year3_Pct*Q7_A_TotalSales_NonUS_Year3</f>
        <v>0</v>
      </c>
      <c r="R2">
        <f>Q9a_B_Physical_Year3</f>
        <v>0</v>
      </c>
      <c r="S2">
        <f>Q9a_B_Cyber_Year3</f>
        <v>0</v>
      </c>
      <c r="T2">
        <f>COUNTIF('9a'!$K$22:$K$32, "Yes")+COUNTIF('9a'!$O$22:$O$32, "Yes")</f>
        <v>0</v>
      </c>
      <c r="U2" t="str">
        <f>IF(Q12_OpEx_Year3=0, "No Expenditures", Q9b_A_PhysicalSpending_Year3/(Q12_OpEx_Year3))</f>
        <v>No Expenditures</v>
      </c>
      <c r="V2" t="str">
        <f>IF(Q12_OpEx_Year3=0, "No Expenditures", Q9b_A_CyberSpending_Year3/(Q12_OpEx_Year3))</f>
        <v>No Expenditures</v>
      </c>
      <c r="W2">
        <f>Q9b_C_Pct_CSI_External</f>
        <v>0</v>
      </c>
      <c r="X2" t="str">
        <f>'D-Risk'!$AO$25</f>
        <v>Insufficient Data</v>
      </c>
      <c r="Y2" t="str">
        <f>'D-Risk'!$AO$26</f>
        <v>Insufficient Data</v>
      </c>
      <c r="Z2" t="str">
        <f>'D-Risk'!$AO$27</f>
        <v>Uncalculated</v>
      </c>
      <c r="AA2">
        <f>Q_RP_A_MultiResponse</f>
        <v>0</v>
      </c>
      <c r="AB2">
        <f>Q_RP_B_DSSCAGE_01</f>
        <v>0</v>
      </c>
      <c r="AC2">
        <f>Q_RP_B_DSSCAGE_02</f>
        <v>0</v>
      </c>
      <c r="AD2">
        <f>Q_RP_B_DSSCAGE_03</f>
        <v>0</v>
      </c>
      <c r="AE2">
        <f>Q_RP_B_DSSCAGE_04</f>
        <v>0</v>
      </c>
      <c r="AF2">
        <f>Q_RP_B_DSSCAGE_05</f>
        <v>0</v>
      </c>
      <c r="AG2">
        <f>Q_RP_B_DSSCAGE_06</f>
        <v>0</v>
      </c>
      <c r="AH2">
        <f>Q_RP_B_DSSCAGE_07</f>
        <v>0</v>
      </c>
      <c r="AI2">
        <f>Q_RP_B_DSSCAGE_08</f>
        <v>0</v>
      </c>
      <c r="AJ2">
        <f>Q_RP_B_DSSCAGE_09</f>
        <v>0</v>
      </c>
      <c r="AK2">
        <f>Q_RP_B_DSSCAGE_10</f>
        <v>0</v>
      </c>
      <c r="AL2">
        <f>Q_RP_B_DSSCAGE_11</f>
        <v>0</v>
      </c>
      <c r="AM2">
        <f>Q_RP_B_DSSCAGE_12</f>
        <v>0</v>
      </c>
      <c r="AN2">
        <f>Q_RP_B_DSSCAGE_13</f>
        <v>0</v>
      </c>
      <c r="AO2">
        <f>Q_RP_B_DSSCAGE_14</f>
        <v>0</v>
      </c>
      <c r="AP2">
        <f>Q_RP_B_DSSCAGE_15</f>
        <v>0</v>
      </c>
      <c r="AQ2">
        <f>Q_RP_B_OtherCAGE_01</f>
        <v>0</v>
      </c>
      <c r="AR2">
        <f>Q_RP_B_OtherCAGE_02</f>
        <v>0</v>
      </c>
      <c r="AS2">
        <f>Q_RP_B_OtherCAGE_03</f>
        <v>0</v>
      </c>
      <c r="AT2">
        <f>Q_RP_B_OtherCAGE_04</f>
        <v>0</v>
      </c>
      <c r="AU2">
        <f>Q_RP_B_OtherCAGE_05</f>
        <v>0</v>
      </c>
      <c r="AV2">
        <f>Q_RP_B_OtherCAGE_06</f>
        <v>0</v>
      </c>
      <c r="AW2">
        <f>Q_RP_B_OtherCAGE_07</f>
        <v>0</v>
      </c>
      <c r="AX2">
        <f>Q_RP_B_OtherCAGE_08</f>
        <v>0</v>
      </c>
      <c r="AY2">
        <f>Q_RP_B_OtherCAGE_09</f>
        <v>0</v>
      </c>
      <c r="AZ2">
        <f>Q_RP_B_OtherCAGE_10</f>
        <v>0</v>
      </c>
      <c r="BA2">
        <f>Q_RP_B_OtherCAGE_11</f>
        <v>0</v>
      </c>
      <c r="BB2">
        <f>Q_RP_B_OtherCAGE_12</f>
        <v>0</v>
      </c>
      <c r="BC2">
        <f>Q_RP_B_OtherCAGE_13</f>
        <v>0</v>
      </c>
      <c r="BD2">
        <f>Q_RP_B_OtherCAGE_14</f>
        <v>0</v>
      </c>
      <c r="BE2">
        <f>Q_RP_B_OtherCAGE_15</f>
        <v>0</v>
      </c>
      <c r="BF2">
        <f>Q_RP_B_OtherCAGE_16</f>
        <v>0</v>
      </c>
      <c r="BG2">
        <f>Q_RP_B_OtherCAGE_17</f>
        <v>0</v>
      </c>
      <c r="BH2">
        <f>Q_RP_B_OtherCAGE_18</f>
        <v>0</v>
      </c>
      <c r="BI2">
        <f>Q_RP_B_OtherCAGE_19</f>
        <v>0</v>
      </c>
      <c r="BJ2">
        <f>Q_RP_B_OtherCAGE_20</f>
        <v>0</v>
      </c>
      <c r="BK2">
        <f>Q_RP_B_OtherCAGE_21</f>
        <v>0</v>
      </c>
      <c r="BL2">
        <f>Q_RP_B_OtherCAGE_22</f>
        <v>0</v>
      </c>
      <c r="BM2">
        <f>Q_RP_B_OtherCAGE_23</f>
        <v>0</v>
      </c>
      <c r="BN2">
        <f>Q_RP_B_OtherCAGE_24</f>
        <v>0</v>
      </c>
      <c r="BO2">
        <f>Q_RP_B_OtherCAGE_25</f>
        <v>0</v>
      </c>
      <c r="BP2">
        <f>Q_RP_B_OtherCAGE_26</f>
        <v>0</v>
      </c>
      <c r="BQ2">
        <f>Q_RP_B_OtherCAGE_27</f>
        <v>0</v>
      </c>
      <c r="BR2">
        <f>Q_RP_B_OtherCAGE_28</f>
        <v>0</v>
      </c>
      <c r="BS2">
        <f>Q_RP_B_OtherCAGE_29</f>
        <v>0</v>
      </c>
      <c r="BT2">
        <f>Q_RP_B_OtherCAGE_30</f>
        <v>0</v>
      </c>
      <c r="BU2">
        <f>Q_RP_Comments</f>
        <v>0</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T2"/>
  <sheetViews>
    <sheetView topLeftCell="CG1" zoomScale="70" zoomScaleNormal="70" workbookViewId="0">
      <selection activeCell="C7" sqref="C7:D7"/>
    </sheetView>
  </sheetViews>
  <sheetFormatPr defaultRowHeight="15" x14ac:dyDescent="0.25"/>
  <sheetData>
    <row r="1" spans="1:124"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1929</v>
      </c>
      <c r="AB1" t="s">
        <v>1999</v>
      </c>
      <c r="AC1" t="s">
        <v>2000</v>
      </c>
      <c r="AD1" t="s">
        <v>2001</v>
      </c>
      <c r="AE1" t="s">
        <v>2002</v>
      </c>
      <c r="AF1" t="s">
        <v>2003</v>
      </c>
      <c r="AG1" t="s">
        <v>2004</v>
      </c>
      <c r="AH1" t="s">
        <v>2005</v>
      </c>
      <c r="AI1" t="s">
        <v>2006</v>
      </c>
      <c r="AJ1" t="s">
        <v>2007</v>
      </c>
      <c r="AK1" t="s">
        <v>2008</v>
      </c>
      <c r="AL1" t="s">
        <v>2009</v>
      </c>
      <c r="AM1" t="s">
        <v>2010</v>
      </c>
      <c r="AN1" t="s">
        <v>2011</v>
      </c>
      <c r="AO1" t="s">
        <v>2012</v>
      </c>
      <c r="AP1" t="s">
        <v>2013</v>
      </c>
      <c r="AQ1" t="s">
        <v>2014</v>
      </c>
      <c r="AR1" t="s">
        <v>2015</v>
      </c>
      <c r="AS1" t="s">
        <v>2016</v>
      </c>
      <c r="AT1" t="s">
        <v>2017</v>
      </c>
      <c r="AU1" t="s">
        <v>2018</v>
      </c>
      <c r="AV1" t="s">
        <v>2019</v>
      </c>
      <c r="AW1" t="s">
        <v>2020</v>
      </c>
      <c r="AX1" t="s">
        <v>2021</v>
      </c>
      <c r="AY1" t="s">
        <v>2022</v>
      </c>
      <c r="AZ1" t="s">
        <v>2023</v>
      </c>
      <c r="BA1" t="s">
        <v>2024</v>
      </c>
      <c r="BB1" t="s">
        <v>2025</v>
      </c>
      <c r="BC1" t="s">
        <v>2026</v>
      </c>
      <c r="BD1" t="s">
        <v>2027</v>
      </c>
      <c r="BE1" t="s">
        <v>2028</v>
      </c>
      <c r="BF1" t="s">
        <v>2029</v>
      </c>
      <c r="BG1" t="s">
        <v>2030</v>
      </c>
      <c r="BH1" t="s">
        <v>2031</v>
      </c>
      <c r="BI1" t="s">
        <v>2032</v>
      </c>
      <c r="BJ1" t="s">
        <v>2033</v>
      </c>
      <c r="BK1" t="s">
        <v>2034</v>
      </c>
      <c r="BL1" t="s">
        <v>2035</v>
      </c>
      <c r="BM1" t="s">
        <v>2036</v>
      </c>
      <c r="BN1" t="s">
        <v>2037</v>
      </c>
      <c r="BO1" t="s">
        <v>2038</v>
      </c>
      <c r="BP1" t="s">
        <v>2039</v>
      </c>
      <c r="BQ1" t="s">
        <v>2040</v>
      </c>
      <c r="BR1" t="s">
        <v>2041</v>
      </c>
      <c r="BS1" t="s">
        <v>2042</v>
      </c>
      <c r="BT1" t="s">
        <v>2043</v>
      </c>
      <c r="BU1" t="s">
        <v>2044</v>
      </c>
      <c r="BV1" t="s">
        <v>2045</v>
      </c>
      <c r="BW1" t="s">
        <v>2046</v>
      </c>
      <c r="BX1" t="s">
        <v>2047</v>
      </c>
      <c r="BY1" t="s">
        <v>2048</v>
      </c>
      <c r="BZ1" t="s">
        <v>2049</v>
      </c>
      <c r="CA1" t="s">
        <v>2050</v>
      </c>
      <c r="CB1" t="s">
        <v>2051</v>
      </c>
      <c r="CC1" t="s">
        <v>2052</v>
      </c>
      <c r="CD1" t="s">
        <v>2053</v>
      </c>
      <c r="CE1" t="s">
        <v>2054</v>
      </c>
      <c r="CF1" t="s">
        <v>2055</v>
      </c>
      <c r="CG1" t="s">
        <v>2056</v>
      </c>
      <c r="CH1" t="s">
        <v>2057</v>
      </c>
      <c r="CI1" t="s">
        <v>2058</v>
      </c>
      <c r="CJ1" t="s">
        <v>2059</v>
      </c>
      <c r="CK1" t="s">
        <v>2060</v>
      </c>
      <c r="CL1" t="s">
        <v>2061</v>
      </c>
      <c r="CM1" t="s">
        <v>2062</v>
      </c>
      <c r="CN1" t="s">
        <v>2063</v>
      </c>
      <c r="CO1" t="s">
        <v>2064</v>
      </c>
      <c r="CP1" t="s">
        <v>2065</v>
      </c>
      <c r="CQ1" t="s">
        <v>2066</v>
      </c>
      <c r="CR1" t="s">
        <v>2067</v>
      </c>
      <c r="CS1" t="s">
        <v>2068</v>
      </c>
      <c r="CT1" t="s">
        <v>2069</v>
      </c>
      <c r="CU1" t="s">
        <v>2070</v>
      </c>
      <c r="CV1" t="s">
        <v>2071</v>
      </c>
      <c r="CW1" t="s">
        <v>2072</v>
      </c>
      <c r="CX1" t="s">
        <v>2073</v>
      </c>
      <c r="CY1" t="s">
        <v>2074</v>
      </c>
      <c r="CZ1" t="s">
        <v>2075</v>
      </c>
      <c r="DA1" t="s">
        <v>2076</v>
      </c>
      <c r="DB1" t="s">
        <v>2077</v>
      </c>
      <c r="DC1" t="s">
        <v>2078</v>
      </c>
      <c r="DD1" t="s">
        <v>2079</v>
      </c>
      <c r="DE1" t="s">
        <v>2080</v>
      </c>
      <c r="DF1" t="s">
        <v>2081</v>
      </c>
      <c r="DG1" t="s">
        <v>2082</v>
      </c>
      <c r="DH1" t="s">
        <v>2083</v>
      </c>
      <c r="DI1" t="s">
        <v>2084</v>
      </c>
      <c r="DJ1" t="s">
        <v>2085</v>
      </c>
      <c r="DK1" t="s">
        <v>2086</v>
      </c>
      <c r="DL1" t="s">
        <v>2087</v>
      </c>
      <c r="DM1" t="s">
        <v>2088</v>
      </c>
      <c r="DN1" t="s">
        <v>2089</v>
      </c>
      <c r="DO1" t="s">
        <v>2090</v>
      </c>
      <c r="DP1" t="s">
        <v>2091</v>
      </c>
      <c r="DQ1" t="s">
        <v>2092</v>
      </c>
      <c r="DR1" t="s">
        <v>2093</v>
      </c>
      <c r="DS1" t="s">
        <v>2094</v>
      </c>
      <c r="DT1" t="s">
        <v>2095</v>
      </c>
    </row>
    <row r="2" spans="1:124" x14ac:dyDescent="0.25">
      <c r="A2">
        <f>Q_RP_B_DSSCAGE_01</f>
        <v>0</v>
      </c>
      <c r="B2">
        <f>Q1a_A_LocationName</f>
        <v>0</v>
      </c>
      <c r="C2">
        <f>Q1a_A_LocOrgName</f>
        <v>0</v>
      </c>
      <c r="D2">
        <f>Q1a_B_Parent1_Name</f>
        <v>0</v>
      </c>
      <c r="E2">
        <f>Q_RP_A_MultiResponse</f>
        <v>0</v>
      </c>
      <c r="F2">
        <f>'D-RepLevel'!$F$2</f>
        <v>0</v>
      </c>
      <c r="G2">
        <f>'D-RepLevel'!$G$2</f>
        <v>0</v>
      </c>
      <c r="H2">
        <f>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Q4b_A_NumUSGPrograms</f>
        <v>0</v>
      </c>
      <c r="M2">
        <f>Q6_A_Employees_Year3</f>
        <v>0</v>
      </c>
      <c r="N2">
        <f>Q6_B_Employee_H1B_Total+Q6_B_Employee_H2B_Total+Q6_B_Employee_F1_Total+Q6_B_Employee_GreenCard_Total+Q6_B_Employee_Other_Total</f>
        <v>0</v>
      </c>
      <c r="O2">
        <f>Year3</f>
        <v>2015</v>
      </c>
      <c r="P2">
        <f>Q7_A_TotalSales_US_Year3+Q7_A_TotalSales_NonUS_Year3</f>
        <v>0</v>
      </c>
      <c r="Q2">
        <f>Q7_B_DefSales_US_Year3_Pct*Q7_A_TotalSales_US_Year3+Q7_B_DefSales_NonUS_Year3_Pct*Q7_A_TotalSales_NonUS_Year3</f>
        <v>0</v>
      </c>
      <c r="R2">
        <f>Q9a_B_Physical_Year3</f>
        <v>0</v>
      </c>
      <c r="S2">
        <f>Q9a_B_Cyber_Year3</f>
        <v>0</v>
      </c>
      <c r="T2">
        <f>COUNTIF('9a'!$K$22:$K$32, "Yes")+COUNTIF('9a'!$O$22:$O$32, "Yes")</f>
        <v>0</v>
      </c>
      <c r="U2" t="str">
        <f>IF(Q12_OpEx_Year3=0, "No Expenditures", Q9b_A_PhysicalSpending_Year3/(Q12_OpEx_Year3))</f>
        <v>No Expenditures</v>
      </c>
      <c r="V2" t="str">
        <f>IF(Q12_OpEx_Year3=0, "No Expenditures", Q9b_A_CyberSpending_Year3/(Q12_OpEx_Year3))</f>
        <v>No Expenditures</v>
      </c>
      <c r="W2">
        <f>Q9b_C_Pct_CSI_External</f>
        <v>0</v>
      </c>
      <c r="X2" t="str">
        <f>'D-Risk'!$AO$25</f>
        <v>Insufficient Data</v>
      </c>
      <c r="Y2" t="str">
        <f>'D-Risk'!$AO$26</f>
        <v>Insufficient Data</v>
      </c>
      <c r="Z2" t="str">
        <f>'D-Risk'!$AO$27</f>
        <v>Uncalculated</v>
      </c>
      <c r="AA2">
        <f>Q1a_A_LocationName</f>
        <v>0</v>
      </c>
      <c r="AB2">
        <f>Q1a_A_LocOrgName</f>
        <v>0</v>
      </c>
      <c r="AC2">
        <f>Q1a_A_LocAddress</f>
        <v>0</v>
      </c>
      <c r="AD2">
        <f>Q1a_A_LocCity</f>
        <v>0</v>
      </c>
      <c r="AE2">
        <f>Q1a_A_LocState</f>
        <v>0</v>
      </c>
      <c r="AF2">
        <f>Q1a_A_LocZip</f>
        <v>0</v>
      </c>
      <c r="AG2">
        <f>Q1a_A_LocWeb</f>
        <v>0</v>
      </c>
      <c r="AH2">
        <f>Q1a_A_LocPhone</f>
        <v>0</v>
      </c>
      <c r="AI2">
        <f>Q1a_B_Parent1_Name</f>
        <v>0</v>
      </c>
      <c r="AJ2">
        <f>Q1a_B_Parent1_Address</f>
        <v>0</v>
      </c>
      <c r="AK2">
        <f>Q1a_B_Parent1_City</f>
        <v>0</v>
      </c>
      <c r="AL2">
        <f>Q1a_B_Parent1_State</f>
        <v>0</v>
      </c>
      <c r="AM2">
        <f>Q1a_B_Parent1_Country</f>
        <v>0</v>
      </c>
      <c r="AN2">
        <f>Q1a_B_Parent1_Zip</f>
        <v>0</v>
      </c>
      <c r="AO2">
        <f>Q1a_B_Parent1_CAGE</f>
        <v>0</v>
      </c>
      <c r="AP2">
        <f>Q1a_B_Parent2_Name</f>
        <v>0</v>
      </c>
      <c r="AQ2">
        <f>Q1a_B_Parent2_Address</f>
        <v>0</v>
      </c>
      <c r="AR2">
        <f>Q1a_B_Parent2_City</f>
        <v>0</v>
      </c>
      <c r="AS2">
        <f>Q1a_B_Parent2_State</f>
        <v>0</v>
      </c>
      <c r="AT2">
        <f>Q1a_B_Parent2_Country</f>
        <v>0</v>
      </c>
      <c r="AU2">
        <f>Q1a_B_Parent2_Zip</f>
        <v>0</v>
      </c>
      <c r="AV2">
        <f>Q1a_B_Parent2_CAGE</f>
        <v>0</v>
      </c>
      <c r="AW2">
        <f>Q1a_C_PubPriv</f>
        <v>0</v>
      </c>
      <c r="AX2">
        <f>Q1a_C_Ticker</f>
        <v>0</v>
      </c>
      <c r="AY2">
        <f>Q1a_D_SharedSpace</f>
        <v>0</v>
      </c>
      <c r="AZ2">
        <f>Q1a_D_SharedOrg01_Name</f>
        <v>0</v>
      </c>
      <c r="BA2">
        <f>Q1a_D_SharedOrg01_Purpose</f>
        <v>0</v>
      </c>
      <c r="BB2">
        <f>Q1a_D_SharedOrg02_Name</f>
        <v>0</v>
      </c>
      <c r="BC2">
        <f>Q1a_D_SharedOrg02_Purpose</f>
        <v>0</v>
      </c>
      <c r="BD2">
        <f>Q1a_D_SharedOrg03_Name</f>
        <v>0</v>
      </c>
      <c r="BE2">
        <f>Q1a_D_SharedOrg03_Purpose</f>
        <v>0</v>
      </c>
      <c r="BF2">
        <f>Q1a_D_SharedOrg04_Name</f>
        <v>0</v>
      </c>
      <c r="BG2">
        <f>Q1a_D_SharedOrg04_Purpose</f>
        <v>0</v>
      </c>
      <c r="BH2">
        <f>Q1a_D_SharedOrg05_Name</f>
        <v>0</v>
      </c>
      <c r="BI2">
        <f>Q1a_D_SharedOrg05_Purpose</f>
        <v>0</v>
      </c>
      <c r="BJ2">
        <f>Q1a_D_SharedOrg06_Name</f>
        <v>0</v>
      </c>
      <c r="BK2">
        <f>Q1a_D_SharedOrg06_Purpose</f>
        <v>0</v>
      </c>
      <c r="BL2">
        <f>Q1a_D_SharedOrg07_Name</f>
        <v>0</v>
      </c>
      <c r="BM2">
        <f>Q1a_D_SharedOrg07_Purpose</f>
        <v>0</v>
      </c>
      <c r="BN2">
        <f>Q1a_D_SharedOrg08_Name</f>
        <v>0</v>
      </c>
      <c r="BO2">
        <f>Q1a_D_SharedOrg08_Purpose</f>
        <v>0</v>
      </c>
      <c r="BP2">
        <f>Q1a_D_SharedOrg09_Name</f>
        <v>0</v>
      </c>
      <c r="BQ2">
        <f>Q1a_D_SharedOrg09_Purpose</f>
        <v>0</v>
      </c>
      <c r="BR2">
        <f>Q1a_D_SharedOrg10_Name</f>
        <v>0</v>
      </c>
      <c r="BS2">
        <f>Q1a_D_SharedOrg10_Purpose</f>
        <v>0</v>
      </c>
      <c r="BT2">
        <f>Q1a_E_POC_Name</f>
        <v>0</v>
      </c>
      <c r="BU2">
        <f>Q1a_E_POC_Title</f>
        <v>0</v>
      </c>
      <c r="BV2">
        <f>Q1a_E_POC_Phone</f>
        <v>0</v>
      </c>
      <c r="BW2">
        <f>Q1a_E_POC_Email</f>
        <v>0</v>
      </c>
      <c r="BX2">
        <f>Q1a_E_POC_State</f>
        <v>0</v>
      </c>
      <c r="BY2">
        <f>Q1a_Comments</f>
        <v>0</v>
      </c>
      <c r="BZ2">
        <f>Q1b_A_Academic</f>
        <v>0</v>
      </c>
      <c r="CA2">
        <f>Q1b_A_Distribution</f>
        <v>0</v>
      </c>
      <c r="CB2">
        <f>Q1b_A_HoldingCo</f>
        <v>0</v>
      </c>
      <c r="CC2">
        <f>Q1b_A_Inspec</f>
        <v>0</v>
      </c>
      <c r="CD2">
        <f>Q1b_A_Integration</f>
        <v>0</v>
      </c>
      <c r="CE2">
        <f>Q1b_A_IT</f>
        <v>0</v>
      </c>
      <c r="CF2">
        <f>Q1b_A_Maintenance</f>
        <v>0</v>
      </c>
      <c r="CG2">
        <f>Q1b_A_MatFinish</f>
        <v>0</v>
      </c>
      <c r="CH2">
        <f>Q1b_A_MatPrep</f>
        <v>0</v>
      </c>
      <c r="CI2">
        <f>Q1b_A_Mfg</f>
        <v>0</v>
      </c>
      <c r="CJ2">
        <f>Q1b_A_MfgDev</f>
        <v>0</v>
      </c>
      <c r="CK2">
        <f>Q1b_A_ProductDes</f>
        <v>0</v>
      </c>
      <c r="CL2">
        <f>Q1b_A_ProfServices</f>
        <v>0</v>
      </c>
      <c r="CM2">
        <f>Q1b_A_RawMaterial</f>
        <v>0</v>
      </c>
      <c r="CN2">
        <f>Q1b_A_RD</f>
        <v>0</v>
      </c>
      <c r="CO2">
        <f>Q1b_A_Testing</f>
        <v>0</v>
      </c>
      <c r="CP2">
        <f>Q1b_A_Other</f>
        <v>0</v>
      </c>
      <c r="CQ2" t="str">
        <f>Q1b_A_Other_Specify</f>
        <v>(specify here)</v>
      </c>
      <c r="CR2">
        <f>Q1b_B_DUNS01</f>
        <v>0</v>
      </c>
      <c r="CS2">
        <f>Q1b_B_DUNS02</f>
        <v>0</v>
      </c>
      <c r="CT2">
        <f>Q1b_B_DUNS03</f>
        <v>0</v>
      </c>
      <c r="CU2">
        <f>Q1b_B_DUNS04</f>
        <v>0</v>
      </c>
      <c r="CV2">
        <f>Q1b_B_DUNS05</f>
        <v>0</v>
      </c>
      <c r="CW2">
        <f>Q1b_B_DUNS06</f>
        <v>0</v>
      </c>
      <c r="CX2">
        <f>Q1b_B_DUNS07</f>
        <v>0</v>
      </c>
      <c r="CY2">
        <f>Q1b_B_DUNS08</f>
        <v>0</v>
      </c>
      <c r="CZ2">
        <f>Q1b_B_DUNS09</f>
        <v>0</v>
      </c>
      <c r="DA2">
        <f>Q1b_B_DUNS10</f>
        <v>0</v>
      </c>
      <c r="DB2">
        <f>Q1b_B_NAICS01</f>
        <v>0</v>
      </c>
      <c r="DC2">
        <f>Q1b_B_NAICS02</f>
        <v>0</v>
      </c>
      <c r="DD2">
        <f>Q1b_B_NAICS03</f>
        <v>0</v>
      </c>
      <c r="DE2">
        <f>Q1b_B_NAICS04</f>
        <v>0</v>
      </c>
      <c r="DF2">
        <f>Q1b_B_NAICS05</f>
        <v>0</v>
      </c>
      <c r="DG2">
        <f>Q1b_B_NAICS06</f>
        <v>0</v>
      </c>
      <c r="DH2">
        <f>Q1b_B_NAICS07</f>
        <v>0</v>
      </c>
      <c r="DI2">
        <f>Q1b_B_NAICS08</f>
        <v>0</v>
      </c>
      <c r="DJ2">
        <f>Q1b_B_NAICS09</f>
        <v>0</v>
      </c>
      <c r="DK2">
        <f>Q1b_B_NAICS10</f>
        <v>0</v>
      </c>
      <c r="DL2">
        <f>Q1b_C_SB</f>
        <v>0</v>
      </c>
      <c r="DM2">
        <f>Q1b_C_8a</f>
        <v>0</v>
      </c>
      <c r="DN2">
        <f>Q1b_C_HUBZone</f>
        <v>0</v>
      </c>
      <c r="DO2">
        <f>Q1b_C_Minority</f>
        <v>0</v>
      </c>
      <c r="DP2">
        <f>Q1b_C_Woman</f>
        <v>0</v>
      </c>
      <c r="DQ2">
        <f>Q1b_C_Vet</f>
        <v>0</v>
      </c>
      <c r="DR2">
        <f>Q1b_Comments</f>
        <v>0</v>
      </c>
      <c r="DS2">
        <f>Q2_A_TotalAcq</f>
        <v>0</v>
      </c>
      <c r="DT2">
        <f>Q2_B_TotalJV</f>
        <v>0</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26"/>
  <sheetViews>
    <sheetView zoomScale="70" zoomScaleNormal="70" workbookViewId="0">
      <selection activeCell="C7" sqref="C7:D7"/>
    </sheetView>
  </sheetViews>
  <sheetFormatPr defaultRowHeight="15" x14ac:dyDescent="0.25"/>
  <sheetData>
    <row r="1" spans="1:34"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2096</v>
      </c>
      <c r="AB1" t="s">
        <v>98</v>
      </c>
      <c r="AC1" t="s">
        <v>155</v>
      </c>
      <c r="AD1" t="s">
        <v>108</v>
      </c>
      <c r="AE1" t="s">
        <v>156</v>
      </c>
      <c r="AF1" t="s">
        <v>2097</v>
      </c>
      <c r="AG1" t="s">
        <v>850</v>
      </c>
      <c r="AH1" t="s">
        <v>2098</v>
      </c>
    </row>
    <row r="2" spans="1:34" x14ac:dyDescent="0.25">
      <c r="A2">
        <f t="shared" ref="A2:A26" si="0">Q_RP_B_DSSCAGE_01</f>
        <v>0</v>
      </c>
      <c r="B2">
        <f t="shared" ref="B2:B26" si="1">Q1a_A_LocationName</f>
        <v>0</v>
      </c>
      <c r="C2">
        <f t="shared" ref="C2:C26" si="2">Q1a_A_LocOrgName</f>
        <v>0</v>
      </c>
      <c r="D2">
        <f t="shared" ref="D2:D26" si="3">Q1a_B_Parent1_Name</f>
        <v>0</v>
      </c>
      <c r="E2">
        <f t="shared" ref="E2:E26" si="4">Q_RP_A_MultiResponse</f>
        <v>0</v>
      </c>
      <c r="F2">
        <f>'D-RepLevel'!$F$2</f>
        <v>0</v>
      </c>
      <c r="G2">
        <f>'D-RepLevel'!$G$2</f>
        <v>0</v>
      </c>
      <c r="H2">
        <f t="shared" ref="H2:H26"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26" si="6">Q4b_A_NumUSGPrograms</f>
        <v>0</v>
      </c>
      <c r="M2">
        <f t="shared" ref="M2:M26" si="7">Q6_A_Employees_Year3</f>
        <v>0</v>
      </c>
      <c r="N2">
        <f t="shared" ref="N2:N26" si="8">Q6_B_Employee_H1B_Total+Q6_B_Employee_H2B_Total+Q6_B_Employee_F1_Total+Q6_B_Employee_GreenCard_Total+Q6_B_Employee_Other_Total</f>
        <v>0</v>
      </c>
      <c r="O2">
        <f t="shared" ref="O2:O26" si="9">Year3</f>
        <v>2015</v>
      </c>
      <c r="P2">
        <f t="shared" ref="P2:P26" si="10">Q7_A_TotalSales_US_Year3+Q7_A_TotalSales_NonUS_Year3</f>
        <v>0</v>
      </c>
      <c r="Q2">
        <f t="shared" ref="Q2:Q26" si="11">Q7_B_DefSales_US_Year3_Pct*Q7_A_TotalSales_US_Year3+Q7_B_DefSales_NonUS_Year3_Pct*Q7_A_TotalSales_NonUS_Year3</f>
        <v>0</v>
      </c>
      <c r="R2">
        <f t="shared" ref="R2:R26" si="12">Q9a_B_Physical_Year3</f>
        <v>0</v>
      </c>
      <c r="S2">
        <f t="shared" ref="S2:S26" si="13">Q9a_B_Cyber_Year3</f>
        <v>0</v>
      </c>
      <c r="T2">
        <f>COUNTIF('9a'!$K$22:$K$32, "Yes")+COUNTIF('9a'!$O$22:$O$32, "Yes")</f>
        <v>0</v>
      </c>
      <c r="U2" t="str">
        <f t="shared" ref="U2:U26" si="14">IF(Q12_OpEx_Year3=0, "No Expenditures", Q9b_A_PhysicalSpending_Year3/(Q12_OpEx_Year3))</f>
        <v>No Expenditures</v>
      </c>
      <c r="V2" t="str">
        <f t="shared" ref="V2:V26" si="15">IF(Q12_OpEx_Year3=0, "No Expenditures", Q9b_A_CyberSpending_Year3/(Q12_OpEx_Year3))</f>
        <v>No Expenditures</v>
      </c>
      <c r="W2">
        <f t="shared" ref="W2:W26" si="16">Q9b_C_Pct_CSI_External</f>
        <v>0</v>
      </c>
      <c r="X2" t="str">
        <f>'D-Risk'!$AO$25</f>
        <v>Insufficient Data</v>
      </c>
      <c r="Y2" t="str">
        <f>'D-Risk'!$AO$26</f>
        <v>Insufficient Data</v>
      </c>
      <c r="Z2" t="str">
        <f>'D-Risk'!$AO$27</f>
        <v>Uncalculated</v>
      </c>
      <c r="AA2" t="s">
        <v>185</v>
      </c>
      <c r="AB2">
        <f>'2'!D8</f>
        <v>0</v>
      </c>
      <c r="AC2">
        <f>'2'!F8</f>
        <v>0</v>
      </c>
      <c r="AD2">
        <f>'2'!G8</f>
        <v>0</v>
      </c>
      <c r="AE2">
        <f>'2'!H8</f>
        <v>0</v>
      </c>
      <c r="AF2">
        <f>'2'!I8</f>
        <v>0</v>
      </c>
      <c r="AG2">
        <f>'2'!M8</f>
        <v>0</v>
      </c>
      <c r="AH2">
        <f t="shared" ref="AH2:AH11" si="17">Q2_A_TotalAcq</f>
        <v>0</v>
      </c>
    </row>
    <row r="3" spans="1:34"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t="s">
        <v>185</v>
      </c>
      <c r="AB3">
        <f>'2'!D9</f>
        <v>0</v>
      </c>
      <c r="AC3">
        <f>'2'!F9</f>
        <v>0</v>
      </c>
      <c r="AD3">
        <f>'2'!G9</f>
        <v>0</v>
      </c>
      <c r="AE3">
        <f>'2'!H9</f>
        <v>0</v>
      </c>
      <c r="AF3">
        <f>'2'!I9</f>
        <v>0</v>
      </c>
      <c r="AG3">
        <f>'2'!M9</f>
        <v>0</v>
      </c>
      <c r="AH3">
        <f t="shared" si="17"/>
        <v>0</v>
      </c>
    </row>
    <row r="4" spans="1:34"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t="s">
        <v>185</v>
      </c>
      <c r="AB4">
        <f>'2'!D10</f>
        <v>0</v>
      </c>
      <c r="AC4">
        <f>'2'!F10</f>
        <v>0</v>
      </c>
      <c r="AD4">
        <f>'2'!G10</f>
        <v>0</v>
      </c>
      <c r="AE4">
        <f>'2'!H10</f>
        <v>0</v>
      </c>
      <c r="AF4">
        <f>'2'!I10</f>
        <v>0</v>
      </c>
      <c r="AG4">
        <f>'2'!M10</f>
        <v>0</v>
      </c>
      <c r="AH4">
        <f t="shared" si="17"/>
        <v>0</v>
      </c>
    </row>
    <row r="5" spans="1:34"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t="s">
        <v>185</v>
      </c>
      <c r="AB5">
        <f>'2'!D11</f>
        <v>0</v>
      </c>
      <c r="AC5">
        <f>'2'!F11</f>
        <v>0</v>
      </c>
      <c r="AD5">
        <f>'2'!G11</f>
        <v>0</v>
      </c>
      <c r="AE5">
        <f>'2'!H11</f>
        <v>0</v>
      </c>
      <c r="AF5">
        <f>'2'!I11</f>
        <v>0</v>
      </c>
      <c r="AG5">
        <f>'2'!M11</f>
        <v>0</v>
      </c>
      <c r="AH5">
        <f t="shared" si="17"/>
        <v>0</v>
      </c>
    </row>
    <row r="6" spans="1:34"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t="s">
        <v>185</v>
      </c>
      <c r="AB6">
        <f>'2'!D12</f>
        <v>0</v>
      </c>
      <c r="AC6">
        <f>'2'!F12</f>
        <v>0</v>
      </c>
      <c r="AD6">
        <f>'2'!G12</f>
        <v>0</v>
      </c>
      <c r="AE6">
        <f>'2'!H12</f>
        <v>0</v>
      </c>
      <c r="AF6">
        <f>'2'!I12</f>
        <v>0</v>
      </c>
      <c r="AG6">
        <f>'2'!M12</f>
        <v>0</v>
      </c>
      <c r="AH6">
        <f t="shared" si="17"/>
        <v>0</v>
      </c>
    </row>
    <row r="7" spans="1:34"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t="s">
        <v>185</v>
      </c>
      <c r="AB7">
        <f>'2'!D13</f>
        <v>0</v>
      </c>
      <c r="AC7">
        <f>'2'!F13</f>
        <v>0</v>
      </c>
      <c r="AD7">
        <f>'2'!G13</f>
        <v>0</v>
      </c>
      <c r="AE7">
        <f>'2'!H13</f>
        <v>0</v>
      </c>
      <c r="AF7">
        <f>'2'!I13</f>
        <v>0</v>
      </c>
      <c r="AG7">
        <f>'2'!M13</f>
        <v>0</v>
      </c>
      <c r="AH7">
        <f t="shared" si="17"/>
        <v>0</v>
      </c>
    </row>
    <row r="8" spans="1:34"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t="s">
        <v>185</v>
      </c>
      <c r="AB8">
        <f>'2'!D14</f>
        <v>0</v>
      </c>
      <c r="AC8">
        <f>'2'!F14</f>
        <v>0</v>
      </c>
      <c r="AD8">
        <f>'2'!G14</f>
        <v>0</v>
      </c>
      <c r="AE8">
        <f>'2'!H14</f>
        <v>0</v>
      </c>
      <c r="AF8">
        <f>'2'!I14</f>
        <v>0</v>
      </c>
      <c r="AG8">
        <f>'2'!M14</f>
        <v>0</v>
      </c>
      <c r="AH8">
        <f t="shared" si="17"/>
        <v>0</v>
      </c>
    </row>
    <row r="9" spans="1:34"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t="s">
        <v>185</v>
      </c>
      <c r="AB9">
        <f>'2'!D15</f>
        <v>0</v>
      </c>
      <c r="AC9">
        <f>'2'!F15</f>
        <v>0</v>
      </c>
      <c r="AD9">
        <f>'2'!G15</f>
        <v>0</v>
      </c>
      <c r="AE9">
        <f>'2'!H15</f>
        <v>0</v>
      </c>
      <c r="AF9">
        <f>'2'!I15</f>
        <v>0</v>
      </c>
      <c r="AG9">
        <f>'2'!M15</f>
        <v>0</v>
      </c>
      <c r="AH9">
        <f t="shared" si="17"/>
        <v>0</v>
      </c>
    </row>
    <row r="10" spans="1:34"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t="s">
        <v>185</v>
      </c>
      <c r="AB10">
        <f>'2'!D16</f>
        <v>0</v>
      </c>
      <c r="AC10">
        <f>'2'!F16</f>
        <v>0</v>
      </c>
      <c r="AD10">
        <f>'2'!G16</f>
        <v>0</v>
      </c>
      <c r="AE10">
        <f>'2'!H16</f>
        <v>0</v>
      </c>
      <c r="AF10">
        <f>'2'!I16</f>
        <v>0</v>
      </c>
      <c r="AG10">
        <f>'2'!M16</f>
        <v>0</v>
      </c>
      <c r="AH10">
        <f t="shared" si="17"/>
        <v>0</v>
      </c>
    </row>
    <row r="11" spans="1:34"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t="s">
        <v>185</v>
      </c>
      <c r="AB11">
        <f>'2'!D17</f>
        <v>0</v>
      </c>
      <c r="AC11">
        <f>'2'!F17</f>
        <v>0</v>
      </c>
      <c r="AD11">
        <f>'2'!G17</f>
        <v>0</v>
      </c>
      <c r="AE11">
        <f>'2'!H17</f>
        <v>0</v>
      </c>
      <c r="AF11">
        <f>'2'!I17</f>
        <v>0</v>
      </c>
      <c r="AG11">
        <f>'2'!M17</f>
        <v>0</v>
      </c>
      <c r="AH11">
        <f t="shared" si="17"/>
        <v>0</v>
      </c>
    </row>
    <row r="12" spans="1:34"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t="s">
        <v>187</v>
      </c>
      <c r="AB12">
        <f>'2'!D22</f>
        <v>0</v>
      </c>
      <c r="AC12" t="s">
        <v>2099</v>
      </c>
      <c r="AD12">
        <f>'2'!F22</f>
        <v>0</v>
      </c>
      <c r="AE12">
        <f>'2'!H22</f>
        <v>0</v>
      </c>
      <c r="AF12">
        <f>'2'!I22</f>
        <v>0</v>
      </c>
      <c r="AG12">
        <f>'2'!M22</f>
        <v>0</v>
      </c>
      <c r="AH12">
        <f t="shared" ref="AH12:AH26" si="18">Q2_B_TotalJV</f>
        <v>0</v>
      </c>
    </row>
    <row r="13" spans="1:34"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t="s">
        <v>187</v>
      </c>
      <c r="AB13">
        <f>'2'!D23</f>
        <v>0</v>
      </c>
      <c r="AC13" t="s">
        <v>2099</v>
      </c>
      <c r="AD13">
        <f>'2'!F23</f>
        <v>0</v>
      </c>
      <c r="AE13">
        <f>'2'!H23</f>
        <v>0</v>
      </c>
      <c r="AF13">
        <f>'2'!I23</f>
        <v>0</v>
      </c>
      <c r="AG13">
        <f>'2'!M23</f>
        <v>0</v>
      </c>
      <c r="AH13">
        <f t="shared" si="18"/>
        <v>0</v>
      </c>
    </row>
    <row r="14" spans="1:34"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t="s">
        <v>187</v>
      </c>
      <c r="AB14">
        <f>'2'!D24</f>
        <v>0</v>
      </c>
      <c r="AC14" t="s">
        <v>2099</v>
      </c>
      <c r="AD14">
        <f>'2'!F24</f>
        <v>0</v>
      </c>
      <c r="AE14">
        <f>'2'!H24</f>
        <v>0</v>
      </c>
      <c r="AF14">
        <f>'2'!I24</f>
        <v>0</v>
      </c>
      <c r="AG14">
        <f>'2'!M24</f>
        <v>0</v>
      </c>
      <c r="AH14">
        <f t="shared" si="18"/>
        <v>0</v>
      </c>
    </row>
    <row r="15" spans="1:34"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t="s">
        <v>187</v>
      </c>
      <c r="AB15">
        <f>'2'!D25</f>
        <v>0</v>
      </c>
      <c r="AC15" t="s">
        <v>2099</v>
      </c>
      <c r="AD15">
        <f>'2'!F25</f>
        <v>0</v>
      </c>
      <c r="AE15">
        <f>'2'!H25</f>
        <v>0</v>
      </c>
      <c r="AF15">
        <f>'2'!I25</f>
        <v>0</v>
      </c>
      <c r="AG15">
        <f>'2'!M25</f>
        <v>0</v>
      </c>
      <c r="AH15">
        <f t="shared" si="18"/>
        <v>0</v>
      </c>
    </row>
    <row r="16" spans="1:34"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t="s">
        <v>187</v>
      </c>
      <c r="AB16">
        <f>'2'!D26</f>
        <v>0</v>
      </c>
      <c r="AC16" t="s">
        <v>2099</v>
      </c>
      <c r="AD16">
        <f>'2'!F26</f>
        <v>0</v>
      </c>
      <c r="AE16">
        <f>'2'!H26</f>
        <v>0</v>
      </c>
      <c r="AF16">
        <f>'2'!I26</f>
        <v>0</v>
      </c>
      <c r="AG16">
        <f>'2'!M26</f>
        <v>0</v>
      </c>
      <c r="AH16">
        <f t="shared" si="18"/>
        <v>0</v>
      </c>
    </row>
    <row r="17" spans="1:34"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t="s">
        <v>187</v>
      </c>
      <c r="AB17">
        <f>'2'!D27</f>
        <v>0</v>
      </c>
      <c r="AC17" t="s">
        <v>2099</v>
      </c>
      <c r="AD17">
        <f>'2'!F27</f>
        <v>0</v>
      </c>
      <c r="AE17">
        <f>'2'!H27</f>
        <v>0</v>
      </c>
      <c r="AF17">
        <f>'2'!I27</f>
        <v>0</v>
      </c>
      <c r="AG17">
        <f>'2'!M27</f>
        <v>0</v>
      </c>
      <c r="AH17">
        <f t="shared" si="18"/>
        <v>0</v>
      </c>
    </row>
    <row r="18" spans="1:34"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t="s">
        <v>187</v>
      </c>
      <c r="AB18">
        <f>'2'!D28</f>
        <v>0</v>
      </c>
      <c r="AC18" t="s">
        <v>2099</v>
      </c>
      <c r="AD18">
        <f>'2'!F28</f>
        <v>0</v>
      </c>
      <c r="AE18">
        <f>'2'!H28</f>
        <v>0</v>
      </c>
      <c r="AF18">
        <f>'2'!I28</f>
        <v>0</v>
      </c>
      <c r="AG18">
        <f>'2'!M28</f>
        <v>0</v>
      </c>
      <c r="AH18">
        <f t="shared" si="18"/>
        <v>0</v>
      </c>
    </row>
    <row r="19" spans="1:34"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t="s">
        <v>187</v>
      </c>
      <c r="AB19">
        <f>'2'!D29</f>
        <v>0</v>
      </c>
      <c r="AC19" t="s">
        <v>2099</v>
      </c>
      <c r="AD19">
        <f>'2'!F29</f>
        <v>0</v>
      </c>
      <c r="AE19">
        <f>'2'!H29</f>
        <v>0</v>
      </c>
      <c r="AF19">
        <f>'2'!I29</f>
        <v>0</v>
      </c>
      <c r="AG19">
        <f>'2'!M29</f>
        <v>0</v>
      </c>
      <c r="AH19">
        <f t="shared" si="18"/>
        <v>0</v>
      </c>
    </row>
    <row r="20" spans="1:34"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t="s">
        <v>187</v>
      </c>
      <c r="AB20">
        <f>'2'!D30</f>
        <v>0</v>
      </c>
      <c r="AC20" t="s">
        <v>2099</v>
      </c>
      <c r="AD20">
        <f>'2'!F30</f>
        <v>0</v>
      </c>
      <c r="AE20">
        <f>'2'!H30</f>
        <v>0</v>
      </c>
      <c r="AF20">
        <f>'2'!I30</f>
        <v>0</v>
      </c>
      <c r="AG20">
        <f>'2'!M30</f>
        <v>0</v>
      </c>
      <c r="AH20">
        <f t="shared" si="18"/>
        <v>0</v>
      </c>
    </row>
    <row r="21" spans="1:34"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t="s">
        <v>187</v>
      </c>
      <c r="AB21">
        <f>'2'!D31</f>
        <v>0</v>
      </c>
      <c r="AC21" t="s">
        <v>2099</v>
      </c>
      <c r="AD21">
        <f>'2'!F31</f>
        <v>0</v>
      </c>
      <c r="AE21">
        <f>'2'!H31</f>
        <v>0</v>
      </c>
      <c r="AF21">
        <f>'2'!I31</f>
        <v>0</v>
      </c>
      <c r="AG21">
        <f>'2'!M31</f>
        <v>0</v>
      </c>
      <c r="AH21">
        <f t="shared" si="18"/>
        <v>0</v>
      </c>
    </row>
    <row r="22" spans="1:34"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t="s">
        <v>187</v>
      </c>
      <c r="AB22">
        <f>'2'!D32</f>
        <v>0</v>
      </c>
      <c r="AC22" t="s">
        <v>2099</v>
      </c>
      <c r="AD22">
        <f>'2'!F32</f>
        <v>0</v>
      </c>
      <c r="AE22">
        <f>'2'!H32</f>
        <v>0</v>
      </c>
      <c r="AF22">
        <f>'2'!I32</f>
        <v>0</v>
      </c>
      <c r="AG22">
        <f>'2'!M32</f>
        <v>0</v>
      </c>
      <c r="AH22">
        <f t="shared" si="18"/>
        <v>0</v>
      </c>
    </row>
    <row r="23" spans="1:34"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t="s">
        <v>187</v>
      </c>
      <c r="AB23">
        <f>'2'!D33</f>
        <v>0</v>
      </c>
      <c r="AC23" t="s">
        <v>2099</v>
      </c>
      <c r="AD23">
        <f>'2'!F33</f>
        <v>0</v>
      </c>
      <c r="AE23">
        <f>'2'!H33</f>
        <v>0</v>
      </c>
      <c r="AF23">
        <f>'2'!I33</f>
        <v>0</v>
      </c>
      <c r="AG23">
        <f>'2'!M33</f>
        <v>0</v>
      </c>
      <c r="AH23">
        <f t="shared" si="18"/>
        <v>0</v>
      </c>
    </row>
    <row r="24" spans="1:34"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t="s">
        <v>187</v>
      </c>
      <c r="AB24">
        <f>'2'!D34</f>
        <v>0</v>
      </c>
      <c r="AC24" t="s">
        <v>2099</v>
      </c>
      <c r="AD24">
        <f>'2'!F34</f>
        <v>0</v>
      </c>
      <c r="AE24">
        <f>'2'!H34</f>
        <v>0</v>
      </c>
      <c r="AF24">
        <f>'2'!I34</f>
        <v>0</v>
      </c>
      <c r="AG24">
        <f>'2'!M34</f>
        <v>0</v>
      </c>
      <c r="AH24">
        <f t="shared" si="18"/>
        <v>0</v>
      </c>
    </row>
    <row r="25" spans="1:34"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t="s">
        <v>187</v>
      </c>
      <c r="AB25">
        <f>'2'!D35</f>
        <v>0</v>
      </c>
      <c r="AC25" t="s">
        <v>2099</v>
      </c>
      <c r="AD25">
        <f>'2'!F35</f>
        <v>0</v>
      </c>
      <c r="AE25">
        <f>'2'!H35</f>
        <v>0</v>
      </c>
      <c r="AF25">
        <f>'2'!I35</f>
        <v>0</v>
      </c>
      <c r="AG25">
        <f>'2'!M35</f>
        <v>0</v>
      </c>
      <c r="AH25">
        <f t="shared" si="18"/>
        <v>0</v>
      </c>
    </row>
    <row r="26" spans="1:34"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t="s">
        <v>187</v>
      </c>
      <c r="AB26">
        <f>'2'!D36</f>
        <v>0</v>
      </c>
      <c r="AC26" t="s">
        <v>2099</v>
      </c>
      <c r="AD26">
        <f>'2'!F36</f>
        <v>0</v>
      </c>
      <c r="AE26">
        <f>'2'!H36</f>
        <v>0</v>
      </c>
      <c r="AF26">
        <f>'2'!I36</f>
        <v>0</v>
      </c>
      <c r="AG26">
        <f>'2'!M36</f>
        <v>0</v>
      </c>
      <c r="AH26">
        <f t="shared" si="18"/>
        <v>0</v>
      </c>
    </row>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2"/>
  <sheetViews>
    <sheetView topLeftCell="Q1" zoomScale="70" zoomScaleNormal="70" workbookViewId="0">
      <selection activeCell="C7" sqref="C7:D7"/>
    </sheetView>
  </sheetViews>
  <sheetFormatPr defaultRowHeight="15" x14ac:dyDescent="0.25"/>
  <sheetData>
    <row r="1" spans="1:54"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2100</v>
      </c>
      <c r="AB1" t="s">
        <v>2101</v>
      </c>
      <c r="AC1" t="s">
        <v>2102</v>
      </c>
      <c r="AD1" t="s">
        <v>2103</v>
      </c>
      <c r="AE1" t="s">
        <v>2104</v>
      </c>
      <c r="AF1" t="s">
        <v>2105</v>
      </c>
      <c r="AG1" t="s">
        <v>2106</v>
      </c>
      <c r="AH1" t="s">
        <v>2107</v>
      </c>
      <c r="AI1" t="s">
        <v>2108</v>
      </c>
      <c r="AJ1" t="s">
        <v>2109</v>
      </c>
      <c r="AK1" t="s">
        <v>2110</v>
      </c>
      <c r="AL1" t="s">
        <v>2111</v>
      </c>
      <c r="AM1" t="s">
        <v>2112</v>
      </c>
      <c r="AN1" t="s">
        <v>2113</v>
      </c>
      <c r="AO1" t="s">
        <v>2114</v>
      </c>
      <c r="AP1" t="s">
        <v>2115</v>
      </c>
      <c r="AQ1" t="s">
        <v>2116</v>
      </c>
      <c r="AR1" t="s">
        <v>2117</v>
      </c>
      <c r="AS1" t="s">
        <v>2118</v>
      </c>
      <c r="AT1" t="s">
        <v>2119</v>
      </c>
      <c r="AU1" t="s">
        <v>2120</v>
      </c>
      <c r="AV1" t="s">
        <v>2121</v>
      </c>
      <c r="AW1" t="s">
        <v>2122</v>
      </c>
      <c r="AX1" t="s">
        <v>2123</v>
      </c>
      <c r="AY1" t="s">
        <v>2124</v>
      </c>
      <c r="AZ1" t="s">
        <v>2125</v>
      </c>
      <c r="BA1" t="s">
        <v>2126</v>
      </c>
      <c r="BB1" t="s">
        <v>2127</v>
      </c>
    </row>
    <row r="2" spans="1:54" x14ac:dyDescent="0.25">
      <c r="A2">
        <f>Q_RP_B_DSSCAGE_01</f>
        <v>0</v>
      </c>
      <c r="B2">
        <f>Q1a_A_LocationName</f>
        <v>0</v>
      </c>
      <c r="C2">
        <f>Q1a_A_LocOrgName</f>
        <v>0</v>
      </c>
      <c r="D2">
        <f>Q1a_B_Parent1_Name</f>
        <v>0</v>
      </c>
      <c r="E2">
        <f>Q_RP_A_MultiResponse</f>
        <v>0</v>
      </c>
      <c r="F2">
        <f>'D-RepLevel'!$F$2</f>
        <v>0</v>
      </c>
      <c r="G2">
        <f>'D-RepLevel'!$G$2</f>
        <v>0</v>
      </c>
      <c r="H2">
        <f>Q1a_A_OnlyLoc_YN</f>
        <v>0</v>
      </c>
      <c r="I2" t="str">
        <f>IF(ISERROR(INDEX('1b'!$C$5:$C$21, MATCH("Primary Business Line", '1b'!$H$5:$H$21, FALSE), 1)), "None Selected", INDEX('1b'!$C$5:$C$21, MATCH("Primary Business Line", '1b'!$H$5:$H$21, FALSE), 1))</f>
        <v>None Selected</v>
      </c>
      <c r="J2">
        <f>COUNTIF($AA$2:$AY$2, "Yes")</f>
        <v>0</v>
      </c>
      <c r="K2">
        <f>COUNTIF('4a'!$E$6:$E$29, "Direct")+COUNTIF('4a'!$E$6:$E$29, "Indirect")+COUNTIF('4a'!$E$6:$E$29, "Both")</f>
        <v>0</v>
      </c>
      <c r="L2">
        <f>Q4b_A_NumUSGPrograms</f>
        <v>0</v>
      </c>
      <c r="M2">
        <f>Q6_A_Employees_Year3</f>
        <v>0</v>
      </c>
      <c r="N2">
        <f>Q6_B_Employee_H1B_Total+Q6_B_Employee_H2B_Total+Q6_B_Employee_F1_Total+Q6_B_Employee_GreenCard_Total+Q6_B_Employee_Other_Total</f>
        <v>0</v>
      </c>
      <c r="O2">
        <f>Year3</f>
        <v>2015</v>
      </c>
      <c r="P2">
        <f>Q7_A_TotalSales_US_Year3+Q7_A_TotalSales_NonUS_Year3</f>
        <v>0</v>
      </c>
      <c r="Q2">
        <f>Q7_B_DefSales_US_Year3_Pct*Q7_A_TotalSales_US_Year3+Q7_B_DefSales_NonUS_Year3_Pct*Q7_A_TotalSales_NonUS_Year3</f>
        <v>0</v>
      </c>
      <c r="R2">
        <f>Q9a_B_Physical_Year3</f>
        <v>0</v>
      </c>
      <c r="S2">
        <f>Q9a_B_Cyber_Year3</f>
        <v>0</v>
      </c>
      <c r="T2">
        <f>COUNTIF('9a'!$K$22:$K$32, "Yes")+COUNTIF('9a'!$O$22:$O$32, "Yes")</f>
        <v>0</v>
      </c>
      <c r="U2" t="str">
        <f>IF(Q12_OpEx_Year3=0, "No Expenditures", Q9b_A_PhysicalSpending_Year3/(Q12_OpEx_Year3))</f>
        <v>No Expenditures</v>
      </c>
      <c r="V2" t="str">
        <f>IF(Q12_OpEx_Year3=0, "No Expenditures", Q9b_A_CyberSpending_Year3/(Q12_OpEx_Year3))</f>
        <v>No Expenditures</v>
      </c>
      <c r="W2">
        <f>Q9b_C_Pct_CSI_External</f>
        <v>0</v>
      </c>
      <c r="X2" t="str">
        <f>'D-Risk'!$AO$25</f>
        <v>Insufficient Data</v>
      </c>
      <c r="Y2" t="str">
        <f>'D-Risk'!$AO$26</f>
        <v>Insufficient Data</v>
      </c>
      <c r="Z2" t="str">
        <f>'D-Risk'!$AO$27</f>
        <v>Uncalculated</v>
      </c>
      <c r="AA2">
        <f>Q3a_A_RawMat</f>
        <v>0</v>
      </c>
      <c r="AB2">
        <f>Q3a_B_Electronics</f>
        <v>0</v>
      </c>
      <c r="AC2">
        <f>Q3a_C_MfgEquip</f>
        <v>0</v>
      </c>
      <c r="AD2">
        <f>Q3a_D_Lasers</f>
        <v>0</v>
      </c>
      <c r="AE2">
        <f>Q3a_E_DirectedEnergy</f>
        <v>0</v>
      </c>
      <c r="AF2">
        <f>Q3a_F_Optics</f>
        <v>0</v>
      </c>
      <c r="AG2">
        <f>Q3a_G_AcousticSensors</f>
        <v>0</v>
      </c>
      <c r="AH2">
        <f>Q3a_H_Positioning</f>
        <v>0</v>
      </c>
      <c r="AI2">
        <f>Q3a_I_Radars</f>
        <v>0</v>
      </c>
      <c r="AJ2">
        <f>Q3a_J_SigControl</f>
        <v>0</v>
      </c>
      <c r="AK2">
        <f>Q3a_K_Aero</f>
        <v>0</v>
      </c>
      <c r="AL2">
        <f>Q3a_L_Space</f>
        <v>0</v>
      </c>
      <c r="AM2">
        <f>Q3a_M_Marine</f>
        <v>0</v>
      </c>
      <c r="AN2">
        <f>Q3a_N_Ground</f>
        <v>0</v>
      </c>
      <c r="AO2">
        <f>Q3a_O_Armaments</f>
        <v>0</v>
      </c>
      <c r="AP2">
        <f>Q3a_P_EnergySystems</f>
        <v>0</v>
      </c>
      <c r="AQ2">
        <f>Q3a_Q_Nuclear</f>
        <v>0</v>
      </c>
      <c r="AR2">
        <f>Q3a_R_Bio</f>
        <v>0</v>
      </c>
      <c r="AS2">
        <f>Q3a_S_Chem</f>
        <v>0</v>
      </c>
      <c r="AT2">
        <f>Q3a_T_Emerging</f>
        <v>0</v>
      </c>
      <c r="AU2">
        <f>Q3a_U_Agri</f>
        <v>0</v>
      </c>
      <c r="AV2">
        <f>Q3a_V_Medical</f>
        <v>0</v>
      </c>
      <c r="AW2">
        <f>Q3a_W_C4</f>
        <v>0</v>
      </c>
      <c r="AX2">
        <f>Q3a_X_Software</f>
        <v>0</v>
      </c>
      <c r="AY2">
        <f>Q3a_Y_Services</f>
        <v>0</v>
      </c>
      <c r="AZ2">
        <f>Q3g_PrimaryProduct</f>
        <v>0</v>
      </c>
      <c r="BA2">
        <f>Q3g_Dependent_YN</f>
        <v>0</v>
      </c>
      <c r="BB2">
        <f>Q3g_Dependent_Explain</f>
        <v>0</v>
      </c>
    </row>
  </sheetData>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3"/>
  <sheetViews>
    <sheetView zoomScale="70" zoomScaleNormal="70" workbookViewId="0">
      <selection activeCell="C7" sqref="C7:D7"/>
    </sheetView>
  </sheetViews>
  <sheetFormatPr defaultRowHeight="15" x14ac:dyDescent="0.25"/>
  <sheetData>
    <row r="1" spans="1:3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2128</v>
      </c>
      <c r="AB1" t="s">
        <v>2129</v>
      </c>
      <c r="AC1" t="s">
        <v>2130</v>
      </c>
      <c r="AD1" t="s">
        <v>237</v>
      </c>
      <c r="AE1" t="s">
        <v>2131</v>
      </c>
      <c r="AF1" t="s">
        <v>239</v>
      </c>
      <c r="AG1" t="s">
        <v>2132</v>
      </c>
      <c r="AH1" t="s">
        <v>2133</v>
      </c>
      <c r="AI1" t="s">
        <v>2134</v>
      </c>
    </row>
    <row r="2" spans="1:35" x14ac:dyDescent="0.25">
      <c r="A2">
        <f t="shared" ref="A2:A33" si="0">Q_RP_B_DSSCAGE_01</f>
        <v>0</v>
      </c>
      <c r="B2">
        <f t="shared" ref="B2:B33" si="1">Q1a_A_LocationName</f>
        <v>0</v>
      </c>
      <c r="C2">
        <f t="shared" ref="C2:C33" si="2">Q1a_A_LocOrgName</f>
        <v>0</v>
      </c>
      <c r="D2">
        <f t="shared" ref="D2:D33" si="3">Q1a_B_Parent1_Name</f>
        <v>0</v>
      </c>
      <c r="E2">
        <f t="shared" ref="E2:E33" si="4">Q_RP_A_MultiResponse</f>
        <v>0</v>
      </c>
      <c r="F2">
        <f>'D-RepLevel'!$F$2</f>
        <v>0</v>
      </c>
      <c r="G2">
        <f>'D-RepLevel'!$G$2</f>
        <v>0</v>
      </c>
      <c r="H2">
        <f t="shared" ref="H2:H33"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3" si="6">Q4b_A_NumUSGPrograms</f>
        <v>0</v>
      </c>
      <c r="M2">
        <f t="shared" ref="M2:M33" si="7">Q6_A_Employees_Year3</f>
        <v>0</v>
      </c>
      <c r="N2">
        <f t="shared" ref="N2:N33" si="8">Q6_B_Employee_H1B_Total+Q6_B_Employee_H2B_Total+Q6_B_Employee_F1_Total+Q6_B_Employee_GreenCard_Total+Q6_B_Employee_Other_Total</f>
        <v>0</v>
      </c>
      <c r="O2">
        <f t="shared" ref="O2:O33" si="9">Year3</f>
        <v>2015</v>
      </c>
      <c r="P2">
        <f t="shared" ref="P2:P33" si="10">Q7_A_TotalSales_US_Year3+Q7_A_TotalSales_NonUS_Year3</f>
        <v>0</v>
      </c>
      <c r="Q2">
        <f t="shared" ref="Q2:Q33" si="11">Q7_B_DefSales_US_Year3_Pct*Q7_A_TotalSales_US_Year3+Q7_B_DefSales_NonUS_Year3_Pct*Q7_A_TotalSales_NonUS_Year3</f>
        <v>0</v>
      </c>
      <c r="R2">
        <f t="shared" ref="R2:R33" si="12">Q9a_B_Physical_Year3</f>
        <v>0</v>
      </c>
      <c r="S2">
        <f t="shared" ref="S2:S33" si="13">Q9a_B_Cyber_Year3</f>
        <v>0</v>
      </c>
      <c r="T2">
        <f>COUNTIF('9a'!$K$22:$K$32, "Yes")+COUNTIF('9a'!$O$22:$O$32, "Yes")</f>
        <v>0</v>
      </c>
      <c r="U2" t="str">
        <f t="shared" ref="U2:U33" si="14">IF(Q12_OpEx_Year3=0, "No Expenditures", Q9b_A_PhysicalSpending_Year3/(Q12_OpEx_Year3))</f>
        <v>No Expenditures</v>
      </c>
      <c r="V2" t="str">
        <f t="shared" ref="V2:V33" si="15">IF(Q12_OpEx_Year3=0, "No Expenditures", Q9b_A_CyberSpending_Year3/(Q12_OpEx_Year3))</f>
        <v>No Expenditures</v>
      </c>
      <c r="W2">
        <f t="shared" ref="W2:W33" si="16">Q9b_C_Pct_CSI_External</f>
        <v>0</v>
      </c>
      <c r="X2" t="str">
        <f>'D-Risk'!$AO$25</f>
        <v>Insufficient Data</v>
      </c>
      <c r="Y2" t="str">
        <f>'D-Risk'!$AO$26</f>
        <v>Insufficient Data</v>
      </c>
      <c r="Z2" t="str">
        <f>'D-Risk'!$AO$27</f>
        <v>Uncalculated</v>
      </c>
      <c r="AA2" t="s">
        <v>790</v>
      </c>
      <c r="AB2" t="s">
        <v>1083</v>
      </c>
      <c r="AC2" t="s">
        <v>1084</v>
      </c>
      <c r="AD2">
        <f>Q3b_A1_Participation</f>
        <v>0</v>
      </c>
      <c r="AE2">
        <f>'3b'!D8</f>
        <v>0</v>
      </c>
      <c r="AF2">
        <f>'3b'!E8</f>
        <v>0</v>
      </c>
      <c r="AG2">
        <f>'3b'!F8</f>
        <v>0</v>
      </c>
      <c r="AH2">
        <f>'3b'!G8</f>
        <v>0</v>
      </c>
      <c r="AI2">
        <f>'3b'!H8</f>
        <v>0</v>
      </c>
    </row>
    <row r="3" spans="1:35"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t="s">
        <v>790</v>
      </c>
      <c r="AB3" t="s">
        <v>1085</v>
      </c>
      <c r="AC3" t="s">
        <v>1086</v>
      </c>
      <c r="AD3">
        <f>Q3b_A2_Participation</f>
        <v>0</v>
      </c>
      <c r="AE3">
        <f>'3b'!D9</f>
        <v>0</v>
      </c>
      <c r="AF3">
        <f>'3b'!E9</f>
        <v>0</v>
      </c>
      <c r="AG3">
        <f>'3b'!F9</f>
        <v>0</v>
      </c>
      <c r="AH3">
        <f>'3b'!G9</f>
        <v>0</v>
      </c>
      <c r="AI3">
        <f>'3b'!H9</f>
        <v>0</v>
      </c>
    </row>
    <row r="4" spans="1:35"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t="s">
        <v>790</v>
      </c>
      <c r="AB4" t="s">
        <v>1087</v>
      </c>
      <c r="AC4" t="s">
        <v>1088</v>
      </c>
      <c r="AD4">
        <f>Q3b_A3_Participation</f>
        <v>0</v>
      </c>
      <c r="AE4">
        <f>'3b'!D10</f>
        <v>0</v>
      </c>
      <c r="AF4">
        <f>'3b'!E10</f>
        <v>0</v>
      </c>
      <c r="AG4">
        <f>'3b'!F10</f>
        <v>0</v>
      </c>
      <c r="AH4">
        <f>'3b'!G10</f>
        <v>0</v>
      </c>
      <c r="AI4">
        <f>'3b'!H10</f>
        <v>0</v>
      </c>
    </row>
    <row r="5" spans="1:35"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t="s">
        <v>790</v>
      </c>
      <c r="AB5" t="s">
        <v>1089</v>
      </c>
      <c r="AC5" t="s">
        <v>1090</v>
      </c>
      <c r="AD5">
        <f>Q3b_A4_Participation</f>
        <v>0</v>
      </c>
      <c r="AE5">
        <f>'3b'!D11</f>
        <v>0</v>
      </c>
      <c r="AF5">
        <f>'3b'!E11</f>
        <v>0</v>
      </c>
      <c r="AG5">
        <f>'3b'!F11</f>
        <v>0</v>
      </c>
      <c r="AH5">
        <f>'3b'!G11</f>
        <v>0</v>
      </c>
      <c r="AI5">
        <f>'3b'!H11</f>
        <v>0</v>
      </c>
    </row>
    <row r="6" spans="1:35"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t="s">
        <v>790</v>
      </c>
      <c r="AB6" t="s">
        <v>1091</v>
      </c>
      <c r="AC6" t="s">
        <v>1092</v>
      </c>
      <c r="AD6">
        <f>Q3b_A5_Participation</f>
        <v>0</v>
      </c>
      <c r="AE6">
        <f>'3b'!D12</f>
        <v>0</v>
      </c>
      <c r="AF6">
        <f>'3b'!E12</f>
        <v>0</v>
      </c>
      <c r="AG6">
        <f>'3b'!F12</f>
        <v>0</v>
      </c>
      <c r="AH6">
        <f>'3b'!G12</f>
        <v>0</v>
      </c>
      <c r="AI6">
        <f>'3b'!H12</f>
        <v>0</v>
      </c>
    </row>
    <row r="7" spans="1:35"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t="s">
        <v>790</v>
      </c>
      <c r="AB7" t="s">
        <v>1093</v>
      </c>
      <c r="AC7" t="s">
        <v>1094</v>
      </c>
      <c r="AD7">
        <f>Q3b_A6_Participation</f>
        <v>0</v>
      </c>
      <c r="AE7">
        <f>'3b'!D13</f>
        <v>0</v>
      </c>
      <c r="AF7">
        <f>'3b'!E13</f>
        <v>0</v>
      </c>
      <c r="AG7">
        <f>'3b'!F13</f>
        <v>0</v>
      </c>
      <c r="AH7">
        <f>'3b'!G13</f>
        <v>0</v>
      </c>
      <c r="AI7">
        <f>'3b'!H13</f>
        <v>0</v>
      </c>
    </row>
    <row r="8" spans="1:35"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t="s">
        <v>792</v>
      </c>
      <c r="AB8" t="s">
        <v>1095</v>
      </c>
      <c r="AC8" t="s">
        <v>1096</v>
      </c>
      <c r="AD8">
        <f>Q3b_B1_Participation</f>
        <v>0</v>
      </c>
      <c r="AE8">
        <f>'3b'!D16</f>
        <v>0</v>
      </c>
      <c r="AF8">
        <f>'3b'!E16</f>
        <v>0</v>
      </c>
      <c r="AG8">
        <f>'3b'!F16</f>
        <v>0</v>
      </c>
      <c r="AH8">
        <f>'3b'!G16</f>
        <v>0</v>
      </c>
      <c r="AI8">
        <f>'3b'!H16</f>
        <v>0</v>
      </c>
    </row>
    <row r="9" spans="1:35"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t="s">
        <v>792</v>
      </c>
      <c r="AB9" t="s">
        <v>1097</v>
      </c>
      <c r="AC9" t="s">
        <v>1098</v>
      </c>
      <c r="AD9">
        <f>Q3b_B2_Participation</f>
        <v>0</v>
      </c>
      <c r="AE9">
        <f>'3b'!D17</f>
        <v>0</v>
      </c>
      <c r="AF9">
        <f>'3b'!E17</f>
        <v>0</v>
      </c>
      <c r="AG9">
        <f>'3b'!F17</f>
        <v>0</v>
      </c>
      <c r="AH9">
        <f>'3b'!G17</f>
        <v>0</v>
      </c>
      <c r="AI9">
        <f>'3b'!H17</f>
        <v>0</v>
      </c>
    </row>
    <row r="10" spans="1:35"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t="s">
        <v>792</v>
      </c>
      <c r="AB10" t="s">
        <v>1099</v>
      </c>
      <c r="AC10" t="s">
        <v>1100</v>
      </c>
      <c r="AD10">
        <f>Q3b_B3_Participation</f>
        <v>0</v>
      </c>
      <c r="AE10">
        <f>'3b'!D18</f>
        <v>0</v>
      </c>
      <c r="AF10">
        <f>'3b'!E18</f>
        <v>0</v>
      </c>
      <c r="AG10">
        <f>'3b'!F18</f>
        <v>0</v>
      </c>
      <c r="AH10">
        <f>'3b'!G18</f>
        <v>0</v>
      </c>
      <c r="AI10">
        <f>'3b'!H18</f>
        <v>0</v>
      </c>
    </row>
    <row r="11" spans="1:35"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t="s">
        <v>792</v>
      </c>
      <c r="AB11" t="s">
        <v>1101</v>
      </c>
      <c r="AC11" t="s">
        <v>1102</v>
      </c>
      <c r="AD11">
        <f>Q3b_B4_Participation</f>
        <v>0</v>
      </c>
      <c r="AE11">
        <f>'3b'!D19</f>
        <v>0</v>
      </c>
      <c r="AF11">
        <f>'3b'!E19</f>
        <v>0</v>
      </c>
      <c r="AG11">
        <f>'3b'!F19</f>
        <v>0</v>
      </c>
      <c r="AH11">
        <f>'3b'!G19</f>
        <v>0</v>
      </c>
      <c r="AI11">
        <f>'3b'!H19</f>
        <v>0</v>
      </c>
    </row>
    <row r="12" spans="1:35"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t="s">
        <v>792</v>
      </c>
      <c r="AB12" t="s">
        <v>1103</v>
      </c>
      <c r="AC12" t="s">
        <v>1104</v>
      </c>
      <c r="AD12">
        <f>Q3b_B5_Participation</f>
        <v>0</v>
      </c>
      <c r="AE12">
        <f>'3b'!D20</f>
        <v>0</v>
      </c>
      <c r="AF12">
        <f>'3b'!E20</f>
        <v>0</v>
      </c>
      <c r="AG12">
        <f>'3b'!F20</f>
        <v>0</v>
      </c>
      <c r="AH12">
        <f>'3b'!G20</f>
        <v>0</v>
      </c>
      <c r="AI12">
        <f>'3b'!H20</f>
        <v>0</v>
      </c>
    </row>
    <row r="13" spans="1:35"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t="s">
        <v>792</v>
      </c>
      <c r="AB13" t="s">
        <v>1105</v>
      </c>
      <c r="AC13" t="s">
        <v>1106</v>
      </c>
      <c r="AD13">
        <f>Q3b_B6_Participation</f>
        <v>0</v>
      </c>
      <c r="AE13">
        <f>'3b'!D21</f>
        <v>0</v>
      </c>
      <c r="AF13">
        <f>'3b'!E21</f>
        <v>0</v>
      </c>
      <c r="AG13">
        <f>'3b'!F21</f>
        <v>0</v>
      </c>
      <c r="AH13">
        <f>'3b'!G21</f>
        <v>0</v>
      </c>
      <c r="AI13">
        <f>'3b'!H21</f>
        <v>0</v>
      </c>
    </row>
    <row r="14" spans="1:35"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t="s">
        <v>792</v>
      </c>
      <c r="AB14" t="s">
        <v>1107</v>
      </c>
      <c r="AC14" t="s">
        <v>1108</v>
      </c>
      <c r="AD14">
        <f>Q3b_B7_Participation</f>
        <v>0</v>
      </c>
      <c r="AE14">
        <f>'3b'!D22</f>
        <v>0</v>
      </c>
      <c r="AF14">
        <f>'3b'!E22</f>
        <v>0</v>
      </c>
      <c r="AG14">
        <f>'3b'!F22</f>
        <v>0</v>
      </c>
      <c r="AH14">
        <f>'3b'!G22</f>
        <v>0</v>
      </c>
      <c r="AI14">
        <f>'3b'!H22</f>
        <v>0</v>
      </c>
    </row>
    <row r="15" spans="1:35"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t="s">
        <v>792</v>
      </c>
      <c r="AB15" t="s">
        <v>1109</v>
      </c>
      <c r="AC15" t="s">
        <v>1110</v>
      </c>
      <c r="AD15">
        <f>Q3b_B8_Participation</f>
        <v>0</v>
      </c>
      <c r="AE15">
        <f>'3b'!D23</f>
        <v>0</v>
      </c>
      <c r="AF15">
        <f>'3b'!E23</f>
        <v>0</v>
      </c>
      <c r="AG15">
        <f>'3b'!F23</f>
        <v>0</v>
      </c>
      <c r="AH15">
        <f>'3b'!G23</f>
        <v>0</v>
      </c>
      <c r="AI15">
        <f>'3b'!H23</f>
        <v>0</v>
      </c>
    </row>
    <row r="16" spans="1:35"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t="s">
        <v>792</v>
      </c>
      <c r="AB16" t="s">
        <v>1111</v>
      </c>
      <c r="AC16" t="s">
        <v>1112</v>
      </c>
      <c r="AD16">
        <f>Q3b_B9_Participation</f>
        <v>0</v>
      </c>
      <c r="AE16">
        <f>'3b'!D24</f>
        <v>0</v>
      </c>
      <c r="AF16">
        <f>'3b'!E24</f>
        <v>0</v>
      </c>
      <c r="AG16">
        <f>'3b'!F24</f>
        <v>0</v>
      </c>
      <c r="AH16">
        <f>'3b'!G24</f>
        <v>0</v>
      </c>
      <c r="AI16">
        <f>'3b'!H24</f>
        <v>0</v>
      </c>
    </row>
    <row r="17" spans="1:35"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t="s">
        <v>792</v>
      </c>
      <c r="AB17" t="s">
        <v>1113</v>
      </c>
      <c r="AC17" t="s">
        <v>1114</v>
      </c>
      <c r="AD17">
        <f>Q3b_B10_Participation</f>
        <v>0</v>
      </c>
      <c r="AE17">
        <f>'3b'!D25</f>
        <v>0</v>
      </c>
      <c r="AF17">
        <f>'3b'!E25</f>
        <v>0</v>
      </c>
      <c r="AG17">
        <f>'3b'!F25</f>
        <v>0</v>
      </c>
      <c r="AH17">
        <f>'3b'!G25</f>
        <v>0</v>
      </c>
      <c r="AI17">
        <f>'3b'!H25</f>
        <v>0</v>
      </c>
    </row>
    <row r="18" spans="1:35"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t="s">
        <v>792</v>
      </c>
      <c r="AB18" t="s">
        <v>1115</v>
      </c>
      <c r="AC18" t="s">
        <v>1116</v>
      </c>
      <c r="AD18">
        <f>Q3b_B11_Participation</f>
        <v>0</v>
      </c>
      <c r="AE18">
        <f>'3b'!D26</f>
        <v>0</v>
      </c>
      <c r="AF18">
        <f>'3b'!E26</f>
        <v>0</v>
      </c>
      <c r="AG18">
        <f>'3b'!F26</f>
        <v>0</v>
      </c>
      <c r="AH18">
        <f>'3b'!G26</f>
        <v>0</v>
      </c>
      <c r="AI18">
        <f>'3b'!H26</f>
        <v>0</v>
      </c>
    </row>
    <row r="19" spans="1:35"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t="s">
        <v>792</v>
      </c>
      <c r="AB19" t="s">
        <v>1117</v>
      </c>
      <c r="AC19" t="s">
        <v>1118</v>
      </c>
      <c r="AD19">
        <f>Q3b_B12_Participation</f>
        <v>0</v>
      </c>
      <c r="AE19">
        <f>'3b'!D27</f>
        <v>0</v>
      </c>
      <c r="AF19">
        <f>'3b'!E27</f>
        <v>0</v>
      </c>
      <c r="AG19">
        <f>'3b'!F27</f>
        <v>0</v>
      </c>
      <c r="AH19">
        <f>'3b'!G27</f>
        <v>0</v>
      </c>
      <c r="AI19">
        <f>'3b'!H27</f>
        <v>0</v>
      </c>
    </row>
    <row r="20" spans="1:35"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t="s">
        <v>792</v>
      </c>
      <c r="AB20" t="s">
        <v>1119</v>
      </c>
      <c r="AC20" t="s">
        <v>1120</v>
      </c>
      <c r="AD20">
        <f>Q3b_B13_Participation</f>
        <v>0</v>
      </c>
      <c r="AE20">
        <f>'3b'!D28</f>
        <v>0</v>
      </c>
      <c r="AF20">
        <f>'3b'!E28</f>
        <v>0</v>
      </c>
      <c r="AG20">
        <f>'3b'!F28</f>
        <v>0</v>
      </c>
      <c r="AH20">
        <f>'3b'!G28</f>
        <v>0</v>
      </c>
      <c r="AI20">
        <f>'3b'!H28</f>
        <v>0</v>
      </c>
    </row>
    <row r="21" spans="1:35"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t="s">
        <v>792</v>
      </c>
      <c r="AB21" t="s">
        <v>1121</v>
      </c>
      <c r="AC21" t="s">
        <v>1122</v>
      </c>
      <c r="AD21">
        <f>Q3b_B14_Participation</f>
        <v>0</v>
      </c>
      <c r="AE21">
        <f>'3b'!D29</f>
        <v>0</v>
      </c>
      <c r="AF21">
        <f>'3b'!E29</f>
        <v>0</v>
      </c>
      <c r="AG21">
        <f>'3b'!F29</f>
        <v>0</v>
      </c>
      <c r="AH21">
        <f>'3b'!G29</f>
        <v>0</v>
      </c>
      <c r="AI21">
        <f>'3b'!H29</f>
        <v>0</v>
      </c>
    </row>
    <row r="22" spans="1:35"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t="s">
        <v>792</v>
      </c>
      <c r="AB22" t="s">
        <v>1123</v>
      </c>
      <c r="AC22" t="s">
        <v>1124</v>
      </c>
      <c r="AD22">
        <f>Q3b_B15_Participation</f>
        <v>0</v>
      </c>
      <c r="AE22">
        <f>'3b'!D30</f>
        <v>0</v>
      </c>
      <c r="AF22">
        <f>'3b'!E30</f>
        <v>0</v>
      </c>
      <c r="AG22">
        <f>'3b'!F30</f>
        <v>0</v>
      </c>
      <c r="AH22">
        <f>'3b'!G30</f>
        <v>0</v>
      </c>
      <c r="AI22">
        <f>'3b'!H30</f>
        <v>0</v>
      </c>
    </row>
    <row r="23" spans="1:35"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t="s">
        <v>792</v>
      </c>
      <c r="AB23" t="s">
        <v>1125</v>
      </c>
      <c r="AC23" t="s">
        <v>1126</v>
      </c>
      <c r="AD23">
        <f>Q3b_B16_Participation</f>
        <v>0</v>
      </c>
      <c r="AE23">
        <f>'3b'!D31</f>
        <v>0</v>
      </c>
      <c r="AF23">
        <f>'3b'!E31</f>
        <v>0</v>
      </c>
      <c r="AG23">
        <f>'3b'!F31</f>
        <v>0</v>
      </c>
      <c r="AH23">
        <f>'3b'!G31</f>
        <v>0</v>
      </c>
      <c r="AI23">
        <f>'3b'!H31</f>
        <v>0</v>
      </c>
    </row>
    <row r="24" spans="1:35"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t="s">
        <v>792</v>
      </c>
      <c r="AB24" t="s">
        <v>1127</v>
      </c>
      <c r="AC24" t="s">
        <v>1128</v>
      </c>
      <c r="AD24">
        <f>Q3b_B17_Participation</f>
        <v>0</v>
      </c>
      <c r="AE24">
        <f>'3b'!D32</f>
        <v>0</v>
      </c>
      <c r="AF24">
        <f>'3b'!E32</f>
        <v>0</v>
      </c>
      <c r="AG24">
        <f>'3b'!F32</f>
        <v>0</v>
      </c>
      <c r="AH24">
        <f>'3b'!G32</f>
        <v>0</v>
      </c>
      <c r="AI24">
        <f>'3b'!H32</f>
        <v>0</v>
      </c>
    </row>
    <row r="25" spans="1:35"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t="s">
        <v>794</v>
      </c>
      <c r="AB25" t="s">
        <v>1129</v>
      </c>
      <c r="AC25" t="s">
        <v>1130</v>
      </c>
      <c r="AD25">
        <f>Q3b_C1_Participation</f>
        <v>0</v>
      </c>
      <c r="AE25">
        <f>'3b'!D35</f>
        <v>0</v>
      </c>
      <c r="AF25">
        <f>'3b'!E35</f>
        <v>0</v>
      </c>
      <c r="AG25">
        <f>'3b'!F35</f>
        <v>0</v>
      </c>
      <c r="AH25">
        <f>'3b'!G35</f>
        <v>0</v>
      </c>
      <c r="AI25">
        <f>'3b'!H35</f>
        <v>0</v>
      </c>
    </row>
    <row r="26" spans="1:35"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t="s">
        <v>794</v>
      </c>
      <c r="AB26" t="s">
        <v>1131</v>
      </c>
      <c r="AC26" t="s">
        <v>1132</v>
      </c>
      <c r="AD26">
        <f>Q3b_C2_Participation</f>
        <v>0</v>
      </c>
      <c r="AE26">
        <f>'3b'!D36</f>
        <v>0</v>
      </c>
      <c r="AF26">
        <f>'3b'!E36</f>
        <v>0</v>
      </c>
      <c r="AG26">
        <f>'3b'!F36</f>
        <v>0</v>
      </c>
      <c r="AH26">
        <f>'3b'!G36</f>
        <v>0</v>
      </c>
      <c r="AI26">
        <f>'3b'!H36</f>
        <v>0</v>
      </c>
    </row>
    <row r="27" spans="1:35"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t="s">
        <v>794</v>
      </c>
      <c r="AB27" t="s">
        <v>1133</v>
      </c>
      <c r="AC27" t="s">
        <v>1134</v>
      </c>
      <c r="AD27">
        <f>Q3b_C3_Participation</f>
        <v>0</v>
      </c>
      <c r="AE27">
        <f>'3b'!D37</f>
        <v>0</v>
      </c>
      <c r="AF27">
        <f>'3b'!E37</f>
        <v>0</v>
      </c>
      <c r="AG27">
        <f>'3b'!F37</f>
        <v>0</v>
      </c>
      <c r="AH27">
        <f>'3b'!G37</f>
        <v>0</v>
      </c>
      <c r="AI27">
        <f>'3b'!H37</f>
        <v>0</v>
      </c>
    </row>
    <row r="28" spans="1:35"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t="s">
        <v>794</v>
      </c>
      <c r="AB28" t="s">
        <v>1135</v>
      </c>
      <c r="AC28" t="s">
        <v>1136</v>
      </c>
      <c r="AD28">
        <f>Q3b_C4_Participation</f>
        <v>0</v>
      </c>
      <c r="AE28">
        <f>'3b'!D38</f>
        <v>0</v>
      </c>
      <c r="AF28">
        <f>'3b'!E38</f>
        <v>0</v>
      </c>
      <c r="AG28">
        <f>'3b'!F38</f>
        <v>0</v>
      </c>
      <c r="AH28">
        <f>'3b'!G38</f>
        <v>0</v>
      </c>
      <c r="AI28">
        <f>'3b'!H38</f>
        <v>0</v>
      </c>
    </row>
    <row r="29" spans="1:35"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t="s">
        <v>794</v>
      </c>
      <c r="AB29" t="s">
        <v>1137</v>
      </c>
      <c r="AC29" t="s">
        <v>1138</v>
      </c>
      <c r="AD29">
        <f>Q3b_C5_Participation</f>
        <v>0</v>
      </c>
      <c r="AE29">
        <f>'3b'!D39</f>
        <v>0</v>
      </c>
      <c r="AF29">
        <f>'3b'!E39</f>
        <v>0</v>
      </c>
      <c r="AG29">
        <f>'3b'!F39</f>
        <v>0</v>
      </c>
      <c r="AH29">
        <f>'3b'!G39</f>
        <v>0</v>
      </c>
      <c r="AI29">
        <f>'3b'!H39</f>
        <v>0</v>
      </c>
    </row>
    <row r="30" spans="1:35"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t="s">
        <v>794</v>
      </c>
      <c r="AB30" t="s">
        <v>1139</v>
      </c>
      <c r="AC30" t="s">
        <v>1140</v>
      </c>
      <c r="AD30">
        <f>Q3b_C6_Participation</f>
        <v>0</v>
      </c>
      <c r="AE30">
        <f>'3b'!D40</f>
        <v>0</v>
      </c>
      <c r="AF30">
        <f>'3b'!E40</f>
        <v>0</v>
      </c>
      <c r="AG30">
        <f>'3b'!F40</f>
        <v>0</v>
      </c>
      <c r="AH30">
        <f>'3b'!G40</f>
        <v>0</v>
      </c>
      <c r="AI30">
        <f>'3b'!H40</f>
        <v>0</v>
      </c>
    </row>
    <row r="31" spans="1:35"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t="s">
        <v>794</v>
      </c>
      <c r="AB31" t="s">
        <v>1141</v>
      </c>
      <c r="AC31" t="s">
        <v>1142</v>
      </c>
      <c r="AD31">
        <f>Q3b_C7_Participation</f>
        <v>0</v>
      </c>
      <c r="AE31">
        <f>'3b'!D41</f>
        <v>0</v>
      </c>
      <c r="AF31">
        <f>'3b'!E41</f>
        <v>0</v>
      </c>
      <c r="AG31">
        <f>'3b'!F41</f>
        <v>0</v>
      </c>
      <c r="AH31">
        <f>'3b'!G41</f>
        <v>0</v>
      </c>
      <c r="AI31">
        <f>'3b'!H41</f>
        <v>0</v>
      </c>
    </row>
    <row r="32" spans="1:35"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t="s">
        <v>794</v>
      </c>
      <c r="AB32" t="s">
        <v>1143</v>
      </c>
      <c r="AC32" t="s">
        <v>1144</v>
      </c>
      <c r="AD32">
        <f>Q3b_C8_Participation</f>
        <v>0</v>
      </c>
      <c r="AE32">
        <f>'3b'!D42</f>
        <v>0</v>
      </c>
      <c r="AF32">
        <f>'3b'!E42</f>
        <v>0</v>
      </c>
      <c r="AG32">
        <f>'3b'!F42</f>
        <v>0</v>
      </c>
      <c r="AH32">
        <f>'3b'!G42</f>
        <v>0</v>
      </c>
      <c r="AI32">
        <f>'3b'!H42</f>
        <v>0</v>
      </c>
    </row>
    <row r="33" spans="1:35"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t="s">
        <v>794</v>
      </c>
      <c r="AB33" t="s">
        <v>1145</v>
      </c>
      <c r="AC33" t="s">
        <v>1146</v>
      </c>
      <c r="AD33">
        <f>Q3b_C9_Participation</f>
        <v>0</v>
      </c>
      <c r="AE33">
        <f>'3b'!D43</f>
        <v>0</v>
      </c>
      <c r="AF33">
        <f>'3b'!E43</f>
        <v>0</v>
      </c>
      <c r="AG33">
        <f>'3b'!F43</f>
        <v>0</v>
      </c>
      <c r="AH33">
        <f>'3b'!G43</f>
        <v>0</v>
      </c>
      <c r="AI33">
        <f>'3b'!H43</f>
        <v>0</v>
      </c>
    </row>
  </sheetData>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8"/>
  <sheetViews>
    <sheetView zoomScale="70" zoomScaleNormal="70" workbookViewId="0">
      <selection activeCell="C7" sqref="C7:D7"/>
    </sheetView>
  </sheetViews>
  <sheetFormatPr defaultRowHeight="15" x14ac:dyDescent="0.25"/>
  <sheetData>
    <row r="1" spans="1:3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2128</v>
      </c>
      <c r="AB1" t="s">
        <v>2129</v>
      </c>
      <c r="AC1" t="s">
        <v>2130</v>
      </c>
      <c r="AD1" t="s">
        <v>237</v>
      </c>
      <c r="AE1" t="s">
        <v>2131</v>
      </c>
      <c r="AF1" t="s">
        <v>239</v>
      </c>
      <c r="AG1" t="s">
        <v>2132</v>
      </c>
      <c r="AH1" t="s">
        <v>2133</v>
      </c>
      <c r="AI1" t="s">
        <v>2134</v>
      </c>
    </row>
    <row r="2" spans="1:35" x14ac:dyDescent="0.25">
      <c r="A2">
        <f t="shared" ref="A2:A44" si="0">Q_RP_B_DSSCAGE_01</f>
        <v>0</v>
      </c>
      <c r="B2">
        <f t="shared" ref="B2:B44" si="1">Q1a_A_LocationName</f>
        <v>0</v>
      </c>
      <c r="C2">
        <f t="shared" ref="C2:C44" si="2">Q1a_A_LocOrgName</f>
        <v>0</v>
      </c>
      <c r="D2">
        <f t="shared" ref="D2:D44" si="3">Q1a_B_Parent1_Name</f>
        <v>0</v>
      </c>
      <c r="E2">
        <f t="shared" ref="E2:E44" si="4">Q_RP_A_MultiResponse</f>
        <v>0</v>
      </c>
      <c r="F2">
        <f>'D-RepLevel'!$F$2</f>
        <v>0</v>
      </c>
      <c r="G2">
        <f>'D-RepLevel'!$G$2</f>
        <v>0</v>
      </c>
      <c r="H2">
        <f t="shared" ref="H2:H44"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44" si="6">Q4b_A_NumUSGPrograms</f>
        <v>0</v>
      </c>
      <c r="M2">
        <f t="shared" ref="M2:M44" si="7">Q6_A_Employees_Year3</f>
        <v>0</v>
      </c>
      <c r="N2">
        <f t="shared" ref="N2:N44" si="8">Q6_B_Employee_H1B_Total+Q6_B_Employee_H2B_Total+Q6_B_Employee_F1_Total+Q6_B_Employee_GreenCard_Total+Q6_B_Employee_Other_Total</f>
        <v>0</v>
      </c>
      <c r="O2">
        <f t="shared" ref="O2:O44" si="9">Year3</f>
        <v>2015</v>
      </c>
      <c r="P2">
        <f t="shared" ref="P2:P44" si="10">Q7_A_TotalSales_US_Year3+Q7_A_TotalSales_NonUS_Year3</f>
        <v>0</v>
      </c>
      <c r="Q2">
        <f t="shared" ref="Q2:Q44" si="11">Q7_B_DefSales_US_Year3_Pct*Q7_A_TotalSales_US_Year3+Q7_B_DefSales_NonUS_Year3_Pct*Q7_A_TotalSales_NonUS_Year3</f>
        <v>0</v>
      </c>
      <c r="R2">
        <f t="shared" ref="R2:R44" si="12">Q9a_B_Physical_Year3</f>
        <v>0</v>
      </c>
      <c r="S2">
        <f t="shared" ref="S2:S44" si="13">Q9a_B_Cyber_Year3</f>
        <v>0</v>
      </c>
      <c r="T2">
        <f>COUNTIF('9a'!$K$22:$K$32, "Yes")+COUNTIF('9a'!$O$22:$O$32, "Yes")</f>
        <v>0</v>
      </c>
      <c r="U2" t="str">
        <f t="shared" ref="U2:U44" si="14">IF(Q12_OpEx_Year3=0, "No Expenditures", Q9b_A_PhysicalSpending_Year3/(Q12_OpEx_Year3))</f>
        <v>No Expenditures</v>
      </c>
      <c r="V2" t="str">
        <f t="shared" ref="V2:V44" si="15">IF(Q12_OpEx_Year3=0, "No Expenditures", Q9b_A_CyberSpending_Year3/(Q12_OpEx_Year3))</f>
        <v>No Expenditures</v>
      </c>
      <c r="W2">
        <f t="shared" ref="W2:W44" si="16">Q9b_C_Pct_CSI_External</f>
        <v>0</v>
      </c>
      <c r="X2" t="str">
        <f>'D-Risk'!$AO$25</f>
        <v>Insufficient Data</v>
      </c>
      <c r="Y2" t="str">
        <f>'D-Risk'!$AO$26</f>
        <v>Insufficient Data</v>
      </c>
      <c r="Z2" t="str">
        <f>'D-Risk'!$AO$27</f>
        <v>Uncalculated</v>
      </c>
      <c r="AA2" t="s">
        <v>278</v>
      </c>
      <c r="AB2" t="s">
        <v>1147</v>
      </c>
      <c r="AC2" t="s">
        <v>1148</v>
      </c>
      <c r="AD2">
        <f>Q3b_D1_Participation</f>
        <v>0</v>
      </c>
      <c r="AE2">
        <f>'3c'!D8</f>
        <v>0</v>
      </c>
      <c r="AF2">
        <f>'3c'!E8</f>
        <v>0</v>
      </c>
      <c r="AG2">
        <f>'3c'!F8</f>
        <v>0</v>
      </c>
      <c r="AH2">
        <f>'3c'!G8</f>
        <v>0</v>
      </c>
      <c r="AI2">
        <f>'3c'!H8</f>
        <v>0</v>
      </c>
    </row>
    <row r="3" spans="1:35"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t="s">
        <v>278</v>
      </c>
      <c r="AB3" t="s">
        <v>1149</v>
      </c>
      <c r="AC3" t="s">
        <v>1150</v>
      </c>
      <c r="AD3">
        <f>Q3b_D2_Participation</f>
        <v>0</v>
      </c>
      <c r="AE3">
        <f>'3c'!D9</f>
        <v>0</v>
      </c>
      <c r="AF3">
        <f>'3c'!E9</f>
        <v>0</v>
      </c>
      <c r="AG3">
        <f>'3c'!F9</f>
        <v>0</v>
      </c>
      <c r="AH3">
        <f>'3c'!G9</f>
        <v>0</v>
      </c>
      <c r="AI3">
        <f>'3c'!H9</f>
        <v>0</v>
      </c>
    </row>
    <row r="4" spans="1:35"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t="s">
        <v>278</v>
      </c>
      <c r="AB4" t="s">
        <v>1151</v>
      </c>
      <c r="AC4" t="s">
        <v>1152</v>
      </c>
      <c r="AD4">
        <f>Q3b_D3_Participation</f>
        <v>0</v>
      </c>
      <c r="AE4">
        <f>'3c'!D10</f>
        <v>0</v>
      </c>
      <c r="AF4">
        <f>'3c'!E10</f>
        <v>0</v>
      </c>
      <c r="AG4">
        <f>'3c'!F10</f>
        <v>0</v>
      </c>
      <c r="AH4">
        <f>'3c'!G10</f>
        <v>0</v>
      </c>
      <c r="AI4">
        <f>'3c'!H10</f>
        <v>0</v>
      </c>
    </row>
    <row r="5" spans="1:35"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t="s">
        <v>278</v>
      </c>
      <c r="AB5" t="s">
        <v>1153</v>
      </c>
      <c r="AC5" t="s">
        <v>1154</v>
      </c>
      <c r="AD5">
        <f>Q3b_D4_Participation</f>
        <v>0</v>
      </c>
      <c r="AE5">
        <f>'3c'!D11</f>
        <v>0</v>
      </c>
      <c r="AF5">
        <f>'3c'!E11</f>
        <v>0</v>
      </c>
      <c r="AG5">
        <f>'3c'!F11</f>
        <v>0</v>
      </c>
      <c r="AH5">
        <f>'3c'!G11</f>
        <v>0</v>
      </c>
      <c r="AI5">
        <f>'3c'!H11</f>
        <v>0</v>
      </c>
    </row>
    <row r="6" spans="1:35"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t="s">
        <v>278</v>
      </c>
      <c r="AB6" t="s">
        <v>1155</v>
      </c>
      <c r="AC6" t="s">
        <v>1156</v>
      </c>
      <c r="AD6">
        <f>Q3b_D5_Participation</f>
        <v>0</v>
      </c>
      <c r="AE6">
        <f>'3c'!D12</f>
        <v>0</v>
      </c>
      <c r="AF6">
        <f>'3c'!E12</f>
        <v>0</v>
      </c>
      <c r="AG6">
        <f>'3c'!F12</f>
        <v>0</v>
      </c>
      <c r="AH6">
        <f>'3c'!G12</f>
        <v>0</v>
      </c>
      <c r="AI6">
        <f>'3c'!H12</f>
        <v>0</v>
      </c>
    </row>
    <row r="7" spans="1:35"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t="s">
        <v>278</v>
      </c>
      <c r="AB7" t="s">
        <v>1157</v>
      </c>
      <c r="AC7" t="s">
        <v>1158</v>
      </c>
      <c r="AD7">
        <f>Q3b_D6_Participation</f>
        <v>0</v>
      </c>
      <c r="AE7">
        <f>'3c'!D13</f>
        <v>0</v>
      </c>
      <c r="AF7">
        <f>'3c'!E13</f>
        <v>0</v>
      </c>
      <c r="AG7">
        <f>'3c'!F13</f>
        <v>0</v>
      </c>
      <c r="AH7">
        <f>'3c'!G13</f>
        <v>0</v>
      </c>
      <c r="AI7">
        <f>'3c'!H13</f>
        <v>0</v>
      </c>
    </row>
    <row r="8" spans="1:35"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t="s">
        <v>278</v>
      </c>
      <c r="AB8" t="s">
        <v>1159</v>
      </c>
      <c r="AC8" t="s">
        <v>1160</v>
      </c>
      <c r="AD8">
        <f>Q3b_D7_Participation</f>
        <v>0</v>
      </c>
      <c r="AE8">
        <f>'3c'!D14</f>
        <v>0</v>
      </c>
      <c r="AF8">
        <f>'3c'!E14</f>
        <v>0</v>
      </c>
      <c r="AG8">
        <f>'3c'!F14</f>
        <v>0</v>
      </c>
      <c r="AH8">
        <f>'3c'!G14</f>
        <v>0</v>
      </c>
      <c r="AI8">
        <f>'3c'!H14</f>
        <v>0</v>
      </c>
    </row>
    <row r="9" spans="1:35"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t="s">
        <v>278</v>
      </c>
      <c r="AB9" t="s">
        <v>1161</v>
      </c>
      <c r="AC9" t="s">
        <v>1162</v>
      </c>
      <c r="AD9">
        <f>Q3b_D8_Participation</f>
        <v>0</v>
      </c>
      <c r="AE9">
        <f>'3c'!D15</f>
        <v>0</v>
      </c>
      <c r="AF9">
        <f>'3c'!E15</f>
        <v>0</v>
      </c>
      <c r="AG9">
        <f>'3c'!F15</f>
        <v>0</v>
      </c>
      <c r="AH9">
        <f>'3c'!G15</f>
        <v>0</v>
      </c>
      <c r="AI9">
        <f>'3c'!H15</f>
        <v>0</v>
      </c>
    </row>
    <row r="10" spans="1:35"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t="s">
        <v>278</v>
      </c>
      <c r="AB10" t="s">
        <v>1163</v>
      </c>
      <c r="AC10" t="s">
        <v>1164</v>
      </c>
      <c r="AD10">
        <f>Q3b_D9_Participation</f>
        <v>0</v>
      </c>
      <c r="AE10">
        <f>'3c'!D16</f>
        <v>0</v>
      </c>
      <c r="AF10">
        <f>'3c'!E16</f>
        <v>0</v>
      </c>
      <c r="AG10">
        <f>'3c'!F16</f>
        <v>0</v>
      </c>
      <c r="AH10">
        <f>'3c'!G16</f>
        <v>0</v>
      </c>
      <c r="AI10">
        <f>'3c'!H16</f>
        <v>0</v>
      </c>
    </row>
    <row r="11" spans="1:35"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t="s">
        <v>278</v>
      </c>
      <c r="AB11" t="s">
        <v>1165</v>
      </c>
      <c r="AC11" t="s">
        <v>1166</v>
      </c>
      <c r="AD11">
        <f>Q3b_D10_Participation</f>
        <v>0</v>
      </c>
      <c r="AE11">
        <f>'3c'!D17</f>
        <v>0</v>
      </c>
      <c r="AF11">
        <f>'3c'!E17</f>
        <v>0</v>
      </c>
      <c r="AG11">
        <f>'3c'!F17</f>
        <v>0</v>
      </c>
      <c r="AH11">
        <f>'3c'!G17</f>
        <v>0</v>
      </c>
      <c r="AI11">
        <f>'3c'!H17</f>
        <v>0</v>
      </c>
    </row>
    <row r="12" spans="1:35"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t="s">
        <v>278</v>
      </c>
      <c r="AB12" t="s">
        <v>1167</v>
      </c>
      <c r="AC12" t="s">
        <v>1168</v>
      </c>
      <c r="AD12">
        <f>Q3b_D11_Participation</f>
        <v>0</v>
      </c>
      <c r="AE12">
        <f>'3c'!D18</f>
        <v>0</v>
      </c>
      <c r="AF12">
        <f>'3c'!E18</f>
        <v>0</v>
      </c>
      <c r="AG12">
        <f>'3c'!F18</f>
        <v>0</v>
      </c>
      <c r="AH12">
        <f>'3c'!G18</f>
        <v>0</v>
      </c>
      <c r="AI12">
        <f>'3c'!H18</f>
        <v>0</v>
      </c>
    </row>
    <row r="13" spans="1:35"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t="s">
        <v>290</v>
      </c>
      <c r="AB13" t="s">
        <v>1169</v>
      </c>
      <c r="AC13" t="s">
        <v>1170</v>
      </c>
      <c r="AD13">
        <f>Q3b_E1_Participation</f>
        <v>0</v>
      </c>
      <c r="AE13">
        <f>'3c'!D21</f>
        <v>0</v>
      </c>
      <c r="AF13">
        <f>'3c'!E21</f>
        <v>0</v>
      </c>
      <c r="AG13">
        <f>'3c'!F21</f>
        <v>0</v>
      </c>
      <c r="AH13">
        <f>'3c'!G21</f>
        <v>0</v>
      </c>
      <c r="AI13">
        <f>'3c'!H21</f>
        <v>0</v>
      </c>
    </row>
    <row r="14" spans="1:35"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t="s">
        <v>290</v>
      </c>
      <c r="AB14" t="s">
        <v>1171</v>
      </c>
      <c r="AC14" t="s">
        <v>1172</v>
      </c>
      <c r="AD14">
        <f>Q3b_E2_Participation</f>
        <v>0</v>
      </c>
      <c r="AE14">
        <f>'3c'!D22</f>
        <v>0</v>
      </c>
      <c r="AF14">
        <f>'3c'!E22</f>
        <v>0</v>
      </c>
      <c r="AG14">
        <f>'3c'!F22</f>
        <v>0</v>
      </c>
      <c r="AH14">
        <f>'3c'!G22</f>
        <v>0</v>
      </c>
      <c r="AI14">
        <f>'3c'!H22</f>
        <v>0</v>
      </c>
    </row>
    <row r="15" spans="1:35"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t="s">
        <v>290</v>
      </c>
      <c r="AB15" t="s">
        <v>1173</v>
      </c>
      <c r="AC15" t="s">
        <v>1174</v>
      </c>
      <c r="AD15">
        <f>Q3b_E3_Participation</f>
        <v>0</v>
      </c>
      <c r="AE15">
        <f>'3c'!D23</f>
        <v>0</v>
      </c>
      <c r="AF15">
        <f>'3c'!E23</f>
        <v>0</v>
      </c>
      <c r="AG15">
        <f>'3c'!F23</f>
        <v>0</v>
      </c>
      <c r="AH15">
        <f>'3c'!G23</f>
        <v>0</v>
      </c>
      <c r="AI15">
        <f>'3c'!H23</f>
        <v>0</v>
      </c>
    </row>
    <row r="16" spans="1:35"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t="s">
        <v>290</v>
      </c>
      <c r="AB16" t="s">
        <v>1175</v>
      </c>
      <c r="AC16" t="s">
        <v>1176</v>
      </c>
      <c r="AD16">
        <f>Q3b_E4_Participation</f>
        <v>0</v>
      </c>
      <c r="AE16">
        <f>'3c'!D24</f>
        <v>0</v>
      </c>
      <c r="AF16">
        <f>'3c'!E24</f>
        <v>0</v>
      </c>
      <c r="AG16">
        <f>'3c'!F24</f>
        <v>0</v>
      </c>
      <c r="AH16">
        <f>'3c'!G24</f>
        <v>0</v>
      </c>
      <c r="AI16">
        <f>'3c'!H24</f>
        <v>0</v>
      </c>
    </row>
    <row r="17" spans="1:35"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t="s">
        <v>798</v>
      </c>
      <c r="AB17" t="s">
        <v>1177</v>
      </c>
      <c r="AC17" t="s">
        <v>1178</v>
      </c>
      <c r="AD17">
        <f>Q3b_F1_Participation</f>
        <v>0</v>
      </c>
      <c r="AE17">
        <f>'3c'!D27</f>
        <v>0</v>
      </c>
      <c r="AF17">
        <f>'3c'!E27</f>
        <v>0</v>
      </c>
      <c r="AG17">
        <f>'3c'!F27</f>
        <v>0</v>
      </c>
      <c r="AH17">
        <f>'3c'!G27</f>
        <v>0</v>
      </c>
      <c r="AI17">
        <f>'3c'!H27</f>
        <v>0</v>
      </c>
    </row>
    <row r="18" spans="1:35"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t="s">
        <v>798</v>
      </c>
      <c r="AB18" t="s">
        <v>1179</v>
      </c>
      <c r="AC18" t="s">
        <v>1180</v>
      </c>
      <c r="AD18">
        <f>Q3b_F2_Participation</f>
        <v>0</v>
      </c>
      <c r="AE18">
        <f>'3c'!D28</f>
        <v>0</v>
      </c>
      <c r="AF18">
        <f>'3c'!E28</f>
        <v>0</v>
      </c>
      <c r="AG18">
        <f>'3c'!F28</f>
        <v>0</v>
      </c>
      <c r="AH18">
        <f>'3c'!G28</f>
        <v>0</v>
      </c>
      <c r="AI18">
        <f>'3c'!H28</f>
        <v>0</v>
      </c>
    </row>
    <row r="19" spans="1:35"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t="s">
        <v>798</v>
      </c>
      <c r="AB19" t="s">
        <v>1181</v>
      </c>
      <c r="AC19" t="s">
        <v>1182</v>
      </c>
      <c r="AD19">
        <f>Q3b_F3_Participation</f>
        <v>0</v>
      </c>
      <c r="AE19">
        <f>'3c'!D29</f>
        <v>0</v>
      </c>
      <c r="AF19">
        <f>'3c'!E29</f>
        <v>0</v>
      </c>
      <c r="AG19">
        <f>'3c'!F29</f>
        <v>0</v>
      </c>
      <c r="AH19">
        <f>'3c'!G29</f>
        <v>0</v>
      </c>
      <c r="AI19">
        <f>'3c'!H29</f>
        <v>0</v>
      </c>
    </row>
    <row r="20" spans="1:35"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t="s">
        <v>798</v>
      </c>
      <c r="AB20" t="s">
        <v>1183</v>
      </c>
      <c r="AC20" t="s">
        <v>1184</v>
      </c>
      <c r="AD20">
        <f>Q3b_F4_Participation</f>
        <v>0</v>
      </c>
      <c r="AE20">
        <f>'3c'!D30</f>
        <v>0</v>
      </c>
      <c r="AF20">
        <f>'3c'!E30</f>
        <v>0</v>
      </c>
      <c r="AG20">
        <f>'3c'!F30</f>
        <v>0</v>
      </c>
      <c r="AH20">
        <f>'3c'!G30</f>
        <v>0</v>
      </c>
      <c r="AI20">
        <f>'3c'!H30</f>
        <v>0</v>
      </c>
    </row>
    <row r="21" spans="1:35"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t="s">
        <v>798</v>
      </c>
      <c r="AB21" t="s">
        <v>1185</v>
      </c>
      <c r="AC21" t="s">
        <v>1186</v>
      </c>
      <c r="AD21">
        <f>Q3b_F5_Participation</f>
        <v>0</v>
      </c>
      <c r="AE21">
        <f>'3c'!D31</f>
        <v>0</v>
      </c>
      <c r="AF21">
        <f>'3c'!E31</f>
        <v>0</v>
      </c>
      <c r="AG21">
        <f>'3c'!F31</f>
        <v>0</v>
      </c>
      <c r="AH21">
        <f>'3c'!G31</f>
        <v>0</v>
      </c>
      <c r="AI21">
        <f>'3c'!H31</f>
        <v>0</v>
      </c>
    </row>
    <row r="22" spans="1:35"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t="s">
        <v>798</v>
      </c>
      <c r="AB22" t="s">
        <v>1187</v>
      </c>
      <c r="AC22" t="s">
        <v>1188</v>
      </c>
      <c r="AD22">
        <f>Q3b_F6_Participation</f>
        <v>0</v>
      </c>
      <c r="AE22">
        <f>'3c'!D32</f>
        <v>0</v>
      </c>
      <c r="AF22">
        <f>'3c'!E32</f>
        <v>0</v>
      </c>
      <c r="AG22">
        <f>'3c'!F32</f>
        <v>0</v>
      </c>
      <c r="AH22">
        <f>'3c'!G32</f>
        <v>0</v>
      </c>
      <c r="AI22">
        <f>'3c'!H32</f>
        <v>0</v>
      </c>
    </row>
    <row r="23" spans="1:35"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t="s">
        <v>798</v>
      </c>
      <c r="AB23" t="s">
        <v>1189</v>
      </c>
      <c r="AC23" t="s">
        <v>1190</v>
      </c>
      <c r="AD23">
        <f>Q3b_F7_Participation</f>
        <v>0</v>
      </c>
      <c r="AE23">
        <f>'3c'!D33</f>
        <v>0</v>
      </c>
      <c r="AF23">
        <f>'3c'!E33</f>
        <v>0</v>
      </c>
      <c r="AG23">
        <f>'3c'!F33</f>
        <v>0</v>
      </c>
      <c r="AH23">
        <f>'3c'!G33</f>
        <v>0</v>
      </c>
      <c r="AI23">
        <f>'3c'!H33</f>
        <v>0</v>
      </c>
    </row>
    <row r="24" spans="1:35"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t="s">
        <v>800</v>
      </c>
      <c r="AB24" t="s">
        <v>1191</v>
      </c>
      <c r="AC24" t="s">
        <v>1192</v>
      </c>
      <c r="AD24">
        <f>Q3b_G1_Participation</f>
        <v>0</v>
      </c>
      <c r="AE24">
        <f>'3c'!D36</f>
        <v>0</v>
      </c>
      <c r="AF24">
        <f>'3c'!E36</f>
        <v>0</v>
      </c>
      <c r="AG24">
        <f>'3c'!F36</f>
        <v>0</v>
      </c>
      <c r="AH24">
        <f>'3c'!G36</f>
        <v>0</v>
      </c>
      <c r="AI24">
        <f>'3c'!H36</f>
        <v>0</v>
      </c>
    </row>
    <row r="25" spans="1:35"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t="s">
        <v>800</v>
      </c>
      <c r="AB25" t="s">
        <v>1193</v>
      </c>
      <c r="AC25" t="s">
        <v>1194</v>
      </c>
      <c r="AD25">
        <f>Q3b_G2_Participation</f>
        <v>0</v>
      </c>
      <c r="AE25">
        <f>'3c'!D37</f>
        <v>0</v>
      </c>
      <c r="AF25">
        <f>'3c'!E37</f>
        <v>0</v>
      </c>
      <c r="AG25">
        <f>'3c'!F37</f>
        <v>0</v>
      </c>
      <c r="AH25">
        <f>'3c'!G37</f>
        <v>0</v>
      </c>
      <c r="AI25">
        <f>'3c'!H37</f>
        <v>0</v>
      </c>
    </row>
    <row r="26" spans="1:35"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t="s">
        <v>800</v>
      </c>
      <c r="AB26" t="s">
        <v>1195</v>
      </c>
      <c r="AC26" t="s">
        <v>1196</v>
      </c>
      <c r="AD26">
        <f>Q3b_G3_Participation</f>
        <v>0</v>
      </c>
      <c r="AE26">
        <f>'3c'!D38</f>
        <v>0</v>
      </c>
      <c r="AF26">
        <f>'3c'!E38</f>
        <v>0</v>
      </c>
      <c r="AG26">
        <f>'3c'!F38</f>
        <v>0</v>
      </c>
      <c r="AH26">
        <f>'3c'!G38</f>
        <v>0</v>
      </c>
      <c r="AI26">
        <f>'3c'!H38</f>
        <v>0</v>
      </c>
    </row>
    <row r="27" spans="1:35"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t="s">
        <v>800</v>
      </c>
      <c r="AB27" t="s">
        <v>1197</v>
      </c>
      <c r="AC27" t="s">
        <v>2135</v>
      </c>
      <c r="AD27">
        <f>Q3b_G4_Participation</f>
        <v>0</v>
      </c>
      <c r="AE27">
        <f>'3c'!D39</f>
        <v>0</v>
      </c>
      <c r="AF27">
        <f>'3c'!E39</f>
        <v>0</v>
      </c>
      <c r="AG27">
        <f>'3c'!F39</f>
        <v>0</v>
      </c>
      <c r="AH27">
        <f>'3c'!G39</f>
        <v>0</v>
      </c>
      <c r="AI27">
        <f>'3c'!H39</f>
        <v>0</v>
      </c>
    </row>
    <row r="28" spans="1:35"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t="s">
        <v>800</v>
      </c>
      <c r="AB28" t="s">
        <v>1199</v>
      </c>
      <c r="AC28" t="s">
        <v>1200</v>
      </c>
      <c r="AD28">
        <f>Q3b_G5_Participation</f>
        <v>0</v>
      </c>
      <c r="AE28">
        <f>'3c'!D40</f>
        <v>0</v>
      </c>
      <c r="AF28">
        <f>'3c'!E40</f>
        <v>0</v>
      </c>
      <c r="AG28">
        <f>'3c'!F40</f>
        <v>0</v>
      </c>
      <c r="AH28">
        <f>'3c'!G40</f>
        <v>0</v>
      </c>
      <c r="AI28">
        <f>'3c'!H40</f>
        <v>0</v>
      </c>
    </row>
    <row r="29" spans="1:35"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t="s">
        <v>803</v>
      </c>
      <c r="AB29" t="s">
        <v>1201</v>
      </c>
      <c r="AC29" t="s">
        <v>1202</v>
      </c>
      <c r="AD29">
        <f>Q3b_H1_Participation</f>
        <v>0</v>
      </c>
      <c r="AE29">
        <f>'3c'!D43</f>
        <v>0</v>
      </c>
      <c r="AF29">
        <f>'3c'!E43</f>
        <v>0</v>
      </c>
      <c r="AG29">
        <f>'3c'!F43</f>
        <v>0</v>
      </c>
      <c r="AH29">
        <f>'3c'!G43</f>
        <v>0</v>
      </c>
      <c r="AI29">
        <f>'3c'!H43</f>
        <v>0</v>
      </c>
    </row>
    <row r="30" spans="1:35"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t="s">
        <v>803</v>
      </c>
      <c r="AB30" t="s">
        <v>1203</v>
      </c>
      <c r="AC30" t="s">
        <v>1204</v>
      </c>
      <c r="AD30">
        <f>Q3b_H2_Participation</f>
        <v>0</v>
      </c>
      <c r="AE30">
        <f>'3c'!D44</f>
        <v>0</v>
      </c>
      <c r="AF30">
        <f>'3c'!E44</f>
        <v>0</v>
      </c>
      <c r="AG30">
        <f>'3c'!F44</f>
        <v>0</v>
      </c>
      <c r="AH30">
        <f>'3c'!G44</f>
        <v>0</v>
      </c>
      <c r="AI30">
        <f>'3c'!H44</f>
        <v>0</v>
      </c>
    </row>
    <row r="31" spans="1:35"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t="s">
        <v>803</v>
      </c>
      <c r="AB31" t="s">
        <v>1205</v>
      </c>
      <c r="AC31" t="s">
        <v>1206</v>
      </c>
      <c r="AD31">
        <f>Q3b_H3_Participation</f>
        <v>0</v>
      </c>
      <c r="AE31">
        <f>'3c'!D45</f>
        <v>0</v>
      </c>
      <c r="AF31">
        <f>'3c'!E45</f>
        <v>0</v>
      </c>
      <c r="AG31">
        <f>'3c'!F45</f>
        <v>0</v>
      </c>
      <c r="AH31">
        <f>'3c'!G45</f>
        <v>0</v>
      </c>
      <c r="AI31">
        <f>'3c'!H45</f>
        <v>0</v>
      </c>
    </row>
    <row r="32" spans="1:35"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t="s">
        <v>803</v>
      </c>
      <c r="AB32" t="s">
        <v>1207</v>
      </c>
      <c r="AC32" t="s">
        <v>1208</v>
      </c>
      <c r="AD32">
        <f>Q3b_H4_Participation</f>
        <v>0</v>
      </c>
      <c r="AE32">
        <f>'3c'!D46</f>
        <v>0</v>
      </c>
      <c r="AF32">
        <f>'3c'!E46</f>
        <v>0</v>
      </c>
      <c r="AG32">
        <f>'3c'!F46</f>
        <v>0</v>
      </c>
      <c r="AH32">
        <f>'3c'!G46</f>
        <v>0</v>
      </c>
      <c r="AI32">
        <f>'3c'!H46</f>
        <v>0</v>
      </c>
    </row>
    <row r="33" spans="1:35"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t="s">
        <v>803</v>
      </c>
      <c r="AB33" t="s">
        <v>1209</v>
      </c>
      <c r="AC33" t="s">
        <v>1210</v>
      </c>
      <c r="AD33">
        <f>Q3b_H5_Participation</f>
        <v>0</v>
      </c>
      <c r="AE33">
        <f>'3c'!D47</f>
        <v>0</v>
      </c>
      <c r="AF33">
        <f>'3c'!E47</f>
        <v>0</v>
      </c>
      <c r="AG33">
        <f>'3c'!F47</f>
        <v>0</v>
      </c>
      <c r="AH33">
        <f>'3c'!G47</f>
        <v>0</v>
      </c>
      <c r="AI33">
        <f>'3c'!H47</f>
        <v>0</v>
      </c>
    </row>
    <row r="34" spans="1:35" x14ac:dyDescent="0.25">
      <c r="A34">
        <f t="shared" si="0"/>
        <v>0</v>
      </c>
      <c r="B34">
        <f t="shared" si="1"/>
        <v>0</v>
      </c>
      <c r="C34">
        <f t="shared" si="2"/>
        <v>0</v>
      </c>
      <c r="D34">
        <f t="shared" si="3"/>
        <v>0</v>
      </c>
      <c r="E34">
        <f t="shared" si="4"/>
        <v>0</v>
      </c>
      <c r="F34">
        <f>'D-RepLevel'!$F$2</f>
        <v>0</v>
      </c>
      <c r="G34">
        <f>'D-RepLevel'!$G$2</f>
        <v>0</v>
      </c>
      <c r="H34">
        <f t="shared" si="5"/>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si="6"/>
        <v>0</v>
      </c>
      <c r="M34">
        <f t="shared" si="7"/>
        <v>0</v>
      </c>
      <c r="N34">
        <f t="shared" si="8"/>
        <v>0</v>
      </c>
      <c r="O34">
        <f t="shared" si="9"/>
        <v>2015</v>
      </c>
      <c r="P34">
        <f t="shared" si="10"/>
        <v>0</v>
      </c>
      <c r="Q34">
        <f t="shared" si="11"/>
        <v>0</v>
      </c>
      <c r="R34">
        <f t="shared" si="12"/>
        <v>0</v>
      </c>
      <c r="S34">
        <f t="shared" si="13"/>
        <v>0</v>
      </c>
      <c r="T34">
        <f>COUNTIF('9a'!$K$22:$K$32, "Yes")+COUNTIF('9a'!$O$22:$O$32, "Yes")</f>
        <v>0</v>
      </c>
      <c r="U34" t="str">
        <f t="shared" si="14"/>
        <v>No Expenditures</v>
      </c>
      <c r="V34" t="str">
        <f t="shared" si="15"/>
        <v>No Expenditures</v>
      </c>
      <c r="W34">
        <f t="shared" si="16"/>
        <v>0</v>
      </c>
      <c r="X34" t="str">
        <f>'D-Risk'!$AO$25</f>
        <v>Insufficient Data</v>
      </c>
      <c r="Y34" t="str">
        <f>'D-Risk'!$AO$26</f>
        <v>Insufficient Data</v>
      </c>
      <c r="Z34" t="str">
        <f>'D-Risk'!$AO$27</f>
        <v>Uncalculated</v>
      </c>
      <c r="AA34" t="s">
        <v>803</v>
      </c>
      <c r="AB34" t="s">
        <v>1211</v>
      </c>
      <c r="AC34" t="s">
        <v>1212</v>
      </c>
      <c r="AD34">
        <f>Q3b_H6_Participation</f>
        <v>0</v>
      </c>
      <c r="AE34">
        <f>'3c'!D48</f>
        <v>0</v>
      </c>
      <c r="AF34">
        <f>'3c'!E48</f>
        <v>0</v>
      </c>
      <c r="AG34">
        <f>'3c'!F48</f>
        <v>0</v>
      </c>
      <c r="AH34">
        <f>'3c'!G48</f>
        <v>0</v>
      </c>
      <c r="AI34">
        <f>'3c'!H48</f>
        <v>0</v>
      </c>
    </row>
    <row r="35" spans="1:35" x14ac:dyDescent="0.25">
      <c r="A35">
        <f t="shared" si="0"/>
        <v>0</v>
      </c>
      <c r="B35">
        <f t="shared" si="1"/>
        <v>0</v>
      </c>
      <c r="C35">
        <f t="shared" si="2"/>
        <v>0</v>
      </c>
      <c r="D35">
        <f t="shared" si="3"/>
        <v>0</v>
      </c>
      <c r="E35">
        <f t="shared" si="4"/>
        <v>0</v>
      </c>
      <c r="F35">
        <f>'D-RepLevel'!$F$2</f>
        <v>0</v>
      </c>
      <c r="G35">
        <f>'D-RepLevel'!$G$2</f>
        <v>0</v>
      </c>
      <c r="H35">
        <f t="shared" si="5"/>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6"/>
        <v>0</v>
      </c>
      <c r="M35">
        <f t="shared" si="7"/>
        <v>0</v>
      </c>
      <c r="N35">
        <f t="shared" si="8"/>
        <v>0</v>
      </c>
      <c r="O35">
        <f t="shared" si="9"/>
        <v>2015</v>
      </c>
      <c r="P35">
        <f t="shared" si="10"/>
        <v>0</v>
      </c>
      <c r="Q35">
        <f t="shared" si="11"/>
        <v>0</v>
      </c>
      <c r="R35">
        <f t="shared" si="12"/>
        <v>0</v>
      </c>
      <c r="S35">
        <f t="shared" si="13"/>
        <v>0</v>
      </c>
      <c r="T35">
        <f>COUNTIF('9a'!$K$22:$K$32, "Yes")+COUNTIF('9a'!$O$22:$O$32, "Yes")</f>
        <v>0</v>
      </c>
      <c r="U35" t="str">
        <f t="shared" si="14"/>
        <v>No Expenditures</v>
      </c>
      <c r="V35" t="str">
        <f t="shared" si="15"/>
        <v>No Expenditures</v>
      </c>
      <c r="W35">
        <f t="shared" si="16"/>
        <v>0</v>
      </c>
      <c r="X35" t="str">
        <f>'D-Risk'!$AO$25</f>
        <v>Insufficient Data</v>
      </c>
      <c r="Y35" t="str">
        <f>'D-Risk'!$AO$26</f>
        <v>Insufficient Data</v>
      </c>
      <c r="Z35" t="str">
        <f>'D-Risk'!$AO$27</f>
        <v>Uncalculated</v>
      </c>
      <c r="AA35" t="s">
        <v>316</v>
      </c>
      <c r="AB35" t="s">
        <v>1213</v>
      </c>
      <c r="AC35" t="s">
        <v>1214</v>
      </c>
      <c r="AD35">
        <f>Q3b_I1_Participation</f>
        <v>0</v>
      </c>
      <c r="AE35">
        <f>'3c'!D51</f>
        <v>0</v>
      </c>
      <c r="AF35">
        <f>'3c'!E51</f>
        <v>0</v>
      </c>
      <c r="AG35">
        <f>'3c'!F51</f>
        <v>0</v>
      </c>
      <c r="AH35">
        <f>'3c'!G51</f>
        <v>0</v>
      </c>
      <c r="AI35">
        <f>'3c'!H51</f>
        <v>0</v>
      </c>
    </row>
    <row r="36" spans="1:35" x14ac:dyDescent="0.25">
      <c r="A36">
        <f t="shared" si="0"/>
        <v>0</v>
      </c>
      <c r="B36">
        <f t="shared" si="1"/>
        <v>0</v>
      </c>
      <c r="C36">
        <f t="shared" si="2"/>
        <v>0</v>
      </c>
      <c r="D36">
        <f t="shared" si="3"/>
        <v>0</v>
      </c>
      <c r="E36">
        <f t="shared" si="4"/>
        <v>0</v>
      </c>
      <c r="F36">
        <f>'D-RepLevel'!$F$2</f>
        <v>0</v>
      </c>
      <c r="G36">
        <f>'D-RepLevel'!$G$2</f>
        <v>0</v>
      </c>
      <c r="H36">
        <f t="shared" si="5"/>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6"/>
        <v>0</v>
      </c>
      <c r="M36">
        <f t="shared" si="7"/>
        <v>0</v>
      </c>
      <c r="N36">
        <f t="shared" si="8"/>
        <v>0</v>
      </c>
      <c r="O36">
        <f t="shared" si="9"/>
        <v>2015</v>
      </c>
      <c r="P36">
        <f t="shared" si="10"/>
        <v>0</v>
      </c>
      <c r="Q36">
        <f t="shared" si="11"/>
        <v>0</v>
      </c>
      <c r="R36">
        <f t="shared" si="12"/>
        <v>0</v>
      </c>
      <c r="S36">
        <f t="shared" si="13"/>
        <v>0</v>
      </c>
      <c r="T36">
        <f>COUNTIF('9a'!$K$22:$K$32, "Yes")+COUNTIF('9a'!$O$22:$O$32, "Yes")</f>
        <v>0</v>
      </c>
      <c r="U36" t="str">
        <f t="shared" si="14"/>
        <v>No Expenditures</v>
      </c>
      <c r="V36" t="str">
        <f t="shared" si="15"/>
        <v>No Expenditures</v>
      </c>
      <c r="W36">
        <f t="shared" si="16"/>
        <v>0</v>
      </c>
      <c r="X36" t="str">
        <f>'D-Risk'!$AO$25</f>
        <v>Insufficient Data</v>
      </c>
      <c r="Y36" t="str">
        <f>'D-Risk'!$AO$26</f>
        <v>Insufficient Data</v>
      </c>
      <c r="Z36" t="str">
        <f>'D-Risk'!$AO$27</f>
        <v>Uncalculated</v>
      </c>
      <c r="AA36" t="s">
        <v>316</v>
      </c>
      <c r="AB36" t="s">
        <v>1215</v>
      </c>
      <c r="AC36" t="s">
        <v>1216</v>
      </c>
      <c r="AD36">
        <f>Q3b_I2_Participation</f>
        <v>0</v>
      </c>
      <c r="AE36">
        <f>'3c'!D52</f>
        <v>0</v>
      </c>
      <c r="AF36">
        <f>'3c'!E52</f>
        <v>0</v>
      </c>
      <c r="AG36">
        <f>'3c'!F52</f>
        <v>0</v>
      </c>
      <c r="AH36">
        <f>'3c'!G52</f>
        <v>0</v>
      </c>
      <c r="AI36">
        <f>'3c'!H52</f>
        <v>0</v>
      </c>
    </row>
    <row r="37" spans="1:35" x14ac:dyDescent="0.25">
      <c r="A37">
        <f t="shared" si="0"/>
        <v>0</v>
      </c>
      <c r="B37">
        <f t="shared" si="1"/>
        <v>0</v>
      </c>
      <c r="C37">
        <f t="shared" si="2"/>
        <v>0</v>
      </c>
      <c r="D37">
        <f t="shared" si="3"/>
        <v>0</v>
      </c>
      <c r="E37">
        <f t="shared" si="4"/>
        <v>0</v>
      </c>
      <c r="F37">
        <f>'D-RepLevel'!$F$2</f>
        <v>0</v>
      </c>
      <c r="G37">
        <f>'D-RepLevel'!$G$2</f>
        <v>0</v>
      </c>
      <c r="H37">
        <f t="shared" si="5"/>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6"/>
        <v>0</v>
      </c>
      <c r="M37">
        <f t="shared" si="7"/>
        <v>0</v>
      </c>
      <c r="N37">
        <f t="shared" si="8"/>
        <v>0</v>
      </c>
      <c r="O37">
        <f t="shared" si="9"/>
        <v>2015</v>
      </c>
      <c r="P37">
        <f t="shared" si="10"/>
        <v>0</v>
      </c>
      <c r="Q37">
        <f t="shared" si="11"/>
        <v>0</v>
      </c>
      <c r="R37">
        <f t="shared" si="12"/>
        <v>0</v>
      </c>
      <c r="S37">
        <f t="shared" si="13"/>
        <v>0</v>
      </c>
      <c r="T37">
        <f>COUNTIF('9a'!$K$22:$K$32, "Yes")+COUNTIF('9a'!$O$22:$O$32, "Yes")</f>
        <v>0</v>
      </c>
      <c r="U37" t="str">
        <f t="shared" si="14"/>
        <v>No Expenditures</v>
      </c>
      <c r="V37" t="str">
        <f t="shared" si="15"/>
        <v>No Expenditures</v>
      </c>
      <c r="W37">
        <f t="shared" si="16"/>
        <v>0</v>
      </c>
      <c r="X37" t="str">
        <f>'D-Risk'!$AO$25</f>
        <v>Insufficient Data</v>
      </c>
      <c r="Y37" t="str">
        <f>'D-Risk'!$AO$26</f>
        <v>Insufficient Data</v>
      </c>
      <c r="Z37" t="str">
        <f>'D-Risk'!$AO$27</f>
        <v>Uncalculated</v>
      </c>
      <c r="AA37" t="s">
        <v>316</v>
      </c>
      <c r="AB37" t="s">
        <v>1217</v>
      </c>
      <c r="AC37" t="s">
        <v>1218</v>
      </c>
      <c r="AD37">
        <f>Q3b_I3_Participation</f>
        <v>0</v>
      </c>
      <c r="AE37">
        <f>'3c'!D53</f>
        <v>0</v>
      </c>
      <c r="AF37">
        <f>'3c'!E53</f>
        <v>0</v>
      </c>
      <c r="AG37">
        <f>'3c'!F53</f>
        <v>0</v>
      </c>
      <c r="AH37">
        <f>'3c'!G53</f>
        <v>0</v>
      </c>
      <c r="AI37">
        <f>'3c'!H53</f>
        <v>0</v>
      </c>
    </row>
    <row r="38" spans="1:35" x14ac:dyDescent="0.25">
      <c r="A38">
        <f t="shared" si="0"/>
        <v>0</v>
      </c>
      <c r="B38">
        <f t="shared" si="1"/>
        <v>0</v>
      </c>
      <c r="C38">
        <f t="shared" si="2"/>
        <v>0</v>
      </c>
      <c r="D38">
        <f t="shared" si="3"/>
        <v>0</v>
      </c>
      <c r="E38">
        <f t="shared" si="4"/>
        <v>0</v>
      </c>
      <c r="F38">
        <f>'D-RepLevel'!$F$2</f>
        <v>0</v>
      </c>
      <c r="G38">
        <f>'D-RepLevel'!$G$2</f>
        <v>0</v>
      </c>
      <c r="H38">
        <f t="shared" si="5"/>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6"/>
        <v>0</v>
      </c>
      <c r="M38">
        <f t="shared" si="7"/>
        <v>0</v>
      </c>
      <c r="N38">
        <f t="shared" si="8"/>
        <v>0</v>
      </c>
      <c r="O38">
        <f t="shared" si="9"/>
        <v>2015</v>
      </c>
      <c r="P38">
        <f t="shared" si="10"/>
        <v>0</v>
      </c>
      <c r="Q38">
        <f t="shared" si="11"/>
        <v>0</v>
      </c>
      <c r="R38">
        <f t="shared" si="12"/>
        <v>0</v>
      </c>
      <c r="S38">
        <f t="shared" si="13"/>
        <v>0</v>
      </c>
      <c r="T38">
        <f>COUNTIF('9a'!$K$22:$K$32, "Yes")+COUNTIF('9a'!$O$22:$O$32, "Yes")</f>
        <v>0</v>
      </c>
      <c r="U38" t="str">
        <f t="shared" si="14"/>
        <v>No Expenditures</v>
      </c>
      <c r="V38" t="str">
        <f t="shared" si="15"/>
        <v>No Expenditures</v>
      </c>
      <c r="W38">
        <f t="shared" si="16"/>
        <v>0</v>
      </c>
      <c r="X38" t="str">
        <f>'D-Risk'!$AO$25</f>
        <v>Insufficient Data</v>
      </c>
      <c r="Y38" t="str">
        <f>'D-Risk'!$AO$26</f>
        <v>Insufficient Data</v>
      </c>
      <c r="Z38" t="str">
        <f>'D-Risk'!$AO$27</f>
        <v>Uncalculated</v>
      </c>
      <c r="AA38" t="s">
        <v>316</v>
      </c>
      <c r="AB38" t="s">
        <v>1219</v>
      </c>
      <c r="AC38" t="s">
        <v>1220</v>
      </c>
      <c r="AD38">
        <f>Q3b_I4_Participation</f>
        <v>0</v>
      </c>
      <c r="AE38">
        <f>'3c'!D54</f>
        <v>0</v>
      </c>
      <c r="AF38">
        <f>'3c'!E54</f>
        <v>0</v>
      </c>
      <c r="AG38">
        <f>'3c'!F54</f>
        <v>0</v>
      </c>
      <c r="AH38">
        <f>'3c'!G54</f>
        <v>0</v>
      </c>
      <c r="AI38">
        <f>'3c'!H54</f>
        <v>0</v>
      </c>
    </row>
    <row r="39" spans="1:35" x14ac:dyDescent="0.25">
      <c r="A39">
        <f t="shared" si="0"/>
        <v>0</v>
      </c>
      <c r="B39">
        <f t="shared" si="1"/>
        <v>0</v>
      </c>
      <c r="C39">
        <f t="shared" si="2"/>
        <v>0</v>
      </c>
      <c r="D39">
        <f t="shared" si="3"/>
        <v>0</v>
      </c>
      <c r="E39">
        <f t="shared" si="4"/>
        <v>0</v>
      </c>
      <c r="F39">
        <f>'D-RepLevel'!$F$2</f>
        <v>0</v>
      </c>
      <c r="G39">
        <f>'D-RepLevel'!$G$2</f>
        <v>0</v>
      </c>
      <c r="H39">
        <f t="shared" si="5"/>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6"/>
        <v>0</v>
      </c>
      <c r="M39">
        <f t="shared" si="7"/>
        <v>0</v>
      </c>
      <c r="N39">
        <f t="shared" si="8"/>
        <v>0</v>
      </c>
      <c r="O39">
        <f t="shared" si="9"/>
        <v>2015</v>
      </c>
      <c r="P39">
        <f t="shared" si="10"/>
        <v>0</v>
      </c>
      <c r="Q39">
        <f t="shared" si="11"/>
        <v>0</v>
      </c>
      <c r="R39">
        <f t="shared" si="12"/>
        <v>0</v>
      </c>
      <c r="S39">
        <f t="shared" si="13"/>
        <v>0</v>
      </c>
      <c r="T39">
        <f>COUNTIF('9a'!$K$22:$K$32, "Yes")+COUNTIF('9a'!$O$22:$O$32, "Yes")</f>
        <v>0</v>
      </c>
      <c r="U39" t="str">
        <f t="shared" si="14"/>
        <v>No Expenditures</v>
      </c>
      <c r="V39" t="str">
        <f t="shared" si="15"/>
        <v>No Expenditures</v>
      </c>
      <c r="W39">
        <f t="shared" si="16"/>
        <v>0</v>
      </c>
      <c r="X39" t="str">
        <f>'D-Risk'!$AO$25</f>
        <v>Insufficient Data</v>
      </c>
      <c r="Y39" t="str">
        <f>'D-Risk'!$AO$26</f>
        <v>Insufficient Data</v>
      </c>
      <c r="Z39" t="str">
        <f>'D-Risk'!$AO$27</f>
        <v>Uncalculated</v>
      </c>
      <c r="AA39" t="s">
        <v>316</v>
      </c>
      <c r="AB39" t="s">
        <v>1221</v>
      </c>
      <c r="AC39" t="s">
        <v>1222</v>
      </c>
      <c r="AD39">
        <f>Q3b_I5_Participation</f>
        <v>0</v>
      </c>
      <c r="AE39">
        <f>'3c'!D55</f>
        <v>0</v>
      </c>
      <c r="AF39">
        <f>'3c'!E55</f>
        <v>0</v>
      </c>
      <c r="AG39">
        <f>'3c'!F55</f>
        <v>0</v>
      </c>
      <c r="AH39">
        <f>'3c'!G55</f>
        <v>0</v>
      </c>
      <c r="AI39">
        <f>'3c'!H55</f>
        <v>0</v>
      </c>
    </row>
    <row r="40" spans="1:35" x14ac:dyDescent="0.25">
      <c r="A40">
        <f t="shared" si="0"/>
        <v>0</v>
      </c>
      <c r="B40">
        <f t="shared" si="1"/>
        <v>0</v>
      </c>
      <c r="C40">
        <f t="shared" si="2"/>
        <v>0</v>
      </c>
      <c r="D40">
        <f t="shared" si="3"/>
        <v>0</v>
      </c>
      <c r="E40">
        <f t="shared" si="4"/>
        <v>0</v>
      </c>
      <c r="F40">
        <f>'D-RepLevel'!$F$2</f>
        <v>0</v>
      </c>
      <c r="G40">
        <f>'D-RepLevel'!$G$2</f>
        <v>0</v>
      </c>
      <c r="H40">
        <f t="shared" si="5"/>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6"/>
        <v>0</v>
      </c>
      <c r="M40">
        <f t="shared" si="7"/>
        <v>0</v>
      </c>
      <c r="N40">
        <f t="shared" si="8"/>
        <v>0</v>
      </c>
      <c r="O40">
        <f t="shared" si="9"/>
        <v>2015</v>
      </c>
      <c r="P40">
        <f t="shared" si="10"/>
        <v>0</v>
      </c>
      <c r="Q40">
        <f t="shared" si="11"/>
        <v>0</v>
      </c>
      <c r="R40">
        <f t="shared" si="12"/>
        <v>0</v>
      </c>
      <c r="S40">
        <f t="shared" si="13"/>
        <v>0</v>
      </c>
      <c r="T40">
        <f>COUNTIF('9a'!$K$22:$K$32, "Yes")+COUNTIF('9a'!$O$22:$O$32, "Yes")</f>
        <v>0</v>
      </c>
      <c r="U40" t="str">
        <f t="shared" si="14"/>
        <v>No Expenditures</v>
      </c>
      <c r="V40" t="str">
        <f t="shared" si="15"/>
        <v>No Expenditures</v>
      </c>
      <c r="W40">
        <f t="shared" si="16"/>
        <v>0</v>
      </c>
      <c r="X40" t="str">
        <f>'D-Risk'!$AO$25</f>
        <v>Insufficient Data</v>
      </c>
      <c r="Y40" t="str">
        <f>'D-Risk'!$AO$26</f>
        <v>Insufficient Data</v>
      </c>
      <c r="Z40" t="str">
        <f>'D-Risk'!$AO$27</f>
        <v>Uncalculated</v>
      </c>
      <c r="AA40" t="s">
        <v>316</v>
      </c>
      <c r="AB40" t="s">
        <v>1223</v>
      </c>
      <c r="AC40" t="s">
        <v>1224</v>
      </c>
      <c r="AD40">
        <f>Q3b_I6_Participation</f>
        <v>0</v>
      </c>
      <c r="AE40">
        <f>'3c'!D56</f>
        <v>0</v>
      </c>
      <c r="AF40">
        <f>'3c'!E56</f>
        <v>0</v>
      </c>
      <c r="AG40">
        <f>'3c'!F56</f>
        <v>0</v>
      </c>
      <c r="AH40">
        <f>'3c'!G56</f>
        <v>0</v>
      </c>
      <c r="AI40">
        <f>'3c'!H56</f>
        <v>0</v>
      </c>
    </row>
    <row r="41" spans="1:35" x14ac:dyDescent="0.25">
      <c r="A41">
        <f t="shared" si="0"/>
        <v>0</v>
      </c>
      <c r="B41">
        <f t="shared" si="1"/>
        <v>0</v>
      </c>
      <c r="C41">
        <f t="shared" si="2"/>
        <v>0</v>
      </c>
      <c r="D41">
        <f t="shared" si="3"/>
        <v>0</v>
      </c>
      <c r="E41">
        <f t="shared" si="4"/>
        <v>0</v>
      </c>
      <c r="F41">
        <f>'D-RepLevel'!$F$2</f>
        <v>0</v>
      </c>
      <c r="G41">
        <f>'D-RepLevel'!$G$2</f>
        <v>0</v>
      </c>
      <c r="H41">
        <f t="shared" si="5"/>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6"/>
        <v>0</v>
      </c>
      <c r="M41">
        <f t="shared" si="7"/>
        <v>0</v>
      </c>
      <c r="N41">
        <f t="shared" si="8"/>
        <v>0</v>
      </c>
      <c r="O41">
        <f t="shared" si="9"/>
        <v>2015</v>
      </c>
      <c r="P41">
        <f t="shared" si="10"/>
        <v>0</v>
      </c>
      <c r="Q41">
        <f t="shared" si="11"/>
        <v>0</v>
      </c>
      <c r="R41">
        <f t="shared" si="12"/>
        <v>0</v>
      </c>
      <c r="S41">
        <f t="shared" si="13"/>
        <v>0</v>
      </c>
      <c r="T41">
        <f>COUNTIF('9a'!$K$22:$K$32, "Yes")+COUNTIF('9a'!$O$22:$O$32, "Yes")</f>
        <v>0</v>
      </c>
      <c r="U41" t="str">
        <f t="shared" si="14"/>
        <v>No Expenditures</v>
      </c>
      <c r="V41" t="str">
        <f t="shared" si="15"/>
        <v>No Expenditures</v>
      </c>
      <c r="W41">
        <f t="shared" si="16"/>
        <v>0</v>
      </c>
      <c r="X41" t="str">
        <f>'D-Risk'!$AO$25</f>
        <v>Insufficient Data</v>
      </c>
      <c r="Y41" t="str">
        <f>'D-Risk'!$AO$26</f>
        <v>Insufficient Data</v>
      </c>
      <c r="Z41" t="str">
        <f>'D-Risk'!$AO$27</f>
        <v>Uncalculated</v>
      </c>
      <c r="AA41" t="s">
        <v>804</v>
      </c>
      <c r="AB41" t="s">
        <v>1225</v>
      </c>
      <c r="AC41" t="s">
        <v>1226</v>
      </c>
      <c r="AD41">
        <f>Q3b_J1_Participation</f>
        <v>0</v>
      </c>
      <c r="AE41">
        <f>'3c'!D59</f>
        <v>0</v>
      </c>
      <c r="AF41">
        <f>'3c'!E59</f>
        <v>0</v>
      </c>
      <c r="AG41">
        <f>'3c'!F59</f>
        <v>0</v>
      </c>
      <c r="AH41">
        <f>'3c'!G59</f>
        <v>0</v>
      </c>
      <c r="AI41">
        <f>'3c'!H59</f>
        <v>0</v>
      </c>
    </row>
    <row r="42" spans="1:35" x14ac:dyDescent="0.25">
      <c r="A42">
        <f t="shared" si="0"/>
        <v>0</v>
      </c>
      <c r="B42">
        <f t="shared" si="1"/>
        <v>0</v>
      </c>
      <c r="C42">
        <f t="shared" si="2"/>
        <v>0</v>
      </c>
      <c r="D42">
        <f t="shared" si="3"/>
        <v>0</v>
      </c>
      <c r="E42">
        <f t="shared" si="4"/>
        <v>0</v>
      </c>
      <c r="F42">
        <f>'D-RepLevel'!$F$2</f>
        <v>0</v>
      </c>
      <c r="G42">
        <f>'D-RepLevel'!$G$2</f>
        <v>0</v>
      </c>
      <c r="H42">
        <f t="shared" si="5"/>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6"/>
        <v>0</v>
      </c>
      <c r="M42">
        <f t="shared" si="7"/>
        <v>0</v>
      </c>
      <c r="N42">
        <f t="shared" si="8"/>
        <v>0</v>
      </c>
      <c r="O42">
        <f t="shared" si="9"/>
        <v>2015</v>
      </c>
      <c r="P42">
        <f t="shared" si="10"/>
        <v>0</v>
      </c>
      <c r="Q42">
        <f t="shared" si="11"/>
        <v>0</v>
      </c>
      <c r="R42">
        <f t="shared" si="12"/>
        <v>0</v>
      </c>
      <c r="S42">
        <f t="shared" si="13"/>
        <v>0</v>
      </c>
      <c r="T42">
        <f>COUNTIF('9a'!$K$22:$K$32, "Yes")+COUNTIF('9a'!$O$22:$O$32, "Yes")</f>
        <v>0</v>
      </c>
      <c r="U42" t="str">
        <f t="shared" si="14"/>
        <v>No Expenditures</v>
      </c>
      <c r="V42" t="str">
        <f t="shared" si="15"/>
        <v>No Expenditures</v>
      </c>
      <c r="W42">
        <f t="shared" si="16"/>
        <v>0</v>
      </c>
      <c r="X42" t="str">
        <f>'D-Risk'!$AO$25</f>
        <v>Insufficient Data</v>
      </c>
      <c r="Y42" t="str">
        <f>'D-Risk'!$AO$26</f>
        <v>Insufficient Data</v>
      </c>
      <c r="Z42" t="str">
        <f>'D-Risk'!$AO$27</f>
        <v>Uncalculated</v>
      </c>
      <c r="AA42" t="s">
        <v>804</v>
      </c>
      <c r="AB42" t="s">
        <v>1227</v>
      </c>
      <c r="AC42" t="s">
        <v>1228</v>
      </c>
      <c r="AD42">
        <f>Q3b_J2_Participation</f>
        <v>0</v>
      </c>
      <c r="AE42">
        <f>'3c'!D60</f>
        <v>0</v>
      </c>
      <c r="AF42">
        <f>'3c'!E60</f>
        <v>0</v>
      </c>
      <c r="AG42">
        <f>'3c'!F60</f>
        <v>0</v>
      </c>
      <c r="AH42">
        <f>'3c'!G60</f>
        <v>0</v>
      </c>
      <c r="AI42">
        <f>'3c'!H60</f>
        <v>0</v>
      </c>
    </row>
    <row r="43" spans="1:35" x14ac:dyDescent="0.25">
      <c r="A43">
        <f t="shared" si="0"/>
        <v>0</v>
      </c>
      <c r="B43">
        <f t="shared" si="1"/>
        <v>0</v>
      </c>
      <c r="C43">
        <f t="shared" si="2"/>
        <v>0</v>
      </c>
      <c r="D43">
        <f t="shared" si="3"/>
        <v>0</v>
      </c>
      <c r="E43">
        <f t="shared" si="4"/>
        <v>0</v>
      </c>
      <c r="F43">
        <f>'D-RepLevel'!$F$2</f>
        <v>0</v>
      </c>
      <c r="G43">
        <f>'D-RepLevel'!$G$2</f>
        <v>0</v>
      </c>
      <c r="H43">
        <f t="shared" si="5"/>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6"/>
        <v>0</v>
      </c>
      <c r="M43">
        <f t="shared" si="7"/>
        <v>0</v>
      </c>
      <c r="N43">
        <f t="shared" si="8"/>
        <v>0</v>
      </c>
      <c r="O43">
        <f t="shared" si="9"/>
        <v>2015</v>
      </c>
      <c r="P43">
        <f t="shared" si="10"/>
        <v>0</v>
      </c>
      <c r="Q43">
        <f t="shared" si="11"/>
        <v>0</v>
      </c>
      <c r="R43">
        <f t="shared" si="12"/>
        <v>0</v>
      </c>
      <c r="S43">
        <f t="shared" si="13"/>
        <v>0</v>
      </c>
      <c r="T43">
        <f>COUNTIF('9a'!$K$22:$K$32, "Yes")+COUNTIF('9a'!$O$22:$O$32, "Yes")</f>
        <v>0</v>
      </c>
      <c r="U43" t="str">
        <f t="shared" si="14"/>
        <v>No Expenditures</v>
      </c>
      <c r="V43" t="str">
        <f t="shared" si="15"/>
        <v>No Expenditures</v>
      </c>
      <c r="W43">
        <f t="shared" si="16"/>
        <v>0</v>
      </c>
      <c r="X43" t="str">
        <f>'D-Risk'!$AO$25</f>
        <v>Insufficient Data</v>
      </c>
      <c r="Y43" t="str">
        <f>'D-Risk'!$AO$26</f>
        <v>Insufficient Data</v>
      </c>
      <c r="Z43" t="str">
        <f>'D-Risk'!$AO$27</f>
        <v>Uncalculated</v>
      </c>
      <c r="AA43" t="s">
        <v>804</v>
      </c>
      <c r="AB43" t="s">
        <v>1229</v>
      </c>
      <c r="AC43" t="s">
        <v>1230</v>
      </c>
      <c r="AD43">
        <f>Q3b_J3_Participation</f>
        <v>0</v>
      </c>
      <c r="AE43">
        <f>'3c'!D61</f>
        <v>0</v>
      </c>
      <c r="AF43">
        <f>'3c'!E61</f>
        <v>0</v>
      </c>
      <c r="AG43">
        <f>'3c'!F61</f>
        <v>0</v>
      </c>
      <c r="AH43">
        <f>'3c'!G61</f>
        <v>0</v>
      </c>
      <c r="AI43">
        <f>'3c'!H61</f>
        <v>0</v>
      </c>
    </row>
    <row r="44" spans="1:35" x14ac:dyDescent="0.25">
      <c r="A44">
        <f t="shared" si="0"/>
        <v>0</v>
      </c>
      <c r="B44">
        <f t="shared" si="1"/>
        <v>0</v>
      </c>
      <c r="C44">
        <f t="shared" si="2"/>
        <v>0</v>
      </c>
      <c r="D44">
        <f t="shared" si="3"/>
        <v>0</v>
      </c>
      <c r="E44">
        <f t="shared" si="4"/>
        <v>0</v>
      </c>
      <c r="F44">
        <f>'D-RepLevel'!$F$2</f>
        <v>0</v>
      </c>
      <c r="G44">
        <f>'D-RepLevel'!$G$2</f>
        <v>0</v>
      </c>
      <c r="H44">
        <f t="shared" si="5"/>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6"/>
        <v>0</v>
      </c>
      <c r="M44">
        <f t="shared" si="7"/>
        <v>0</v>
      </c>
      <c r="N44">
        <f t="shared" si="8"/>
        <v>0</v>
      </c>
      <c r="O44">
        <f t="shared" si="9"/>
        <v>2015</v>
      </c>
      <c r="P44">
        <f t="shared" si="10"/>
        <v>0</v>
      </c>
      <c r="Q44">
        <f t="shared" si="11"/>
        <v>0</v>
      </c>
      <c r="R44">
        <f t="shared" si="12"/>
        <v>0</v>
      </c>
      <c r="S44">
        <f t="shared" si="13"/>
        <v>0</v>
      </c>
      <c r="T44">
        <f>COUNTIF('9a'!$K$22:$K$32, "Yes")+COUNTIF('9a'!$O$22:$O$32, "Yes")</f>
        <v>0</v>
      </c>
      <c r="U44" t="str">
        <f t="shared" si="14"/>
        <v>No Expenditures</v>
      </c>
      <c r="V44" t="str">
        <f t="shared" si="15"/>
        <v>No Expenditures</v>
      </c>
      <c r="W44">
        <f t="shared" si="16"/>
        <v>0</v>
      </c>
      <c r="X44" t="str">
        <f>'D-Risk'!$AO$25</f>
        <v>Insufficient Data</v>
      </c>
      <c r="Y44" t="str">
        <f>'D-Risk'!$AO$26</f>
        <v>Insufficient Data</v>
      </c>
      <c r="Z44" t="str">
        <f>'D-Risk'!$AO$27</f>
        <v>Uncalculated</v>
      </c>
      <c r="AA44" t="s">
        <v>804</v>
      </c>
      <c r="AB44" t="s">
        <v>1231</v>
      </c>
      <c r="AC44" t="s">
        <v>1232</v>
      </c>
      <c r="AD44">
        <f>Q3b_J4_Participation</f>
        <v>0</v>
      </c>
      <c r="AE44">
        <f>'3c'!D62</f>
        <v>0</v>
      </c>
      <c r="AF44">
        <f>'3c'!E62</f>
        <v>0</v>
      </c>
      <c r="AG44">
        <f>'3c'!F62</f>
        <v>0</v>
      </c>
      <c r="AH44">
        <f>'3c'!G62</f>
        <v>0</v>
      </c>
      <c r="AI44">
        <f>'3c'!H62</f>
        <v>0</v>
      </c>
    </row>
    <row r="45" spans="1:35" x14ac:dyDescent="0.25">
      <c r="B45">
        <v>0</v>
      </c>
      <c r="C45">
        <v>0</v>
      </c>
      <c r="D45">
        <v>0</v>
      </c>
      <c r="AC45" t="s">
        <v>791</v>
      </c>
    </row>
    <row r="46" spans="1:35" x14ac:dyDescent="0.25">
      <c r="B46">
        <v>0</v>
      </c>
      <c r="C46">
        <v>0</v>
      </c>
      <c r="D46">
        <v>0</v>
      </c>
      <c r="AC46" t="s">
        <v>791</v>
      </c>
    </row>
    <row r="47" spans="1:35" x14ac:dyDescent="0.25">
      <c r="B47">
        <v>0</v>
      </c>
      <c r="C47">
        <v>0</v>
      </c>
      <c r="D47">
        <v>0</v>
      </c>
      <c r="AC47" t="s">
        <v>791</v>
      </c>
    </row>
    <row r="48" spans="1:35" x14ac:dyDescent="0.25">
      <c r="B48">
        <v>0</v>
      </c>
      <c r="C48">
        <v>0</v>
      </c>
      <c r="D48">
        <v>0</v>
      </c>
      <c r="AC48" t="s">
        <v>791</v>
      </c>
    </row>
  </sheetData>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38"/>
  <sheetViews>
    <sheetView zoomScale="70" zoomScaleNormal="70" workbookViewId="0">
      <selection activeCell="C7" sqref="C7:D7"/>
    </sheetView>
  </sheetViews>
  <sheetFormatPr defaultRowHeight="15" x14ac:dyDescent="0.25"/>
  <sheetData>
    <row r="1" spans="1:3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2128</v>
      </c>
      <c r="AB1" t="s">
        <v>2129</v>
      </c>
      <c r="AC1" t="s">
        <v>2130</v>
      </c>
      <c r="AD1" t="s">
        <v>237</v>
      </c>
      <c r="AE1" t="s">
        <v>2131</v>
      </c>
      <c r="AF1" t="s">
        <v>239</v>
      </c>
      <c r="AG1" t="s">
        <v>2132</v>
      </c>
      <c r="AH1" t="s">
        <v>2133</v>
      </c>
      <c r="AI1" t="s">
        <v>2134</v>
      </c>
    </row>
    <row r="2" spans="1:35" x14ac:dyDescent="0.25">
      <c r="A2">
        <f t="shared" ref="A2:A38" si="0">Q_RP_B_DSSCAGE_01</f>
        <v>0</v>
      </c>
      <c r="B2">
        <f t="shared" ref="B2:B38" si="1">Q1a_A_LocationName</f>
        <v>0</v>
      </c>
      <c r="C2">
        <f t="shared" ref="C2:C38" si="2">Q1a_A_LocOrgName</f>
        <v>0</v>
      </c>
      <c r="D2">
        <f t="shared" ref="D2:D38" si="3">Q1a_B_Parent1_Name</f>
        <v>0</v>
      </c>
      <c r="E2">
        <f t="shared" ref="E2:E38" si="4">Q_RP_A_MultiResponse</f>
        <v>0</v>
      </c>
      <c r="F2">
        <f>'D-RepLevel'!$F$2</f>
        <v>0</v>
      </c>
      <c r="G2">
        <f>'D-RepLevel'!$G$2</f>
        <v>0</v>
      </c>
      <c r="H2">
        <f t="shared" ref="H2:H38"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8" si="6">Q4b_A_NumUSGPrograms</f>
        <v>0</v>
      </c>
      <c r="M2">
        <f t="shared" ref="M2:M38" si="7">Q6_A_Employees_Year3</f>
        <v>0</v>
      </c>
      <c r="N2">
        <f t="shared" ref="N2:N38" si="8">Q6_B_Employee_H1B_Total+Q6_B_Employee_H2B_Total+Q6_B_Employee_F1_Total+Q6_B_Employee_GreenCard_Total+Q6_B_Employee_Other_Total</f>
        <v>0</v>
      </c>
      <c r="O2">
        <f t="shared" ref="O2:O38" si="9">Year3</f>
        <v>2015</v>
      </c>
      <c r="P2">
        <f t="shared" ref="P2:P38" si="10">Q7_A_TotalSales_US_Year3+Q7_A_TotalSales_NonUS_Year3</f>
        <v>0</v>
      </c>
      <c r="Q2">
        <f t="shared" ref="Q2:Q38" si="11">Q7_B_DefSales_US_Year3_Pct*Q7_A_TotalSales_US_Year3+Q7_B_DefSales_NonUS_Year3_Pct*Q7_A_TotalSales_NonUS_Year3</f>
        <v>0</v>
      </c>
      <c r="R2">
        <f t="shared" ref="R2:R38" si="12">Q9a_B_Physical_Year3</f>
        <v>0</v>
      </c>
      <c r="S2">
        <f t="shared" ref="S2:S38" si="13">Q9a_B_Cyber_Year3</f>
        <v>0</v>
      </c>
      <c r="T2">
        <f>COUNTIF('9a'!$K$22:$K$32, "Yes")+COUNTIF('9a'!$O$22:$O$32, "Yes")</f>
        <v>0</v>
      </c>
      <c r="U2" t="str">
        <f t="shared" ref="U2:U38" si="14">IF(Q12_OpEx_Year3=0, "No Expenditures", Q9b_A_PhysicalSpending_Year3/(Q12_OpEx_Year3))</f>
        <v>No Expenditures</v>
      </c>
      <c r="V2" t="str">
        <f t="shared" ref="V2:V38" si="15">IF(Q12_OpEx_Year3=0, "No Expenditures", Q9b_A_CyberSpending_Year3/(Q12_OpEx_Year3))</f>
        <v>No Expenditures</v>
      </c>
      <c r="W2">
        <f t="shared" ref="W2:W38" si="16">Q9b_C_Pct_CSI_External</f>
        <v>0</v>
      </c>
      <c r="X2" t="str">
        <f>'D-Risk'!$AO$25</f>
        <v>Insufficient Data</v>
      </c>
      <c r="Y2" t="str">
        <f>'D-Risk'!$AO$26</f>
        <v>Insufficient Data</v>
      </c>
      <c r="Z2" t="str">
        <f>'D-Risk'!$AO$27</f>
        <v>Uncalculated</v>
      </c>
      <c r="AA2" t="s">
        <v>807</v>
      </c>
      <c r="AB2" t="s">
        <v>1233</v>
      </c>
      <c r="AC2" t="s">
        <v>1234</v>
      </c>
      <c r="AD2">
        <f>Q3b_K1_Participation</f>
        <v>0</v>
      </c>
      <c r="AE2">
        <f>'3d'!D8</f>
        <v>0</v>
      </c>
      <c r="AF2">
        <f>'3d'!E8</f>
        <v>0</v>
      </c>
      <c r="AG2">
        <f>'3d'!F8</f>
        <v>0</v>
      </c>
      <c r="AH2">
        <f>'3d'!G8</f>
        <v>0</v>
      </c>
      <c r="AI2">
        <f>'3d'!H8</f>
        <v>0</v>
      </c>
    </row>
    <row r="3" spans="1:35"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t="s">
        <v>807</v>
      </c>
      <c r="AB3" t="s">
        <v>1235</v>
      </c>
      <c r="AC3" t="s">
        <v>1236</v>
      </c>
      <c r="AD3">
        <f>Q3b_K2_Participation</f>
        <v>0</v>
      </c>
      <c r="AE3">
        <f>'3d'!D9</f>
        <v>0</v>
      </c>
      <c r="AF3">
        <f>'3d'!E9</f>
        <v>0</v>
      </c>
      <c r="AG3">
        <f>'3d'!F9</f>
        <v>0</v>
      </c>
      <c r="AH3">
        <f>'3d'!G9</f>
        <v>0</v>
      </c>
      <c r="AI3">
        <f>'3d'!H9</f>
        <v>0</v>
      </c>
    </row>
    <row r="4" spans="1:35"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t="s">
        <v>807</v>
      </c>
      <c r="AB4" t="s">
        <v>1237</v>
      </c>
      <c r="AC4" t="s">
        <v>1238</v>
      </c>
      <c r="AD4">
        <f>Q3b_K3_Participation</f>
        <v>0</v>
      </c>
      <c r="AE4">
        <f>'3d'!D10</f>
        <v>0</v>
      </c>
      <c r="AF4">
        <f>'3d'!E10</f>
        <v>0</v>
      </c>
      <c r="AG4">
        <f>'3d'!F10</f>
        <v>0</v>
      </c>
      <c r="AH4">
        <f>'3d'!G10</f>
        <v>0</v>
      </c>
      <c r="AI4">
        <f>'3d'!H10</f>
        <v>0</v>
      </c>
    </row>
    <row r="5" spans="1:35"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t="s">
        <v>807</v>
      </c>
      <c r="AB5" t="s">
        <v>1239</v>
      </c>
      <c r="AC5" t="s">
        <v>1240</v>
      </c>
      <c r="AD5">
        <f>Q3b_K4_Participation</f>
        <v>0</v>
      </c>
      <c r="AE5">
        <f>'3d'!D11</f>
        <v>0</v>
      </c>
      <c r="AF5">
        <f>'3d'!E11</f>
        <v>0</v>
      </c>
      <c r="AG5">
        <f>'3d'!F11</f>
        <v>0</v>
      </c>
      <c r="AH5">
        <f>'3d'!G11</f>
        <v>0</v>
      </c>
      <c r="AI5">
        <f>'3d'!H11</f>
        <v>0</v>
      </c>
    </row>
    <row r="6" spans="1:35"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t="s">
        <v>807</v>
      </c>
      <c r="AB6" t="s">
        <v>1241</v>
      </c>
      <c r="AC6" t="s">
        <v>1242</v>
      </c>
      <c r="AD6">
        <f>Q3b_K5_Participation</f>
        <v>0</v>
      </c>
      <c r="AE6">
        <f>'3d'!D12</f>
        <v>0</v>
      </c>
      <c r="AF6">
        <f>'3d'!E12</f>
        <v>0</v>
      </c>
      <c r="AG6">
        <f>'3d'!F12</f>
        <v>0</v>
      </c>
      <c r="AH6">
        <f>'3d'!G12</f>
        <v>0</v>
      </c>
      <c r="AI6">
        <f>'3d'!H12</f>
        <v>0</v>
      </c>
    </row>
    <row r="7" spans="1:35"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t="s">
        <v>807</v>
      </c>
      <c r="AB7" t="s">
        <v>1243</v>
      </c>
      <c r="AC7" t="s">
        <v>1244</v>
      </c>
      <c r="AD7">
        <f>Q3b_K6_Participation</f>
        <v>0</v>
      </c>
      <c r="AE7">
        <f>'3d'!D13</f>
        <v>0</v>
      </c>
      <c r="AF7">
        <f>'3d'!E13</f>
        <v>0</v>
      </c>
      <c r="AG7">
        <f>'3d'!F13</f>
        <v>0</v>
      </c>
      <c r="AH7">
        <f>'3d'!G13</f>
        <v>0</v>
      </c>
      <c r="AI7">
        <f>'3d'!H13</f>
        <v>0</v>
      </c>
    </row>
    <row r="8" spans="1:35"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t="s">
        <v>808</v>
      </c>
      <c r="AB8" t="s">
        <v>1245</v>
      </c>
      <c r="AC8" t="s">
        <v>1246</v>
      </c>
      <c r="AD8">
        <f>Q3b_L1_Participation</f>
        <v>0</v>
      </c>
      <c r="AE8">
        <f>'3d'!D16</f>
        <v>0</v>
      </c>
      <c r="AF8">
        <f>'3d'!E16</f>
        <v>0</v>
      </c>
      <c r="AG8">
        <f>'3d'!F16</f>
        <v>0</v>
      </c>
      <c r="AH8">
        <f>'3d'!G16</f>
        <v>0</v>
      </c>
      <c r="AI8">
        <f>'3d'!H16</f>
        <v>0</v>
      </c>
    </row>
    <row r="9" spans="1:35"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t="s">
        <v>808</v>
      </c>
      <c r="AB9" t="s">
        <v>1247</v>
      </c>
      <c r="AC9" t="s">
        <v>1248</v>
      </c>
      <c r="AD9">
        <f>Q3b_L2_Participation</f>
        <v>0</v>
      </c>
      <c r="AE9">
        <f>'3d'!D17</f>
        <v>0</v>
      </c>
      <c r="AF9">
        <f>'3d'!E17</f>
        <v>0</v>
      </c>
      <c r="AG9">
        <f>'3d'!F17</f>
        <v>0</v>
      </c>
      <c r="AH9">
        <f>'3d'!G17</f>
        <v>0</v>
      </c>
      <c r="AI9">
        <f>'3d'!H17</f>
        <v>0</v>
      </c>
    </row>
    <row r="10" spans="1:35"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t="s">
        <v>808</v>
      </c>
      <c r="AB10" t="s">
        <v>1249</v>
      </c>
      <c r="AC10" t="s">
        <v>1250</v>
      </c>
      <c r="AD10">
        <f>Q3b_L3_Participation</f>
        <v>0</v>
      </c>
      <c r="AE10">
        <f>'3d'!D18</f>
        <v>0</v>
      </c>
      <c r="AF10">
        <f>'3d'!E18</f>
        <v>0</v>
      </c>
      <c r="AG10">
        <f>'3d'!F18</f>
        <v>0</v>
      </c>
      <c r="AH10">
        <f>'3d'!G18</f>
        <v>0</v>
      </c>
      <c r="AI10">
        <f>'3d'!H18</f>
        <v>0</v>
      </c>
    </row>
    <row r="11" spans="1:35"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t="s">
        <v>808</v>
      </c>
      <c r="AB11" t="s">
        <v>1251</v>
      </c>
      <c r="AC11" t="s">
        <v>1252</v>
      </c>
      <c r="AD11">
        <f>Q3b_L4_Participation</f>
        <v>0</v>
      </c>
      <c r="AE11">
        <f>'3d'!D19</f>
        <v>0</v>
      </c>
      <c r="AF11">
        <f>'3d'!E19</f>
        <v>0</v>
      </c>
      <c r="AG11">
        <f>'3d'!F19</f>
        <v>0</v>
      </c>
      <c r="AH11">
        <f>'3d'!G19</f>
        <v>0</v>
      </c>
      <c r="AI11">
        <f>'3d'!H19</f>
        <v>0</v>
      </c>
    </row>
    <row r="12" spans="1:35"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t="s">
        <v>808</v>
      </c>
      <c r="AB12" t="s">
        <v>1253</v>
      </c>
      <c r="AC12" t="s">
        <v>1254</v>
      </c>
      <c r="AD12">
        <f>Q3b_L5_Participation</f>
        <v>0</v>
      </c>
      <c r="AE12">
        <f>'3d'!D20</f>
        <v>0</v>
      </c>
      <c r="AF12">
        <f>'3d'!E20</f>
        <v>0</v>
      </c>
      <c r="AG12">
        <f>'3d'!F20</f>
        <v>0</v>
      </c>
      <c r="AH12">
        <f>'3d'!G20</f>
        <v>0</v>
      </c>
      <c r="AI12">
        <f>'3d'!H20</f>
        <v>0</v>
      </c>
    </row>
    <row r="13" spans="1:35"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t="s">
        <v>808</v>
      </c>
      <c r="AB13" t="s">
        <v>1255</v>
      </c>
      <c r="AC13" t="s">
        <v>1256</v>
      </c>
      <c r="AD13">
        <f>Q3b_L6_Participation</f>
        <v>0</v>
      </c>
      <c r="AE13">
        <f>'3d'!D21</f>
        <v>0</v>
      </c>
      <c r="AF13">
        <f>'3d'!E21</f>
        <v>0</v>
      </c>
      <c r="AG13">
        <f>'3d'!F21</f>
        <v>0</v>
      </c>
      <c r="AH13">
        <f>'3d'!G21</f>
        <v>0</v>
      </c>
      <c r="AI13">
        <f>'3d'!H21</f>
        <v>0</v>
      </c>
    </row>
    <row r="14" spans="1:35"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t="s">
        <v>809</v>
      </c>
      <c r="AB14" t="s">
        <v>1257</v>
      </c>
      <c r="AC14" t="s">
        <v>1258</v>
      </c>
      <c r="AD14">
        <f>Q3b_M1_Participation</f>
        <v>0</v>
      </c>
      <c r="AE14">
        <f>'3d'!D24</f>
        <v>0</v>
      </c>
      <c r="AF14">
        <f>'3d'!E24</f>
        <v>0</v>
      </c>
      <c r="AG14">
        <f>'3d'!F24</f>
        <v>0</v>
      </c>
      <c r="AH14">
        <f>'3d'!G24</f>
        <v>0</v>
      </c>
      <c r="AI14">
        <f>'3d'!H24</f>
        <v>0</v>
      </c>
    </row>
    <row r="15" spans="1:35"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t="s">
        <v>809</v>
      </c>
      <c r="AB15" t="s">
        <v>1259</v>
      </c>
      <c r="AC15" t="s">
        <v>1260</v>
      </c>
      <c r="AD15">
        <f>Q3b_M2_Participation</f>
        <v>0</v>
      </c>
      <c r="AE15">
        <f>'3d'!D25</f>
        <v>0</v>
      </c>
      <c r="AF15">
        <f>'3d'!E25</f>
        <v>0</v>
      </c>
      <c r="AG15">
        <f>'3d'!F25</f>
        <v>0</v>
      </c>
      <c r="AH15">
        <f>'3d'!G25</f>
        <v>0</v>
      </c>
      <c r="AI15">
        <f>'3d'!H25</f>
        <v>0</v>
      </c>
    </row>
    <row r="16" spans="1:35"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t="s">
        <v>809</v>
      </c>
      <c r="AB16" t="s">
        <v>1261</v>
      </c>
      <c r="AC16" t="s">
        <v>1262</v>
      </c>
      <c r="AD16">
        <f>Q3b_M3_Participation</f>
        <v>0</v>
      </c>
      <c r="AE16">
        <f>'3d'!D26</f>
        <v>0</v>
      </c>
      <c r="AF16">
        <f>'3d'!E26</f>
        <v>0</v>
      </c>
      <c r="AG16">
        <f>'3d'!F26</f>
        <v>0</v>
      </c>
      <c r="AH16">
        <f>'3d'!G26</f>
        <v>0</v>
      </c>
      <c r="AI16">
        <f>'3d'!H26</f>
        <v>0</v>
      </c>
    </row>
    <row r="17" spans="1:35"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t="s">
        <v>809</v>
      </c>
      <c r="AB17" t="s">
        <v>1263</v>
      </c>
      <c r="AC17" t="s">
        <v>1264</v>
      </c>
      <c r="AD17">
        <f>Q3b_M4_Participation</f>
        <v>0</v>
      </c>
      <c r="AE17">
        <f>'3d'!D27</f>
        <v>0</v>
      </c>
      <c r="AF17">
        <f>'3d'!E27</f>
        <v>0</v>
      </c>
      <c r="AG17">
        <f>'3d'!F27</f>
        <v>0</v>
      </c>
      <c r="AH17">
        <f>'3d'!G27</f>
        <v>0</v>
      </c>
      <c r="AI17">
        <f>'3d'!H27</f>
        <v>0</v>
      </c>
    </row>
    <row r="18" spans="1:35"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t="s">
        <v>809</v>
      </c>
      <c r="AB18" t="s">
        <v>1265</v>
      </c>
      <c r="AC18" t="s">
        <v>1266</v>
      </c>
      <c r="AD18">
        <f>Q3b_M5_Participation</f>
        <v>0</v>
      </c>
      <c r="AE18">
        <f>'3d'!D28</f>
        <v>0</v>
      </c>
      <c r="AF18">
        <f>'3d'!E28</f>
        <v>0</v>
      </c>
      <c r="AG18">
        <f>'3d'!F28</f>
        <v>0</v>
      </c>
      <c r="AH18">
        <f>'3d'!G28</f>
        <v>0</v>
      </c>
      <c r="AI18">
        <f>'3d'!H28</f>
        <v>0</v>
      </c>
    </row>
    <row r="19" spans="1:35"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t="s">
        <v>810</v>
      </c>
      <c r="AB19" t="s">
        <v>1267</v>
      </c>
      <c r="AC19" t="s">
        <v>1268</v>
      </c>
      <c r="AD19">
        <f>Q3b_N1_Participation</f>
        <v>0</v>
      </c>
      <c r="AE19">
        <f>'3d'!D31</f>
        <v>0</v>
      </c>
      <c r="AF19">
        <f>'3d'!E31</f>
        <v>0</v>
      </c>
      <c r="AG19">
        <f>'3d'!F31</f>
        <v>0</v>
      </c>
      <c r="AH19">
        <f>'3d'!G31</f>
        <v>0</v>
      </c>
      <c r="AI19">
        <f>'3d'!H31</f>
        <v>0</v>
      </c>
    </row>
    <row r="20" spans="1:35"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t="s">
        <v>810</v>
      </c>
      <c r="AB20" t="s">
        <v>1269</v>
      </c>
      <c r="AC20" t="s">
        <v>1270</v>
      </c>
      <c r="AD20">
        <f>Q3b_N2_Participation</f>
        <v>0</v>
      </c>
      <c r="AE20">
        <f>'3d'!D32</f>
        <v>0</v>
      </c>
      <c r="AF20">
        <f>'3d'!E32</f>
        <v>0</v>
      </c>
      <c r="AG20">
        <f>'3d'!F32</f>
        <v>0</v>
      </c>
      <c r="AH20">
        <f>'3d'!G32</f>
        <v>0</v>
      </c>
      <c r="AI20">
        <f>'3d'!H32</f>
        <v>0</v>
      </c>
    </row>
    <row r="21" spans="1:35"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t="s">
        <v>810</v>
      </c>
      <c r="AB21" t="s">
        <v>1271</v>
      </c>
      <c r="AC21" t="s">
        <v>1272</v>
      </c>
      <c r="AD21">
        <f>Q3b_N3_Participation</f>
        <v>0</v>
      </c>
      <c r="AE21">
        <f>'3d'!D33</f>
        <v>0</v>
      </c>
      <c r="AF21">
        <f>'3d'!E33</f>
        <v>0</v>
      </c>
      <c r="AG21">
        <f>'3d'!F33</f>
        <v>0</v>
      </c>
      <c r="AH21">
        <f>'3d'!G33</f>
        <v>0</v>
      </c>
      <c r="AI21">
        <f>'3d'!H33</f>
        <v>0</v>
      </c>
    </row>
    <row r="22" spans="1:35"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t="s">
        <v>810</v>
      </c>
      <c r="AB22" t="s">
        <v>1273</v>
      </c>
      <c r="AC22" t="s">
        <v>1274</v>
      </c>
      <c r="AD22">
        <f>Q3b_N4_Participation</f>
        <v>0</v>
      </c>
      <c r="AE22">
        <f>'3d'!D34</f>
        <v>0</v>
      </c>
      <c r="AF22">
        <f>'3d'!E34</f>
        <v>0</v>
      </c>
      <c r="AG22">
        <f>'3d'!F34</f>
        <v>0</v>
      </c>
      <c r="AH22">
        <f>'3d'!G34</f>
        <v>0</v>
      </c>
      <c r="AI22">
        <f>'3d'!H34</f>
        <v>0</v>
      </c>
    </row>
    <row r="23" spans="1:35"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t="s">
        <v>810</v>
      </c>
      <c r="AB23" t="s">
        <v>1275</v>
      </c>
      <c r="AC23" t="s">
        <v>1276</v>
      </c>
      <c r="AD23">
        <f>Q3b_N5_Participation</f>
        <v>0</v>
      </c>
      <c r="AE23">
        <f>'3d'!D35</f>
        <v>0</v>
      </c>
      <c r="AF23">
        <f>'3d'!E35</f>
        <v>0</v>
      </c>
      <c r="AG23">
        <f>'3d'!F35</f>
        <v>0</v>
      </c>
      <c r="AH23">
        <f>'3d'!G35</f>
        <v>0</v>
      </c>
      <c r="AI23">
        <f>'3d'!H35</f>
        <v>0</v>
      </c>
    </row>
    <row r="24" spans="1:35"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t="s">
        <v>810</v>
      </c>
      <c r="AB24" t="s">
        <v>1277</v>
      </c>
      <c r="AC24" t="s">
        <v>1278</v>
      </c>
      <c r="AD24">
        <f>Q3b_N6_Participation</f>
        <v>0</v>
      </c>
      <c r="AE24">
        <f>'3d'!D36</f>
        <v>0</v>
      </c>
      <c r="AF24">
        <f>'3d'!E36</f>
        <v>0</v>
      </c>
      <c r="AG24">
        <f>'3d'!F36</f>
        <v>0</v>
      </c>
      <c r="AH24">
        <f>'3d'!G36</f>
        <v>0</v>
      </c>
      <c r="AI24">
        <f>'3d'!H36</f>
        <v>0</v>
      </c>
    </row>
    <row r="25" spans="1:35"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t="s">
        <v>810</v>
      </c>
      <c r="AB25" t="s">
        <v>1279</v>
      </c>
      <c r="AC25" t="s">
        <v>1280</v>
      </c>
      <c r="AD25">
        <f>Q3b_N7_Participation</f>
        <v>0</v>
      </c>
      <c r="AE25">
        <f>'3d'!D37</f>
        <v>0</v>
      </c>
      <c r="AF25">
        <f>'3d'!E37</f>
        <v>0</v>
      </c>
      <c r="AG25">
        <f>'3d'!F37</f>
        <v>0</v>
      </c>
      <c r="AH25">
        <f>'3d'!G37</f>
        <v>0</v>
      </c>
      <c r="AI25">
        <f>'3d'!H37</f>
        <v>0</v>
      </c>
    </row>
    <row r="26" spans="1:35"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t="s">
        <v>811</v>
      </c>
      <c r="AB26" t="s">
        <v>1281</v>
      </c>
      <c r="AC26" t="s">
        <v>1282</v>
      </c>
      <c r="AD26">
        <f>Q3b_O1_Participation</f>
        <v>0</v>
      </c>
      <c r="AE26">
        <f>'3d'!D40</f>
        <v>0</v>
      </c>
      <c r="AF26">
        <f>'3d'!E40</f>
        <v>0</v>
      </c>
      <c r="AG26">
        <f>'3d'!F40</f>
        <v>0</v>
      </c>
      <c r="AH26">
        <f>'3d'!G40</f>
        <v>0</v>
      </c>
      <c r="AI26">
        <f>'3d'!H40</f>
        <v>0</v>
      </c>
    </row>
    <row r="27" spans="1:35"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t="s">
        <v>811</v>
      </c>
      <c r="AB27" t="s">
        <v>1283</v>
      </c>
      <c r="AC27" t="s">
        <v>1284</v>
      </c>
      <c r="AD27">
        <f>Q3b_O2_Participation</f>
        <v>0</v>
      </c>
      <c r="AE27">
        <f>'3d'!D41</f>
        <v>0</v>
      </c>
      <c r="AF27">
        <f>'3d'!E41</f>
        <v>0</v>
      </c>
      <c r="AG27">
        <f>'3d'!F41</f>
        <v>0</v>
      </c>
      <c r="AH27">
        <f>'3d'!G41</f>
        <v>0</v>
      </c>
      <c r="AI27">
        <f>'3d'!H41</f>
        <v>0</v>
      </c>
    </row>
    <row r="28" spans="1:35"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t="s">
        <v>811</v>
      </c>
      <c r="AB28" t="s">
        <v>1285</v>
      </c>
      <c r="AC28" t="s">
        <v>1286</v>
      </c>
      <c r="AD28">
        <f>Q3b_O3_Participation</f>
        <v>0</v>
      </c>
      <c r="AE28">
        <f>'3d'!D42</f>
        <v>0</v>
      </c>
      <c r="AF28">
        <f>'3d'!E42</f>
        <v>0</v>
      </c>
      <c r="AG28">
        <f>'3d'!F42</f>
        <v>0</v>
      </c>
      <c r="AH28">
        <f>'3d'!G42</f>
        <v>0</v>
      </c>
      <c r="AI28">
        <f>'3d'!H42</f>
        <v>0</v>
      </c>
    </row>
    <row r="29" spans="1:35"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t="s">
        <v>811</v>
      </c>
      <c r="AB29" t="s">
        <v>1287</v>
      </c>
      <c r="AC29" t="s">
        <v>1288</v>
      </c>
      <c r="AD29">
        <f>Q3b_O4_Participation</f>
        <v>0</v>
      </c>
      <c r="AE29">
        <f>'3d'!D43</f>
        <v>0</v>
      </c>
      <c r="AF29">
        <f>'3d'!E43</f>
        <v>0</v>
      </c>
      <c r="AG29">
        <f>'3d'!F43</f>
        <v>0</v>
      </c>
      <c r="AH29">
        <f>'3d'!G43</f>
        <v>0</v>
      </c>
      <c r="AI29">
        <f>'3d'!H43</f>
        <v>0</v>
      </c>
    </row>
    <row r="30" spans="1:35"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t="s">
        <v>811</v>
      </c>
      <c r="AB30" t="s">
        <v>1289</v>
      </c>
      <c r="AC30" t="s">
        <v>1290</v>
      </c>
      <c r="AD30">
        <f>Q3b_O5_Participation</f>
        <v>0</v>
      </c>
      <c r="AE30">
        <f>'3d'!D44</f>
        <v>0</v>
      </c>
      <c r="AF30">
        <f>'3d'!E44</f>
        <v>0</v>
      </c>
      <c r="AG30">
        <f>'3d'!F44</f>
        <v>0</v>
      </c>
      <c r="AH30">
        <f>'3d'!G44</f>
        <v>0</v>
      </c>
      <c r="AI30">
        <f>'3d'!H44</f>
        <v>0</v>
      </c>
    </row>
    <row r="31" spans="1:35"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t="s">
        <v>811</v>
      </c>
      <c r="AB31" t="s">
        <v>1291</v>
      </c>
      <c r="AC31" t="s">
        <v>1292</v>
      </c>
      <c r="AD31">
        <f>Q3b_O6_Participation</f>
        <v>0</v>
      </c>
      <c r="AE31">
        <f>'3d'!D45</f>
        <v>0</v>
      </c>
      <c r="AF31">
        <f>'3d'!E45</f>
        <v>0</v>
      </c>
      <c r="AG31">
        <f>'3d'!F45</f>
        <v>0</v>
      </c>
      <c r="AH31">
        <f>'3d'!G45</f>
        <v>0</v>
      </c>
      <c r="AI31">
        <f>'3d'!H45</f>
        <v>0</v>
      </c>
    </row>
    <row r="32" spans="1:35"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t="s">
        <v>811</v>
      </c>
      <c r="AB32" t="s">
        <v>1293</v>
      </c>
      <c r="AC32" t="s">
        <v>1294</v>
      </c>
      <c r="AD32">
        <f>Q3b_O7_Participation</f>
        <v>0</v>
      </c>
      <c r="AE32">
        <f>'3d'!D46</f>
        <v>0</v>
      </c>
      <c r="AF32">
        <f>'3d'!E46</f>
        <v>0</v>
      </c>
      <c r="AG32">
        <f>'3d'!F46</f>
        <v>0</v>
      </c>
      <c r="AH32">
        <f>'3d'!G46</f>
        <v>0</v>
      </c>
      <c r="AI32">
        <f>'3d'!H46</f>
        <v>0</v>
      </c>
    </row>
    <row r="33" spans="1:35"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t="s">
        <v>811</v>
      </c>
      <c r="AB33" t="s">
        <v>1295</v>
      </c>
      <c r="AC33" t="s">
        <v>1296</v>
      </c>
      <c r="AD33">
        <f>Q3b_O8_Participation</f>
        <v>0</v>
      </c>
      <c r="AE33">
        <f>'3d'!D47</f>
        <v>0</v>
      </c>
      <c r="AF33">
        <f>'3d'!E47</f>
        <v>0</v>
      </c>
      <c r="AG33">
        <f>'3d'!F47</f>
        <v>0</v>
      </c>
      <c r="AH33">
        <f>'3d'!G47</f>
        <v>0</v>
      </c>
      <c r="AI33">
        <f>'3d'!H47</f>
        <v>0</v>
      </c>
    </row>
    <row r="34" spans="1:35" x14ac:dyDescent="0.25">
      <c r="A34">
        <f t="shared" si="0"/>
        <v>0</v>
      </c>
      <c r="B34">
        <f t="shared" si="1"/>
        <v>0</v>
      </c>
      <c r="C34">
        <f t="shared" si="2"/>
        <v>0</v>
      </c>
      <c r="D34">
        <f t="shared" si="3"/>
        <v>0</v>
      </c>
      <c r="E34">
        <f t="shared" si="4"/>
        <v>0</v>
      </c>
      <c r="F34">
        <f>'D-RepLevel'!$F$2</f>
        <v>0</v>
      </c>
      <c r="G34">
        <f>'D-RepLevel'!$G$2</f>
        <v>0</v>
      </c>
      <c r="H34">
        <f t="shared" si="5"/>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si="6"/>
        <v>0</v>
      </c>
      <c r="M34">
        <f t="shared" si="7"/>
        <v>0</v>
      </c>
      <c r="N34">
        <f t="shared" si="8"/>
        <v>0</v>
      </c>
      <c r="O34">
        <f t="shared" si="9"/>
        <v>2015</v>
      </c>
      <c r="P34">
        <f t="shared" si="10"/>
        <v>0</v>
      </c>
      <c r="Q34">
        <f t="shared" si="11"/>
        <v>0</v>
      </c>
      <c r="R34">
        <f t="shared" si="12"/>
        <v>0</v>
      </c>
      <c r="S34">
        <f t="shared" si="13"/>
        <v>0</v>
      </c>
      <c r="T34">
        <f>COUNTIF('9a'!$K$22:$K$32, "Yes")+COUNTIF('9a'!$O$22:$O$32, "Yes")</f>
        <v>0</v>
      </c>
      <c r="U34" t="str">
        <f t="shared" si="14"/>
        <v>No Expenditures</v>
      </c>
      <c r="V34" t="str">
        <f t="shared" si="15"/>
        <v>No Expenditures</v>
      </c>
      <c r="W34">
        <f t="shared" si="16"/>
        <v>0</v>
      </c>
      <c r="X34" t="str">
        <f>'D-Risk'!$AO$25</f>
        <v>Insufficient Data</v>
      </c>
      <c r="Y34" t="str">
        <f>'D-Risk'!$AO$26</f>
        <v>Insufficient Data</v>
      </c>
      <c r="Z34" t="str">
        <f>'D-Risk'!$AO$27</f>
        <v>Uncalculated</v>
      </c>
      <c r="AA34" t="s">
        <v>811</v>
      </c>
      <c r="AB34" t="s">
        <v>1297</v>
      </c>
      <c r="AC34" t="s">
        <v>1298</v>
      </c>
      <c r="AD34">
        <f>Q3b_O9_Participation</f>
        <v>0</v>
      </c>
      <c r="AE34">
        <f>'3d'!D48</f>
        <v>0</v>
      </c>
      <c r="AF34">
        <f>'3d'!E48</f>
        <v>0</v>
      </c>
      <c r="AG34">
        <f>'3d'!F48</f>
        <v>0</v>
      </c>
      <c r="AH34">
        <f>'3d'!G48</f>
        <v>0</v>
      </c>
      <c r="AI34">
        <f>'3d'!H48</f>
        <v>0</v>
      </c>
    </row>
    <row r="35" spans="1:35" x14ac:dyDescent="0.25">
      <c r="A35">
        <f t="shared" si="0"/>
        <v>0</v>
      </c>
      <c r="B35">
        <f t="shared" si="1"/>
        <v>0</v>
      </c>
      <c r="C35">
        <f t="shared" si="2"/>
        <v>0</v>
      </c>
      <c r="D35">
        <f t="shared" si="3"/>
        <v>0</v>
      </c>
      <c r="E35">
        <f t="shared" si="4"/>
        <v>0</v>
      </c>
      <c r="F35">
        <f>'D-RepLevel'!$F$2</f>
        <v>0</v>
      </c>
      <c r="G35">
        <f>'D-RepLevel'!$G$2</f>
        <v>0</v>
      </c>
      <c r="H35">
        <f t="shared" si="5"/>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6"/>
        <v>0</v>
      </c>
      <c r="M35">
        <f t="shared" si="7"/>
        <v>0</v>
      </c>
      <c r="N35">
        <f t="shared" si="8"/>
        <v>0</v>
      </c>
      <c r="O35">
        <f t="shared" si="9"/>
        <v>2015</v>
      </c>
      <c r="P35">
        <f t="shared" si="10"/>
        <v>0</v>
      </c>
      <c r="Q35">
        <f t="shared" si="11"/>
        <v>0</v>
      </c>
      <c r="R35">
        <f t="shared" si="12"/>
        <v>0</v>
      </c>
      <c r="S35">
        <f t="shared" si="13"/>
        <v>0</v>
      </c>
      <c r="T35">
        <f>COUNTIF('9a'!$K$22:$K$32, "Yes")+COUNTIF('9a'!$O$22:$O$32, "Yes")</f>
        <v>0</v>
      </c>
      <c r="U35" t="str">
        <f t="shared" si="14"/>
        <v>No Expenditures</v>
      </c>
      <c r="V35" t="str">
        <f t="shared" si="15"/>
        <v>No Expenditures</v>
      </c>
      <c r="W35">
        <f t="shared" si="16"/>
        <v>0</v>
      </c>
      <c r="X35" t="str">
        <f>'D-Risk'!$AO$25</f>
        <v>Insufficient Data</v>
      </c>
      <c r="Y35" t="str">
        <f>'D-Risk'!$AO$26</f>
        <v>Insufficient Data</v>
      </c>
      <c r="Z35" t="str">
        <f>'D-Risk'!$AO$27</f>
        <v>Uncalculated</v>
      </c>
      <c r="AA35" t="s">
        <v>811</v>
      </c>
      <c r="AB35" t="s">
        <v>1299</v>
      </c>
      <c r="AC35" t="s">
        <v>1300</v>
      </c>
      <c r="AD35">
        <f>Q3b_O10_Participation</f>
        <v>0</v>
      </c>
      <c r="AE35">
        <f>'3d'!D49</f>
        <v>0</v>
      </c>
      <c r="AF35">
        <f>'3d'!E49</f>
        <v>0</v>
      </c>
      <c r="AG35">
        <f>'3d'!F49</f>
        <v>0</v>
      </c>
      <c r="AH35">
        <f>'3d'!G49</f>
        <v>0</v>
      </c>
      <c r="AI35">
        <f>'3d'!H49</f>
        <v>0</v>
      </c>
    </row>
    <row r="36" spans="1:35" x14ac:dyDescent="0.25">
      <c r="A36">
        <f t="shared" si="0"/>
        <v>0</v>
      </c>
      <c r="B36">
        <f t="shared" si="1"/>
        <v>0</v>
      </c>
      <c r="C36">
        <f t="shared" si="2"/>
        <v>0</v>
      </c>
      <c r="D36">
        <f t="shared" si="3"/>
        <v>0</v>
      </c>
      <c r="E36">
        <f t="shared" si="4"/>
        <v>0</v>
      </c>
      <c r="F36">
        <f>'D-RepLevel'!$F$2</f>
        <v>0</v>
      </c>
      <c r="G36">
        <f>'D-RepLevel'!$G$2</f>
        <v>0</v>
      </c>
      <c r="H36">
        <f t="shared" si="5"/>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6"/>
        <v>0</v>
      </c>
      <c r="M36">
        <f t="shared" si="7"/>
        <v>0</v>
      </c>
      <c r="N36">
        <f t="shared" si="8"/>
        <v>0</v>
      </c>
      <c r="O36">
        <f t="shared" si="9"/>
        <v>2015</v>
      </c>
      <c r="P36">
        <f t="shared" si="10"/>
        <v>0</v>
      </c>
      <c r="Q36">
        <f t="shared" si="11"/>
        <v>0</v>
      </c>
      <c r="R36">
        <f t="shared" si="12"/>
        <v>0</v>
      </c>
      <c r="S36">
        <f t="shared" si="13"/>
        <v>0</v>
      </c>
      <c r="T36">
        <f>COUNTIF('9a'!$K$22:$K$32, "Yes")+COUNTIF('9a'!$O$22:$O$32, "Yes")</f>
        <v>0</v>
      </c>
      <c r="U36" t="str">
        <f t="shared" si="14"/>
        <v>No Expenditures</v>
      </c>
      <c r="V36" t="str">
        <f t="shared" si="15"/>
        <v>No Expenditures</v>
      </c>
      <c r="W36">
        <f t="shared" si="16"/>
        <v>0</v>
      </c>
      <c r="X36" t="str">
        <f>'D-Risk'!$AO$25</f>
        <v>Insufficient Data</v>
      </c>
      <c r="Y36" t="str">
        <f>'D-Risk'!$AO$26</f>
        <v>Insufficient Data</v>
      </c>
      <c r="Z36" t="str">
        <f>'D-Risk'!$AO$27</f>
        <v>Uncalculated</v>
      </c>
      <c r="AA36" t="s">
        <v>811</v>
      </c>
      <c r="AB36" t="s">
        <v>1301</v>
      </c>
      <c r="AC36" t="s">
        <v>1302</v>
      </c>
      <c r="AD36">
        <f>Q3b_O11_Participation</f>
        <v>0</v>
      </c>
      <c r="AE36">
        <f>'3d'!D50</f>
        <v>0</v>
      </c>
      <c r="AF36">
        <f>'3d'!E50</f>
        <v>0</v>
      </c>
      <c r="AG36">
        <f>'3d'!F50</f>
        <v>0</v>
      </c>
      <c r="AH36">
        <f>'3d'!G50</f>
        <v>0</v>
      </c>
      <c r="AI36">
        <f>'3d'!H50</f>
        <v>0</v>
      </c>
    </row>
    <row r="37" spans="1:35" x14ac:dyDescent="0.25">
      <c r="A37">
        <f t="shared" si="0"/>
        <v>0</v>
      </c>
      <c r="B37">
        <f t="shared" si="1"/>
        <v>0</v>
      </c>
      <c r="C37">
        <f t="shared" si="2"/>
        <v>0</v>
      </c>
      <c r="D37">
        <f t="shared" si="3"/>
        <v>0</v>
      </c>
      <c r="E37">
        <f t="shared" si="4"/>
        <v>0</v>
      </c>
      <c r="F37">
        <f>'D-RepLevel'!$F$2</f>
        <v>0</v>
      </c>
      <c r="G37">
        <f>'D-RepLevel'!$G$2</f>
        <v>0</v>
      </c>
      <c r="H37">
        <f t="shared" si="5"/>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6"/>
        <v>0</v>
      </c>
      <c r="M37">
        <f t="shared" si="7"/>
        <v>0</v>
      </c>
      <c r="N37">
        <f t="shared" si="8"/>
        <v>0</v>
      </c>
      <c r="O37">
        <f t="shared" si="9"/>
        <v>2015</v>
      </c>
      <c r="P37">
        <f t="shared" si="10"/>
        <v>0</v>
      </c>
      <c r="Q37">
        <f t="shared" si="11"/>
        <v>0</v>
      </c>
      <c r="R37">
        <f t="shared" si="12"/>
        <v>0</v>
      </c>
      <c r="S37">
        <f t="shared" si="13"/>
        <v>0</v>
      </c>
      <c r="T37">
        <f>COUNTIF('9a'!$K$22:$K$32, "Yes")+COUNTIF('9a'!$O$22:$O$32, "Yes")</f>
        <v>0</v>
      </c>
      <c r="U37" t="str">
        <f t="shared" si="14"/>
        <v>No Expenditures</v>
      </c>
      <c r="V37" t="str">
        <f t="shared" si="15"/>
        <v>No Expenditures</v>
      </c>
      <c r="W37">
        <f t="shared" si="16"/>
        <v>0</v>
      </c>
      <c r="X37" t="str">
        <f>'D-Risk'!$AO$25</f>
        <v>Insufficient Data</v>
      </c>
      <c r="Y37" t="str">
        <f>'D-Risk'!$AO$26</f>
        <v>Insufficient Data</v>
      </c>
      <c r="Z37" t="str">
        <f>'D-Risk'!$AO$27</f>
        <v>Uncalculated</v>
      </c>
      <c r="AA37" t="s">
        <v>811</v>
      </c>
      <c r="AB37" t="s">
        <v>1303</v>
      </c>
      <c r="AC37" t="s">
        <v>1304</v>
      </c>
      <c r="AD37">
        <f>Q3b_O12_Participation</f>
        <v>0</v>
      </c>
      <c r="AE37">
        <f>'3d'!D51</f>
        <v>0</v>
      </c>
      <c r="AF37">
        <f>'3d'!E51</f>
        <v>0</v>
      </c>
      <c r="AG37">
        <f>'3d'!F51</f>
        <v>0</v>
      </c>
      <c r="AH37">
        <f>'3d'!G51</f>
        <v>0</v>
      </c>
      <c r="AI37">
        <f>'3d'!H51</f>
        <v>0</v>
      </c>
    </row>
    <row r="38" spans="1:35" x14ac:dyDescent="0.25">
      <c r="A38">
        <f t="shared" si="0"/>
        <v>0</v>
      </c>
      <c r="B38">
        <f t="shared" si="1"/>
        <v>0</v>
      </c>
      <c r="C38">
        <f t="shared" si="2"/>
        <v>0</v>
      </c>
      <c r="D38">
        <f t="shared" si="3"/>
        <v>0</v>
      </c>
      <c r="E38">
        <f t="shared" si="4"/>
        <v>0</v>
      </c>
      <c r="F38">
        <f>'D-RepLevel'!$F$2</f>
        <v>0</v>
      </c>
      <c r="G38">
        <f>'D-RepLevel'!$G$2</f>
        <v>0</v>
      </c>
      <c r="H38">
        <f t="shared" si="5"/>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6"/>
        <v>0</v>
      </c>
      <c r="M38">
        <f t="shared" si="7"/>
        <v>0</v>
      </c>
      <c r="N38">
        <f t="shared" si="8"/>
        <v>0</v>
      </c>
      <c r="O38">
        <f t="shared" si="9"/>
        <v>2015</v>
      </c>
      <c r="P38">
        <f t="shared" si="10"/>
        <v>0</v>
      </c>
      <c r="Q38">
        <f t="shared" si="11"/>
        <v>0</v>
      </c>
      <c r="R38">
        <f t="shared" si="12"/>
        <v>0</v>
      </c>
      <c r="S38">
        <f t="shared" si="13"/>
        <v>0</v>
      </c>
      <c r="T38">
        <f>COUNTIF('9a'!$K$22:$K$32, "Yes")+COUNTIF('9a'!$O$22:$O$32, "Yes")</f>
        <v>0</v>
      </c>
      <c r="U38" t="str">
        <f t="shared" si="14"/>
        <v>No Expenditures</v>
      </c>
      <c r="V38" t="str">
        <f t="shared" si="15"/>
        <v>No Expenditures</v>
      </c>
      <c r="W38">
        <f t="shared" si="16"/>
        <v>0</v>
      </c>
      <c r="X38" t="str">
        <f>'D-Risk'!$AO$25</f>
        <v>Insufficient Data</v>
      </c>
      <c r="Y38" t="str">
        <f>'D-Risk'!$AO$26</f>
        <v>Insufficient Data</v>
      </c>
      <c r="Z38" t="str">
        <f>'D-Risk'!$AO$27</f>
        <v>Uncalculated</v>
      </c>
      <c r="AA38" t="s">
        <v>811</v>
      </c>
      <c r="AB38" t="s">
        <v>1305</v>
      </c>
      <c r="AC38" t="s">
        <v>1306</v>
      </c>
      <c r="AD38">
        <f>Q3b_O13_Participation</f>
        <v>0</v>
      </c>
      <c r="AE38">
        <f>'3d'!D52</f>
        <v>0</v>
      </c>
      <c r="AF38">
        <f>'3d'!E52</f>
        <v>0</v>
      </c>
      <c r="AG38">
        <f>'3d'!F52</f>
        <v>0</v>
      </c>
      <c r="AH38">
        <f>'3d'!G52</f>
        <v>0</v>
      </c>
      <c r="AI38">
        <f>'3d'!H52</f>
        <v>0</v>
      </c>
    </row>
  </sheetData>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0"/>
  <sheetViews>
    <sheetView zoomScale="70" zoomScaleNormal="70" workbookViewId="0">
      <selection activeCell="C7" sqref="C7:D7"/>
    </sheetView>
  </sheetViews>
  <sheetFormatPr defaultRowHeight="15" x14ac:dyDescent="0.25"/>
  <sheetData>
    <row r="1" spans="1:3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2128</v>
      </c>
      <c r="AB1" t="s">
        <v>2129</v>
      </c>
      <c r="AC1" t="s">
        <v>2130</v>
      </c>
      <c r="AD1" t="s">
        <v>237</v>
      </c>
      <c r="AE1" t="s">
        <v>2131</v>
      </c>
      <c r="AF1" t="s">
        <v>239</v>
      </c>
      <c r="AG1" t="s">
        <v>2132</v>
      </c>
      <c r="AH1" t="s">
        <v>2133</v>
      </c>
      <c r="AI1" t="s">
        <v>2134</v>
      </c>
    </row>
    <row r="2" spans="1:35" x14ac:dyDescent="0.25">
      <c r="A2">
        <f t="shared" ref="A2:A33" si="0">Q_RP_B_DSSCAGE_01</f>
        <v>0</v>
      </c>
      <c r="B2">
        <f t="shared" ref="B2:B33" si="1">Q1a_A_LocationName</f>
        <v>0</v>
      </c>
      <c r="C2">
        <f t="shared" ref="C2:C33" si="2">Q1a_A_LocOrgName</f>
        <v>0</v>
      </c>
      <c r="D2">
        <f t="shared" ref="D2:D33" si="3">Q1a_B_Parent1_Name</f>
        <v>0</v>
      </c>
      <c r="E2">
        <f t="shared" ref="E2:E33" si="4">Q_RP_A_MultiResponse</f>
        <v>0</v>
      </c>
      <c r="F2">
        <f>'D-RepLevel'!$F$2</f>
        <v>0</v>
      </c>
      <c r="G2">
        <f>'D-RepLevel'!$G$2</f>
        <v>0</v>
      </c>
      <c r="H2">
        <f t="shared" ref="H2:H33"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3" si="6">Q4b_A_NumUSGPrograms</f>
        <v>0</v>
      </c>
      <c r="M2">
        <f t="shared" ref="M2:M33" si="7">Q6_A_Employees_Year3</f>
        <v>0</v>
      </c>
      <c r="N2">
        <f t="shared" ref="N2:N33" si="8">Q6_B_Employee_H1B_Total+Q6_B_Employee_H2B_Total+Q6_B_Employee_F1_Total+Q6_B_Employee_GreenCard_Total+Q6_B_Employee_Other_Total</f>
        <v>0</v>
      </c>
      <c r="O2">
        <f t="shared" ref="O2:O33" si="9">Year3</f>
        <v>2015</v>
      </c>
      <c r="P2">
        <f t="shared" ref="P2:P33" si="10">Q7_A_TotalSales_US_Year3+Q7_A_TotalSales_NonUS_Year3</f>
        <v>0</v>
      </c>
      <c r="Q2">
        <f t="shared" ref="Q2:Q33" si="11">Q7_B_DefSales_US_Year3_Pct*Q7_A_TotalSales_US_Year3+Q7_B_DefSales_NonUS_Year3_Pct*Q7_A_TotalSales_NonUS_Year3</f>
        <v>0</v>
      </c>
      <c r="R2">
        <f t="shared" ref="R2:R33" si="12">Q9a_B_Physical_Year3</f>
        <v>0</v>
      </c>
      <c r="S2">
        <f t="shared" ref="S2:S33" si="13">Q9a_B_Cyber_Year3</f>
        <v>0</v>
      </c>
      <c r="T2">
        <f>COUNTIF('9a'!$K$22:$K$32, "Yes")+COUNTIF('9a'!$O$22:$O$32, "Yes")</f>
        <v>0</v>
      </c>
      <c r="U2" t="str">
        <f t="shared" ref="U2:U33" si="14">IF(Q12_OpEx_Year3=0, "No Expenditures", Q9b_A_PhysicalSpending_Year3/(Q12_OpEx_Year3))</f>
        <v>No Expenditures</v>
      </c>
      <c r="V2" t="str">
        <f t="shared" ref="V2:V33" si="15">IF(Q12_OpEx_Year3=0, "No Expenditures", Q9b_A_CyberSpending_Year3/(Q12_OpEx_Year3))</f>
        <v>No Expenditures</v>
      </c>
      <c r="W2">
        <f t="shared" ref="W2:W33" si="16">Q9b_C_Pct_CSI_External</f>
        <v>0</v>
      </c>
      <c r="X2" t="str">
        <f>'D-Risk'!$AO$25</f>
        <v>Insufficient Data</v>
      </c>
      <c r="Y2" t="str">
        <f>'D-Risk'!$AO$26</f>
        <v>Insufficient Data</v>
      </c>
      <c r="Z2" t="str">
        <f>'D-Risk'!$AO$27</f>
        <v>Uncalculated</v>
      </c>
      <c r="AA2" t="s">
        <v>782</v>
      </c>
      <c r="AB2" t="s">
        <v>1307</v>
      </c>
      <c r="AC2" t="s">
        <v>1308</v>
      </c>
      <c r="AD2">
        <f>Q3b_P1_Participation</f>
        <v>0</v>
      </c>
      <c r="AE2">
        <f>'3e'!D8</f>
        <v>0</v>
      </c>
      <c r="AF2">
        <f>'3e'!E8</f>
        <v>0</v>
      </c>
      <c r="AG2">
        <f>'3e'!F8</f>
        <v>0</v>
      </c>
      <c r="AH2">
        <f>'3e'!G8</f>
        <v>0</v>
      </c>
      <c r="AI2">
        <f>'3e'!H8</f>
        <v>0</v>
      </c>
    </row>
    <row r="3" spans="1:35"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t="s">
        <v>782</v>
      </c>
      <c r="AB3" t="s">
        <v>1309</v>
      </c>
      <c r="AC3" t="s">
        <v>1310</v>
      </c>
      <c r="AD3">
        <f>Q3b_P2_Participation</f>
        <v>0</v>
      </c>
      <c r="AE3">
        <f>'3e'!D9</f>
        <v>0</v>
      </c>
      <c r="AF3">
        <f>'3e'!E9</f>
        <v>0</v>
      </c>
      <c r="AG3">
        <f>'3e'!F9</f>
        <v>0</v>
      </c>
      <c r="AH3">
        <f>'3e'!G9</f>
        <v>0</v>
      </c>
      <c r="AI3">
        <f>'3e'!H9</f>
        <v>0</v>
      </c>
    </row>
    <row r="4" spans="1:35"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t="s">
        <v>782</v>
      </c>
      <c r="AB4" t="s">
        <v>1311</v>
      </c>
      <c r="AC4" t="s">
        <v>1312</v>
      </c>
      <c r="AD4">
        <f>Q3b_P3_Participation</f>
        <v>0</v>
      </c>
      <c r="AE4">
        <f>'3e'!D10</f>
        <v>0</v>
      </c>
      <c r="AF4">
        <f>'3e'!E10</f>
        <v>0</v>
      </c>
      <c r="AG4">
        <f>'3e'!F10</f>
        <v>0</v>
      </c>
      <c r="AH4">
        <f>'3e'!G10</f>
        <v>0</v>
      </c>
      <c r="AI4">
        <f>'3e'!H10</f>
        <v>0</v>
      </c>
    </row>
    <row r="5" spans="1:35"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t="s">
        <v>782</v>
      </c>
      <c r="AB5" t="s">
        <v>1313</v>
      </c>
      <c r="AC5" t="s">
        <v>1314</v>
      </c>
      <c r="AD5">
        <f>Q3b_P4_Participation</f>
        <v>0</v>
      </c>
      <c r="AE5">
        <f>'3e'!D11</f>
        <v>0</v>
      </c>
      <c r="AF5">
        <f>'3e'!E11</f>
        <v>0</v>
      </c>
      <c r="AG5">
        <f>'3e'!F11</f>
        <v>0</v>
      </c>
      <c r="AH5">
        <f>'3e'!G11</f>
        <v>0</v>
      </c>
      <c r="AI5">
        <f>'3e'!H11</f>
        <v>0</v>
      </c>
    </row>
    <row r="6" spans="1:35"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t="s">
        <v>782</v>
      </c>
      <c r="AB6" t="s">
        <v>1315</v>
      </c>
      <c r="AC6" t="s">
        <v>1316</v>
      </c>
      <c r="AD6">
        <f>Q3b_P5_Participation</f>
        <v>0</v>
      </c>
      <c r="AE6">
        <f>'3e'!D12</f>
        <v>0</v>
      </c>
      <c r="AF6">
        <f>'3e'!E12</f>
        <v>0</v>
      </c>
      <c r="AG6">
        <f>'3e'!F12</f>
        <v>0</v>
      </c>
      <c r="AH6">
        <f>'3e'!G12</f>
        <v>0</v>
      </c>
      <c r="AI6">
        <f>'3e'!H12</f>
        <v>0</v>
      </c>
    </row>
    <row r="7" spans="1:35"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t="s">
        <v>782</v>
      </c>
      <c r="AB7" t="s">
        <v>1317</v>
      </c>
      <c r="AC7" t="s">
        <v>1318</v>
      </c>
      <c r="AD7">
        <f>Q3b_P6_Participation</f>
        <v>0</v>
      </c>
      <c r="AE7">
        <f>'3e'!D13</f>
        <v>0</v>
      </c>
      <c r="AF7">
        <f>'3e'!E13</f>
        <v>0</v>
      </c>
      <c r="AG7">
        <f>'3e'!F13</f>
        <v>0</v>
      </c>
      <c r="AH7">
        <f>'3e'!G13</f>
        <v>0</v>
      </c>
      <c r="AI7">
        <f>'3e'!H13</f>
        <v>0</v>
      </c>
    </row>
    <row r="8" spans="1:35"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t="s">
        <v>782</v>
      </c>
      <c r="AB8" t="s">
        <v>1319</v>
      </c>
      <c r="AC8" t="s">
        <v>1320</v>
      </c>
      <c r="AD8">
        <f>Q3b_P7_Participation</f>
        <v>0</v>
      </c>
      <c r="AE8">
        <f>'3e'!D14</f>
        <v>0</v>
      </c>
      <c r="AF8">
        <f>'3e'!E14</f>
        <v>0</v>
      </c>
      <c r="AG8">
        <f>'3e'!F14</f>
        <v>0</v>
      </c>
      <c r="AH8">
        <f>'3e'!G14</f>
        <v>0</v>
      </c>
      <c r="AI8">
        <f>'3e'!H14</f>
        <v>0</v>
      </c>
    </row>
    <row r="9" spans="1:35"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t="s">
        <v>782</v>
      </c>
      <c r="AB9" t="s">
        <v>1321</v>
      </c>
      <c r="AC9" t="s">
        <v>1322</v>
      </c>
      <c r="AD9">
        <f>Q3b_P8_Participation</f>
        <v>0</v>
      </c>
      <c r="AE9">
        <f>'3e'!D15</f>
        <v>0</v>
      </c>
      <c r="AF9">
        <f>'3e'!E15</f>
        <v>0</v>
      </c>
      <c r="AG9">
        <f>'3e'!F15</f>
        <v>0</v>
      </c>
      <c r="AH9">
        <f>'3e'!G15</f>
        <v>0</v>
      </c>
      <c r="AI9">
        <f>'3e'!H15</f>
        <v>0</v>
      </c>
    </row>
    <row r="10" spans="1:35"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t="s">
        <v>782</v>
      </c>
      <c r="AB10" t="s">
        <v>1323</v>
      </c>
      <c r="AC10" t="s">
        <v>1324</v>
      </c>
      <c r="AD10">
        <f>Q3b_P9_Participation</f>
        <v>0</v>
      </c>
      <c r="AE10">
        <f>'3e'!D16</f>
        <v>0</v>
      </c>
      <c r="AF10">
        <f>'3e'!E16</f>
        <v>0</v>
      </c>
      <c r="AG10">
        <f>'3e'!F16</f>
        <v>0</v>
      </c>
      <c r="AH10">
        <f>'3e'!G16</f>
        <v>0</v>
      </c>
      <c r="AI10">
        <f>'3e'!H16</f>
        <v>0</v>
      </c>
    </row>
    <row r="11" spans="1:35"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t="s">
        <v>814</v>
      </c>
      <c r="AB11" t="s">
        <v>1325</v>
      </c>
      <c r="AC11" t="s">
        <v>1326</v>
      </c>
      <c r="AD11">
        <f>Q3b_Q1_Participation</f>
        <v>0</v>
      </c>
      <c r="AE11">
        <f>'3e'!D19</f>
        <v>0</v>
      </c>
      <c r="AF11">
        <f>'3e'!E19</f>
        <v>0</v>
      </c>
      <c r="AG11">
        <f>'3e'!F19</f>
        <v>0</v>
      </c>
      <c r="AH11">
        <f>'3e'!G19</f>
        <v>0</v>
      </c>
      <c r="AI11">
        <f>'3e'!H19</f>
        <v>0</v>
      </c>
    </row>
    <row r="12" spans="1:35"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t="s">
        <v>814</v>
      </c>
      <c r="AB12" t="s">
        <v>1327</v>
      </c>
      <c r="AC12" t="s">
        <v>1328</v>
      </c>
      <c r="AD12">
        <f>Q3b_Q2_Participation</f>
        <v>0</v>
      </c>
      <c r="AE12">
        <f>'3e'!D20</f>
        <v>0</v>
      </c>
      <c r="AF12">
        <f>'3e'!E20</f>
        <v>0</v>
      </c>
      <c r="AG12">
        <f>'3e'!F20</f>
        <v>0</v>
      </c>
      <c r="AH12">
        <f>'3e'!G20</f>
        <v>0</v>
      </c>
      <c r="AI12">
        <f>'3e'!H20</f>
        <v>0</v>
      </c>
    </row>
    <row r="13" spans="1:35"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t="s">
        <v>814</v>
      </c>
      <c r="AB13" t="s">
        <v>1329</v>
      </c>
      <c r="AC13" t="s">
        <v>1330</v>
      </c>
      <c r="AD13">
        <f>Q3b_Q3_Participation</f>
        <v>0</v>
      </c>
      <c r="AE13">
        <f>'3e'!D21</f>
        <v>0</v>
      </c>
      <c r="AF13">
        <f>'3e'!E21</f>
        <v>0</v>
      </c>
      <c r="AG13">
        <f>'3e'!F21</f>
        <v>0</v>
      </c>
      <c r="AH13">
        <f>'3e'!G21</f>
        <v>0</v>
      </c>
      <c r="AI13">
        <f>'3e'!H21</f>
        <v>0</v>
      </c>
    </row>
    <row r="14" spans="1:35"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t="s">
        <v>814</v>
      </c>
      <c r="AB14" t="s">
        <v>1331</v>
      </c>
      <c r="AC14" t="s">
        <v>1332</v>
      </c>
      <c r="AD14">
        <f>Q3b_Q4_Participation</f>
        <v>0</v>
      </c>
      <c r="AE14">
        <f>'3e'!D22</f>
        <v>0</v>
      </c>
      <c r="AF14">
        <f>'3e'!E22</f>
        <v>0</v>
      </c>
      <c r="AG14">
        <f>'3e'!F22</f>
        <v>0</v>
      </c>
      <c r="AH14">
        <f>'3e'!G22</f>
        <v>0</v>
      </c>
      <c r="AI14">
        <f>'3e'!H22</f>
        <v>0</v>
      </c>
    </row>
    <row r="15" spans="1:35"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t="s">
        <v>814</v>
      </c>
      <c r="AB15" t="s">
        <v>1333</v>
      </c>
      <c r="AC15" t="s">
        <v>1334</v>
      </c>
      <c r="AD15">
        <f>Q3b_Q5_Participation</f>
        <v>0</v>
      </c>
      <c r="AE15">
        <f>'3e'!D23</f>
        <v>0</v>
      </c>
      <c r="AF15">
        <f>'3e'!E23</f>
        <v>0</v>
      </c>
      <c r="AG15">
        <f>'3e'!F23</f>
        <v>0</v>
      </c>
      <c r="AH15">
        <f>'3e'!G23</f>
        <v>0</v>
      </c>
      <c r="AI15">
        <f>'3e'!H23</f>
        <v>0</v>
      </c>
    </row>
    <row r="16" spans="1:35"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t="s">
        <v>814</v>
      </c>
      <c r="AB16" t="s">
        <v>1335</v>
      </c>
      <c r="AC16" t="s">
        <v>1336</v>
      </c>
      <c r="AD16">
        <f>Q3b_Q6_Participation</f>
        <v>0</v>
      </c>
      <c r="AE16">
        <f>'3e'!D24</f>
        <v>0</v>
      </c>
      <c r="AF16">
        <f>'3e'!E24</f>
        <v>0</v>
      </c>
      <c r="AG16">
        <f>'3e'!F24</f>
        <v>0</v>
      </c>
      <c r="AH16">
        <f>'3e'!G24</f>
        <v>0</v>
      </c>
      <c r="AI16">
        <f>'3e'!H24</f>
        <v>0</v>
      </c>
    </row>
    <row r="17" spans="1:35"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t="s">
        <v>814</v>
      </c>
      <c r="AB17" t="s">
        <v>1337</v>
      </c>
      <c r="AC17" t="s">
        <v>1338</v>
      </c>
      <c r="AD17">
        <f>Q3b_Q7_Participation</f>
        <v>0</v>
      </c>
      <c r="AE17">
        <f>'3e'!D25</f>
        <v>0</v>
      </c>
      <c r="AF17">
        <f>'3e'!E25</f>
        <v>0</v>
      </c>
      <c r="AG17">
        <f>'3e'!F25</f>
        <v>0</v>
      </c>
      <c r="AH17">
        <f>'3e'!G25</f>
        <v>0</v>
      </c>
      <c r="AI17">
        <f>'3e'!H25</f>
        <v>0</v>
      </c>
    </row>
    <row r="18" spans="1:35"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t="s">
        <v>814</v>
      </c>
      <c r="AB18" t="s">
        <v>1339</v>
      </c>
      <c r="AC18" t="s">
        <v>1340</v>
      </c>
      <c r="AD18">
        <f>Q3b_Q8_Participation</f>
        <v>0</v>
      </c>
      <c r="AE18">
        <f>'3e'!D26</f>
        <v>0</v>
      </c>
      <c r="AF18">
        <f>'3e'!E26</f>
        <v>0</v>
      </c>
      <c r="AG18">
        <f>'3e'!F26</f>
        <v>0</v>
      </c>
      <c r="AH18">
        <f>'3e'!G26</f>
        <v>0</v>
      </c>
      <c r="AI18">
        <f>'3e'!H26</f>
        <v>0</v>
      </c>
    </row>
    <row r="19" spans="1:35"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t="s">
        <v>816</v>
      </c>
      <c r="AB19" t="s">
        <v>1341</v>
      </c>
      <c r="AC19" t="s">
        <v>1342</v>
      </c>
      <c r="AD19">
        <f>Q3b_R1_Participation</f>
        <v>0</v>
      </c>
      <c r="AE19">
        <f>'3e'!D29</f>
        <v>0</v>
      </c>
      <c r="AF19">
        <f>'3e'!E29</f>
        <v>0</v>
      </c>
      <c r="AG19">
        <f>'3e'!F29</f>
        <v>0</v>
      </c>
      <c r="AH19">
        <f>'3e'!G29</f>
        <v>0</v>
      </c>
      <c r="AI19">
        <f>'3e'!H29</f>
        <v>0</v>
      </c>
    </row>
    <row r="20" spans="1:35"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t="s">
        <v>816</v>
      </c>
      <c r="AB20" t="s">
        <v>1343</v>
      </c>
      <c r="AC20" t="s">
        <v>1344</v>
      </c>
      <c r="AD20">
        <f>Q3b_R2_Participation</f>
        <v>0</v>
      </c>
      <c r="AE20">
        <f>'3e'!D30</f>
        <v>0</v>
      </c>
      <c r="AF20">
        <f>'3e'!E30</f>
        <v>0</v>
      </c>
      <c r="AG20">
        <f>'3e'!F30</f>
        <v>0</v>
      </c>
      <c r="AH20">
        <f>'3e'!G30</f>
        <v>0</v>
      </c>
      <c r="AI20">
        <f>'3e'!H30</f>
        <v>0</v>
      </c>
    </row>
    <row r="21" spans="1:35"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t="s">
        <v>816</v>
      </c>
      <c r="AB21" t="s">
        <v>1345</v>
      </c>
      <c r="AC21" t="s">
        <v>1346</v>
      </c>
      <c r="AD21">
        <f>Q3b_R3_Participation</f>
        <v>0</v>
      </c>
      <c r="AE21">
        <f>'3e'!D31</f>
        <v>0</v>
      </c>
      <c r="AF21">
        <f>'3e'!E31</f>
        <v>0</v>
      </c>
      <c r="AG21">
        <f>'3e'!F31</f>
        <v>0</v>
      </c>
      <c r="AH21">
        <f>'3e'!G31</f>
        <v>0</v>
      </c>
      <c r="AI21">
        <f>'3e'!H31</f>
        <v>0</v>
      </c>
    </row>
    <row r="22" spans="1:35"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t="s">
        <v>816</v>
      </c>
      <c r="AB22" t="s">
        <v>1347</v>
      </c>
      <c r="AC22" t="s">
        <v>1348</v>
      </c>
      <c r="AD22">
        <f>Q3b_R4_Participation</f>
        <v>0</v>
      </c>
      <c r="AE22">
        <f>'3e'!D32</f>
        <v>0</v>
      </c>
      <c r="AF22">
        <f>'3e'!E32</f>
        <v>0</v>
      </c>
      <c r="AG22">
        <f>'3e'!F32</f>
        <v>0</v>
      </c>
      <c r="AH22">
        <f>'3e'!G32</f>
        <v>0</v>
      </c>
      <c r="AI22">
        <f>'3e'!H32</f>
        <v>0</v>
      </c>
    </row>
    <row r="23" spans="1:35"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t="s">
        <v>816</v>
      </c>
      <c r="AB23" t="s">
        <v>1349</v>
      </c>
      <c r="AC23" t="s">
        <v>1350</v>
      </c>
      <c r="AD23">
        <f>Q3b_R5_Participation</f>
        <v>0</v>
      </c>
      <c r="AE23">
        <f>'3e'!D33</f>
        <v>0</v>
      </c>
      <c r="AF23">
        <f>'3e'!E33</f>
        <v>0</v>
      </c>
      <c r="AG23">
        <f>'3e'!F33</f>
        <v>0</v>
      </c>
      <c r="AH23">
        <f>'3e'!G33</f>
        <v>0</v>
      </c>
      <c r="AI23">
        <f>'3e'!H33</f>
        <v>0</v>
      </c>
    </row>
    <row r="24" spans="1:35"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t="s">
        <v>816</v>
      </c>
      <c r="AB24" t="s">
        <v>1351</v>
      </c>
      <c r="AC24" t="s">
        <v>1352</v>
      </c>
      <c r="AD24">
        <f>Q3b_R6_Participation</f>
        <v>0</v>
      </c>
      <c r="AE24">
        <f>'3e'!D34</f>
        <v>0</v>
      </c>
      <c r="AF24">
        <f>'3e'!E34</f>
        <v>0</v>
      </c>
      <c r="AG24">
        <f>'3e'!F34</f>
        <v>0</v>
      </c>
      <c r="AH24">
        <f>'3e'!G34</f>
        <v>0</v>
      </c>
      <c r="AI24">
        <f>'3e'!H34</f>
        <v>0</v>
      </c>
    </row>
    <row r="25" spans="1:35"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t="s">
        <v>816</v>
      </c>
      <c r="AB25" t="s">
        <v>1353</v>
      </c>
      <c r="AC25" t="s">
        <v>1354</v>
      </c>
      <c r="AD25">
        <f>Q3b_R7_Participation</f>
        <v>0</v>
      </c>
      <c r="AE25">
        <f>'3e'!D35</f>
        <v>0</v>
      </c>
      <c r="AF25">
        <f>'3e'!E35</f>
        <v>0</v>
      </c>
      <c r="AG25">
        <f>'3e'!F35</f>
        <v>0</v>
      </c>
      <c r="AH25">
        <f>'3e'!G35</f>
        <v>0</v>
      </c>
      <c r="AI25">
        <f>'3e'!H35</f>
        <v>0</v>
      </c>
    </row>
    <row r="26" spans="1:35"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t="s">
        <v>819</v>
      </c>
      <c r="AB26" t="s">
        <v>1355</v>
      </c>
      <c r="AC26" t="s">
        <v>1356</v>
      </c>
      <c r="AD26">
        <f>Q3b_S1_Participation</f>
        <v>0</v>
      </c>
      <c r="AE26">
        <f>'3e'!D38</f>
        <v>0</v>
      </c>
      <c r="AF26">
        <f>'3e'!E38</f>
        <v>0</v>
      </c>
      <c r="AG26">
        <f>'3e'!F38</f>
        <v>0</v>
      </c>
      <c r="AH26">
        <f>'3e'!G38</f>
        <v>0</v>
      </c>
      <c r="AI26">
        <f>'3e'!H38</f>
        <v>0</v>
      </c>
    </row>
    <row r="27" spans="1:35"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t="s">
        <v>819</v>
      </c>
      <c r="AB27" t="s">
        <v>1357</v>
      </c>
      <c r="AC27" t="s">
        <v>1358</v>
      </c>
      <c r="AD27">
        <f>Q3b_S2_Participation</f>
        <v>0</v>
      </c>
      <c r="AE27">
        <f>'3e'!D39</f>
        <v>0</v>
      </c>
      <c r="AF27">
        <f>'3e'!E39</f>
        <v>0</v>
      </c>
      <c r="AG27">
        <f>'3e'!F39</f>
        <v>0</v>
      </c>
      <c r="AH27">
        <f>'3e'!G39</f>
        <v>0</v>
      </c>
      <c r="AI27">
        <f>'3e'!H39</f>
        <v>0</v>
      </c>
    </row>
    <row r="28" spans="1:35"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t="s">
        <v>819</v>
      </c>
      <c r="AB28" t="s">
        <v>1359</v>
      </c>
      <c r="AC28" t="s">
        <v>1360</v>
      </c>
      <c r="AD28">
        <f>Q3b_S3_Participation</f>
        <v>0</v>
      </c>
      <c r="AE28">
        <f>'3e'!D40</f>
        <v>0</v>
      </c>
      <c r="AF28">
        <f>'3e'!E40</f>
        <v>0</v>
      </c>
      <c r="AG28">
        <f>'3e'!F40</f>
        <v>0</v>
      </c>
      <c r="AH28">
        <f>'3e'!G40</f>
        <v>0</v>
      </c>
      <c r="AI28">
        <f>'3e'!H40</f>
        <v>0</v>
      </c>
    </row>
    <row r="29" spans="1:35"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t="s">
        <v>819</v>
      </c>
      <c r="AB29" t="s">
        <v>1361</v>
      </c>
      <c r="AC29" t="s">
        <v>1362</v>
      </c>
      <c r="AD29">
        <f>Q3b_S4_Participation</f>
        <v>0</v>
      </c>
      <c r="AE29">
        <f>'3e'!D41</f>
        <v>0</v>
      </c>
      <c r="AF29">
        <f>'3e'!E41</f>
        <v>0</v>
      </c>
      <c r="AG29">
        <f>'3e'!F41</f>
        <v>0</v>
      </c>
      <c r="AH29">
        <f>'3e'!G41</f>
        <v>0</v>
      </c>
      <c r="AI29">
        <f>'3e'!H41</f>
        <v>0</v>
      </c>
    </row>
    <row r="30" spans="1:35"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t="s">
        <v>819</v>
      </c>
      <c r="AB30" t="s">
        <v>1363</v>
      </c>
      <c r="AC30" t="s">
        <v>1364</v>
      </c>
      <c r="AD30">
        <f>Q3b_S5_Participation</f>
        <v>0</v>
      </c>
      <c r="AE30">
        <f>'3e'!D42</f>
        <v>0</v>
      </c>
      <c r="AF30">
        <f>'3e'!E42</f>
        <v>0</v>
      </c>
      <c r="AG30">
        <f>'3e'!F42</f>
        <v>0</v>
      </c>
      <c r="AH30">
        <f>'3e'!G42</f>
        <v>0</v>
      </c>
      <c r="AI30">
        <f>'3e'!H42</f>
        <v>0</v>
      </c>
    </row>
    <row r="31" spans="1:35"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t="s">
        <v>822</v>
      </c>
      <c r="AB31" t="s">
        <v>1365</v>
      </c>
      <c r="AC31" t="s">
        <v>1366</v>
      </c>
      <c r="AD31">
        <f>Q3b_T1_Participation</f>
        <v>0</v>
      </c>
      <c r="AE31">
        <f>'3e'!D45</f>
        <v>0</v>
      </c>
      <c r="AF31">
        <f>'3e'!E45</f>
        <v>0</v>
      </c>
      <c r="AG31">
        <f>'3e'!F45</f>
        <v>0</v>
      </c>
      <c r="AH31">
        <f>'3e'!G45</f>
        <v>0</v>
      </c>
      <c r="AI31">
        <f>'3e'!H45</f>
        <v>0</v>
      </c>
    </row>
    <row r="32" spans="1:35"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t="s">
        <v>822</v>
      </c>
      <c r="AB32" t="s">
        <v>1367</v>
      </c>
      <c r="AC32" t="s">
        <v>1368</v>
      </c>
      <c r="AD32">
        <f>Q3b_T2_Participation</f>
        <v>0</v>
      </c>
      <c r="AE32">
        <f>'3e'!D46</f>
        <v>0</v>
      </c>
      <c r="AF32">
        <f>'3e'!E46</f>
        <v>0</v>
      </c>
      <c r="AG32">
        <f>'3e'!F46</f>
        <v>0</v>
      </c>
      <c r="AH32">
        <f>'3e'!G46</f>
        <v>0</v>
      </c>
      <c r="AI32">
        <f>'3e'!H46</f>
        <v>0</v>
      </c>
    </row>
    <row r="33" spans="1:35"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t="s">
        <v>822</v>
      </c>
      <c r="AB33" t="s">
        <v>1369</v>
      </c>
      <c r="AC33" t="s">
        <v>1370</v>
      </c>
      <c r="AD33">
        <f>Q3b_T3_Participation</f>
        <v>0</v>
      </c>
      <c r="AE33">
        <f>'3e'!D47</f>
        <v>0</v>
      </c>
      <c r="AF33">
        <f>'3e'!E47</f>
        <v>0</v>
      </c>
      <c r="AG33">
        <f>'3e'!F47</f>
        <v>0</v>
      </c>
      <c r="AH33">
        <f>'3e'!G47</f>
        <v>0</v>
      </c>
      <c r="AI33">
        <f>'3e'!H47</f>
        <v>0</v>
      </c>
    </row>
    <row r="34" spans="1:35" x14ac:dyDescent="0.25">
      <c r="A34">
        <f t="shared" ref="A34:A50" si="17">Q_RP_B_DSSCAGE_01</f>
        <v>0</v>
      </c>
      <c r="B34">
        <f t="shared" ref="B34:B50" si="18">Q1a_A_LocationName</f>
        <v>0</v>
      </c>
      <c r="C34">
        <f t="shared" ref="C34:C50" si="19">Q1a_A_LocOrgName</f>
        <v>0</v>
      </c>
      <c r="D34">
        <f t="shared" ref="D34:D50" si="20">Q1a_B_Parent1_Name</f>
        <v>0</v>
      </c>
      <c r="E34">
        <f t="shared" ref="E34:E50" si="21">Q_RP_A_MultiResponse</f>
        <v>0</v>
      </c>
      <c r="F34">
        <f>'D-RepLevel'!$F$2</f>
        <v>0</v>
      </c>
      <c r="G34">
        <f>'D-RepLevel'!$G$2</f>
        <v>0</v>
      </c>
      <c r="H34">
        <f t="shared" ref="H34:H50" si="22">Q1a_A_OnlyLoc_YN</f>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ref="L34:L50" si="23">Q4b_A_NumUSGPrograms</f>
        <v>0</v>
      </c>
      <c r="M34">
        <f t="shared" ref="M34:M50" si="24">Q6_A_Employees_Year3</f>
        <v>0</v>
      </c>
      <c r="N34">
        <f t="shared" ref="N34:N50" si="25">Q6_B_Employee_H1B_Total+Q6_B_Employee_H2B_Total+Q6_B_Employee_F1_Total+Q6_B_Employee_GreenCard_Total+Q6_B_Employee_Other_Total</f>
        <v>0</v>
      </c>
      <c r="O34">
        <f t="shared" ref="O34:O50" si="26">Year3</f>
        <v>2015</v>
      </c>
      <c r="P34">
        <f t="shared" ref="P34:P50" si="27">Q7_A_TotalSales_US_Year3+Q7_A_TotalSales_NonUS_Year3</f>
        <v>0</v>
      </c>
      <c r="Q34">
        <f t="shared" ref="Q34:Q50" si="28">Q7_B_DefSales_US_Year3_Pct*Q7_A_TotalSales_US_Year3+Q7_B_DefSales_NonUS_Year3_Pct*Q7_A_TotalSales_NonUS_Year3</f>
        <v>0</v>
      </c>
      <c r="R34">
        <f t="shared" ref="R34:R50" si="29">Q9a_B_Physical_Year3</f>
        <v>0</v>
      </c>
      <c r="S34">
        <f t="shared" ref="S34:S50" si="30">Q9a_B_Cyber_Year3</f>
        <v>0</v>
      </c>
      <c r="T34">
        <f>COUNTIF('9a'!$K$22:$K$32, "Yes")+COUNTIF('9a'!$O$22:$O$32, "Yes")</f>
        <v>0</v>
      </c>
      <c r="U34" t="str">
        <f t="shared" ref="U34:U50" si="31">IF(Q12_OpEx_Year3=0, "No Expenditures", Q9b_A_PhysicalSpending_Year3/(Q12_OpEx_Year3))</f>
        <v>No Expenditures</v>
      </c>
      <c r="V34" t="str">
        <f t="shared" ref="V34:V50" si="32">IF(Q12_OpEx_Year3=0, "No Expenditures", Q9b_A_CyberSpending_Year3/(Q12_OpEx_Year3))</f>
        <v>No Expenditures</v>
      </c>
      <c r="W34">
        <f t="shared" ref="W34:W50" si="33">Q9b_C_Pct_CSI_External</f>
        <v>0</v>
      </c>
      <c r="X34" t="str">
        <f>'D-Risk'!$AO$25</f>
        <v>Insufficient Data</v>
      </c>
      <c r="Y34" t="str">
        <f>'D-Risk'!$AO$26</f>
        <v>Insufficient Data</v>
      </c>
      <c r="Z34" t="str">
        <f>'D-Risk'!$AO$27</f>
        <v>Uncalculated</v>
      </c>
      <c r="AA34" t="s">
        <v>822</v>
      </c>
      <c r="AB34" t="s">
        <v>1371</v>
      </c>
      <c r="AC34" t="s">
        <v>1372</v>
      </c>
      <c r="AD34">
        <f>Q3b_T4_Participation</f>
        <v>0</v>
      </c>
      <c r="AE34">
        <f>'3e'!D48</f>
        <v>0</v>
      </c>
      <c r="AF34">
        <f>'3e'!E48</f>
        <v>0</v>
      </c>
      <c r="AG34">
        <f>'3e'!F48</f>
        <v>0</v>
      </c>
      <c r="AH34">
        <f>'3e'!G48</f>
        <v>0</v>
      </c>
      <c r="AI34">
        <f>'3e'!H48</f>
        <v>0</v>
      </c>
    </row>
    <row r="35" spans="1:35" x14ac:dyDescent="0.25">
      <c r="A35">
        <f t="shared" si="17"/>
        <v>0</v>
      </c>
      <c r="B35">
        <f t="shared" si="18"/>
        <v>0</v>
      </c>
      <c r="C35">
        <f t="shared" si="19"/>
        <v>0</v>
      </c>
      <c r="D35">
        <f t="shared" si="20"/>
        <v>0</v>
      </c>
      <c r="E35">
        <f t="shared" si="21"/>
        <v>0</v>
      </c>
      <c r="F35">
        <f>'D-RepLevel'!$F$2</f>
        <v>0</v>
      </c>
      <c r="G35">
        <f>'D-RepLevel'!$G$2</f>
        <v>0</v>
      </c>
      <c r="H35">
        <f t="shared" si="22"/>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23"/>
        <v>0</v>
      </c>
      <c r="M35">
        <f t="shared" si="24"/>
        <v>0</v>
      </c>
      <c r="N35">
        <f t="shared" si="25"/>
        <v>0</v>
      </c>
      <c r="O35">
        <f t="shared" si="26"/>
        <v>2015</v>
      </c>
      <c r="P35">
        <f t="shared" si="27"/>
        <v>0</v>
      </c>
      <c r="Q35">
        <f t="shared" si="28"/>
        <v>0</v>
      </c>
      <c r="R35">
        <f t="shared" si="29"/>
        <v>0</v>
      </c>
      <c r="S35">
        <f t="shared" si="30"/>
        <v>0</v>
      </c>
      <c r="T35">
        <f>COUNTIF('9a'!$K$22:$K$32, "Yes")+COUNTIF('9a'!$O$22:$O$32, "Yes")</f>
        <v>0</v>
      </c>
      <c r="U35" t="str">
        <f t="shared" si="31"/>
        <v>No Expenditures</v>
      </c>
      <c r="V35" t="str">
        <f t="shared" si="32"/>
        <v>No Expenditures</v>
      </c>
      <c r="W35">
        <f t="shared" si="33"/>
        <v>0</v>
      </c>
      <c r="X35" t="str">
        <f>'D-Risk'!$AO$25</f>
        <v>Insufficient Data</v>
      </c>
      <c r="Y35" t="str">
        <f>'D-Risk'!$AO$26</f>
        <v>Insufficient Data</v>
      </c>
      <c r="Z35" t="str">
        <f>'D-Risk'!$AO$27</f>
        <v>Uncalculated</v>
      </c>
      <c r="AA35" t="s">
        <v>822</v>
      </c>
      <c r="AB35" t="s">
        <v>1373</v>
      </c>
      <c r="AC35" t="s">
        <v>1374</v>
      </c>
      <c r="AD35">
        <f>Q3b_T5_Participation</f>
        <v>0</v>
      </c>
      <c r="AE35">
        <f>'3e'!D49</f>
        <v>0</v>
      </c>
      <c r="AF35">
        <f>'3e'!E49</f>
        <v>0</v>
      </c>
      <c r="AG35">
        <f>'3e'!F49</f>
        <v>0</v>
      </c>
      <c r="AH35">
        <f>'3e'!G49</f>
        <v>0</v>
      </c>
      <c r="AI35">
        <f>'3e'!H49</f>
        <v>0</v>
      </c>
    </row>
    <row r="36" spans="1:35" x14ac:dyDescent="0.25">
      <c r="A36">
        <f t="shared" si="17"/>
        <v>0</v>
      </c>
      <c r="B36">
        <f t="shared" si="18"/>
        <v>0</v>
      </c>
      <c r="C36">
        <f t="shared" si="19"/>
        <v>0</v>
      </c>
      <c r="D36">
        <f t="shared" si="20"/>
        <v>0</v>
      </c>
      <c r="E36">
        <f t="shared" si="21"/>
        <v>0</v>
      </c>
      <c r="F36">
        <f>'D-RepLevel'!$F$2</f>
        <v>0</v>
      </c>
      <c r="G36">
        <f>'D-RepLevel'!$G$2</f>
        <v>0</v>
      </c>
      <c r="H36">
        <f t="shared" si="22"/>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23"/>
        <v>0</v>
      </c>
      <c r="M36">
        <f t="shared" si="24"/>
        <v>0</v>
      </c>
      <c r="N36">
        <f t="shared" si="25"/>
        <v>0</v>
      </c>
      <c r="O36">
        <f t="shared" si="26"/>
        <v>2015</v>
      </c>
      <c r="P36">
        <f t="shared" si="27"/>
        <v>0</v>
      </c>
      <c r="Q36">
        <f t="shared" si="28"/>
        <v>0</v>
      </c>
      <c r="R36">
        <f t="shared" si="29"/>
        <v>0</v>
      </c>
      <c r="S36">
        <f t="shared" si="30"/>
        <v>0</v>
      </c>
      <c r="T36">
        <f>COUNTIF('9a'!$K$22:$K$32, "Yes")+COUNTIF('9a'!$O$22:$O$32, "Yes")</f>
        <v>0</v>
      </c>
      <c r="U36" t="str">
        <f t="shared" si="31"/>
        <v>No Expenditures</v>
      </c>
      <c r="V36" t="str">
        <f t="shared" si="32"/>
        <v>No Expenditures</v>
      </c>
      <c r="W36">
        <f t="shared" si="33"/>
        <v>0</v>
      </c>
      <c r="X36" t="str">
        <f>'D-Risk'!$AO$25</f>
        <v>Insufficient Data</v>
      </c>
      <c r="Y36" t="str">
        <f>'D-Risk'!$AO$26</f>
        <v>Insufficient Data</v>
      </c>
      <c r="Z36" t="str">
        <f>'D-Risk'!$AO$27</f>
        <v>Uncalculated</v>
      </c>
      <c r="AA36" t="s">
        <v>822</v>
      </c>
      <c r="AB36" t="s">
        <v>1375</v>
      </c>
      <c r="AC36" t="s">
        <v>1376</v>
      </c>
      <c r="AD36">
        <f>Q3b_T6_Participation</f>
        <v>0</v>
      </c>
      <c r="AE36">
        <f>'3e'!D50</f>
        <v>0</v>
      </c>
      <c r="AF36">
        <f>'3e'!E50</f>
        <v>0</v>
      </c>
      <c r="AG36">
        <f>'3e'!F50</f>
        <v>0</v>
      </c>
      <c r="AH36">
        <f>'3e'!G50</f>
        <v>0</v>
      </c>
      <c r="AI36">
        <f>'3e'!H50</f>
        <v>0</v>
      </c>
    </row>
    <row r="37" spans="1:35" x14ac:dyDescent="0.25">
      <c r="A37">
        <f t="shared" si="17"/>
        <v>0</v>
      </c>
      <c r="B37">
        <f t="shared" si="18"/>
        <v>0</v>
      </c>
      <c r="C37">
        <f t="shared" si="19"/>
        <v>0</v>
      </c>
      <c r="D37">
        <f t="shared" si="20"/>
        <v>0</v>
      </c>
      <c r="E37">
        <f t="shared" si="21"/>
        <v>0</v>
      </c>
      <c r="F37">
        <f>'D-RepLevel'!$F$2</f>
        <v>0</v>
      </c>
      <c r="G37">
        <f>'D-RepLevel'!$G$2</f>
        <v>0</v>
      </c>
      <c r="H37">
        <f t="shared" si="22"/>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23"/>
        <v>0</v>
      </c>
      <c r="M37">
        <f t="shared" si="24"/>
        <v>0</v>
      </c>
      <c r="N37">
        <f t="shared" si="25"/>
        <v>0</v>
      </c>
      <c r="O37">
        <f t="shared" si="26"/>
        <v>2015</v>
      </c>
      <c r="P37">
        <f t="shared" si="27"/>
        <v>0</v>
      </c>
      <c r="Q37">
        <f t="shared" si="28"/>
        <v>0</v>
      </c>
      <c r="R37">
        <f t="shared" si="29"/>
        <v>0</v>
      </c>
      <c r="S37">
        <f t="shared" si="30"/>
        <v>0</v>
      </c>
      <c r="T37">
        <f>COUNTIF('9a'!$K$22:$K$32, "Yes")+COUNTIF('9a'!$O$22:$O$32, "Yes")</f>
        <v>0</v>
      </c>
      <c r="U37" t="str">
        <f t="shared" si="31"/>
        <v>No Expenditures</v>
      </c>
      <c r="V37" t="str">
        <f t="shared" si="32"/>
        <v>No Expenditures</v>
      </c>
      <c r="W37">
        <f t="shared" si="33"/>
        <v>0</v>
      </c>
      <c r="X37" t="str">
        <f>'D-Risk'!$AO$25</f>
        <v>Insufficient Data</v>
      </c>
      <c r="Y37" t="str">
        <f>'D-Risk'!$AO$26</f>
        <v>Insufficient Data</v>
      </c>
      <c r="Z37" t="str">
        <f>'D-Risk'!$AO$27</f>
        <v>Uncalculated</v>
      </c>
      <c r="AA37" t="s">
        <v>822</v>
      </c>
      <c r="AB37" t="s">
        <v>1377</v>
      </c>
      <c r="AC37" t="s">
        <v>1378</v>
      </c>
      <c r="AD37">
        <f>Q3b_T7_Participation</f>
        <v>0</v>
      </c>
      <c r="AE37">
        <f>'3e'!D51</f>
        <v>0</v>
      </c>
      <c r="AF37">
        <f>'3e'!E51</f>
        <v>0</v>
      </c>
      <c r="AG37">
        <f>'3e'!F51</f>
        <v>0</v>
      </c>
      <c r="AH37">
        <f>'3e'!G51</f>
        <v>0</v>
      </c>
      <c r="AI37">
        <f>'3e'!H51</f>
        <v>0</v>
      </c>
    </row>
    <row r="38" spans="1:35" x14ac:dyDescent="0.25">
      <c r="A38">
        <f t="shared" si="17"/>
        <v>0</v>
      </c>
      <c r="B38">
        <f t="shared" si="18"/>
        <v>0</v>
      </c>
      <c r="C38">
        <f t="shared" si="19"/>
        <v>0</v>
      </c>
      <c r="D38">
        <f t="shared" si="20"/>
        <v>0</v>
      </c>
      <c r="E38">
        <f t="shared" si="21"/>
        <v>0</v>
      </c>
      <c r="F38">
        <f>'D-RepLevel'!$F$2</f>
        <v>0</v>
      </c>
      <c r="G38">
        <f>'D-RepLevel'!$G$2</f>
        <v>0</v>
      </c>
      <c r="H38">
        <f t="shared" si="22"/>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23"/>
        <v>0</v>
      </c>
      <c r="M38">
        <f t="shared" si="24"/>
        <v>0</v>
      </c>
      <c r="N38">
        <f t="shared" si="25"/>
        <v>0</v>
      </c>
      <c r="O38">
        <f t="shared" si="26"/>
        <v>2015</v>
      </c>
      <c r="P38">
        <f t="shared" si="27"/>
        <v>0</v>
      </c>
      <c r="Q38">
        <f t="shared" si="28"/>
        <v>0</v>
      </c>
      <c r="R38">
        <f t="shared" si="29"/>
        <v>0</v>
      </c>
      <c r="S38">
        <f t="shared" si="30"/>
        <v>0</v>
      </c>
      <c r="T38">
        <f>COUNTIF('9a'!$K$22:$K$32, "Yes")+COUNTIF('9a'!$O$22:$O$32, "Yes")</f>
        <v>0</v>
      </c>
      <c r="U38" t="str">
        <f t="shared" si="31"/>
        <v>No Expenditures</v>
      </c>
      <c r="V38" t="str">
        <f t="shared" si="32"/>
        <v>No Expenditures</v>
      </c>
      <c r="W38">
        <f t="shared" si="33"/>
        <v>0</v>
      </c>
      <c r="X38" t="str">
        <f>'D-Risk'!$AO$25</f>
        <v>Insufficient Data</v>
      </c>
      <c r="Y38" t="str">
        <f>'D-Risk'!$AO$26</f>
        <v>Insufficient Data</v>
      </c>
      <c r="Z38" t="str">
        <f>'D-Risk'!$AO$27</f>
        <v>Uncalculated</v>
      </c>
      <c r="AA38" t="s">
        <v>824</v>
      </c>
      <c r="AB38" t="s">
        <v>1379</v>
      </c>
      <c r="AC38" t="s">
        <v>1380</v>
      </c>
      <c r="AD38">
        <f>Q3b_U1_Participation</f>
        <v>0</v>
      </c>
      <c r="AE38">
        <f>'3e'!D54</f>
        <v>0</v>
      </c>
      <c r="AF38">
        <f>'3e'!E54</f>
        <v>0</v>
      </c>
      <c r="AG38">
        <f>'3e'!F54</f>
        <v>0</v>
      </c>
      <c r="AH38">
        <f>'3e'!G54</f>
        <v>0</v>
      </c>
      <c r="AI38">
        <f>'3e'!H54</f>
        <v>0</v>
      </c>
    </row>
    <row r="39" spans="1:35" x14ac:dyDescent="0.25">
      <c r="A39">
        <f t="shared" si="17"/>
        <v>0</v>
      </c>
      <c r="B39">
        <f t="shared" si="18"/>
        <v>0</v>
      </c>
      <c r="C39">
        <f t="shared" si="19"/>
        <v>0</v>
      </c>
      <c r="D39">
        <f t="shared" si="20"/>
        <v>0</v>
      </c>
      <c r="E39">
        <f t="shared" si="21"/>
        <v>0</v>
      </c>
      <c r="F39">
        <f>'D-RepLevel'!$F$2</f>
        <v>0</v>
      </c>
      <c r="G39">
        <f>'D-RepLevel'!$G$2</f>
        <v>0</v>
      </c>
      <c r="H39">
        <f t="shared" si="22"/>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23"/>
        <v>0</v>
      </c>
      <c r="M39">
        <f t="shared" si="24"/>
        <v>0</v>
      </c>
      <c r="N39">
        <f t="shared" si="25"/>
        <v>0</v>
      </c>
      <c r="O39">
        <f t="shared" si="26"/>
        <v>2015</v>
      </c>
      <c r="P39">
        <f t="shared" si="27"/>
        <v>0</v>
      </c>
      <c r="Q39">
        <f t="shared" si="28"/>
        <v>0</v>
      </c>
      <c r="R39">
        <f t="shared" si="29"/>
        <v>0</v>
      </c>
      <c r="S39">
        <f t="shared" si="30"/>
        <v>0</v>
      </c>
      <c r="T39">
        <f>COUNTIF('9a'!$K$22:$K$32, "Yes")+COUNTIF('9a'!$O$22:$O$32, "Yes")</f>
        <v>0</v>
      </c>
      <c r="U39" t="str">
        <f t="shared" si="31"/>
        <v>No Expenditures</v>
      </c>
      <c r="V39" t="str">
        <f t="shared" si="32"/>
        <v>No Expenditures</v>
      </c>
      <c r="W39">
        <f t="shared" si="33"/>
        <v>0</v>
      </c>
      <c r="X39" t="str">
        <f>'D-Risk'!$AO$25</f>
        <v>Insufficient Data</v>
      </c>
      <c r="Y39" t="str">
        <f>'D-Risk'!$AO$26</f>
        <v>Insufficient Data</v>
      </c>
      <c r="Z39" t="str">
        <f>'D-Risk'!$AO$27</f>
        <v>Uncalculated</v>
      </c>
      <c r="AA39" t="s">
        <v>824</v>
      </c>
      <c r="AB39" t="s">
        <v>1381</v>
      </c>
      <c r="AC39" t="s">
        <v>1382</v>
      </c>
      <c r="AD39">
        <f>Q3b_U2_Participation</f>
        <v>0</v>
      </c>
      <c r="AE39">
        <f>'3e'!D55</f>
        <v>0</v>
      </c>
      <c r="AF39">
        <f>'3e'!E55</f>
        <v>0</v>
      </c>
      <c r="AG39">
        <f>'3e'!F55</f>
        <v>0</v>
      </c>
      <c r="AH39">
        <f>'3e'!G55</f>
        <v>0</v>
      </c>
      <c r="AI39">
        <f>'3e'!H55</f>
        <v>0</v>
      </c>
    </row>
    <row r="40" spans="1:35" x14ac:dyDescent="0.25">
      <c r="A40">
        <f t="shared" si="17"/>
        <v>0</v>
      </c>
      <c r="B40">
        <f t="shared" si="18"/>
        <v>0</v>
      </c>
      <c r="C40">
        <f t="shared" si="19"/>
        <v>0</v>
      </c>
      <c r="D40">
        <f t="shared" si="20"/>
        <v>0</v>
      </c>
      <c r="E40">
        <f t="shared" si="21"/>
        <v>0</v>
      </c>
      <c r="F40">
        <f>'D-RepLevel'!$F$2</f>
        <v>0</v>
      </c>
      <c r="G40">
        <f>'D-RepLevel'!$G$2</f>
        <v>0</v>
      </c>
      <c r="H40">
        <f t="shared" si="22"/>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23"/>
        <v>0</v>
      </c>
      <c r="M40">
        <f t="shared" si="24"/>
        <v>0</v>
      </c>
      <c r="N40">
        <f t="shared" si="25"/>
        <v>0</v>
      </c>
      <c r="O40">
        <f t="shared" si="26"/>
        <v>2015</v>
      </c>
      <c r="P40">
        <f t="shared" si="27"/>
        <v>0</v>
      </c>
      <c r="Q40">
        <f t="shared" si="28"/>
        <v>0</v>
      </c>
      <c r="R40">
        <f t="shared" si="29"/>
        <v>0</v>
      </c>
      <c r="S40">
        <f t="shared" si="30"/>
        <v>0</v>
      </c>
      <c r="T40">
        <f>COUNTIF('9a'!$K$22:$K$32, "Yes")+COUNTIF('9a'!$O$22:$O$32, "Yes")</f>
        <v>0</v>
      </c>
      <c r="U40" t="str">
        <f t="shared" si="31"/>
        <v>No Expenditures</v>
      </c>
      <c r="V40" t="str">
        <f t="shared" si="32"/>
        <v>No Expenditures</v>
      </c>
      <c r="W40">
        <f t="shared" si="33"/>
        <v>0</v>
      </c>
      <c r="X40" t="str">
        <f>'D-Risk'!$AO$25</f>
        <v>Insufficient Data</v>
      </c>
      <c r="Y40" t="str">
        <f>'D-Risk'!$AO$26</f>
        <v>Insufficient Data</v>
      </c>
      <c r="Z40" t="str">
        <f>'D-Risk'!$AO$27</f>
        <v>Uncalculated</v>
      </c>
      <c r="AA40" t="s">
        <v>824</v>
      </c>
      <c r="AB40" t="s">
        <v>1383</v>
      </c>
      <c r="AC40" t="s">
        <v>1384</v>
      </c>
      <c r="AD40">
        <f>Q3b_U3_Participation</f>
        <v>0</v>
      </c>
      <c r="AE40">
        <f>'3e'!D56</f>
        <v>0</v>
      </c>
      <c r="AF40">
        <f>'3e'!E56</f>
        <v>0</v>
      </c>
      <c r="AG40">
        <f>'3e'!F56</f>
        <v>0</v>
      </c>
      <c r="AH40">
        <f>'3e'!G56</f>
        <v>0</v>
      </c>
      <c r="AI40">
        <f>'3e'!H56</f>
        <v>0</v>
      </c>
    </row>
    <row r="41" spans="1:35" x14ac:dyDescent="0.25">
      <c r="A41">
        <f t="shared" si="17"/>
        <v>0</v>
      </c>
      <c r="B41">
        <f t="shared" si="18"/>
        <v>0</v>
      </c>
      <c r="C41">
        <f t="shared" si="19"/>
        <v>0</v>
      </c>
      <c r="D41">
        <f t="shared" si="20"/>
        <v>0</v>
      </c>
      <c r="E41">
        <f t="shared" si="21"/>
        <v>0</v>
      </c>
      <c r="F41">
        <f>'D-RepLevel'!$F$2</f>
        <v>0</v>
      </c>
      <c r="G41">
        <f>'D-RepLevel'!$G$2</f>
        <v>0</v>
      </c>
      <c r="H41">
        <f t="shared" si="22"/>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23"/>
        <v>0</v>
      </c>
      <c r="M41">
        <f t="shared" si="24"/>
        <v>0</v>
      </c>
      <c r="N41">
        <f t="shared" si="25"/>
        <v>0</v>
      </c>
      <c r="O41">
        <f t="shared" si="26"/>
        <v>2015</v>
      </c>
      <c r="P41">
        <f t="shared" si="27"/>
        <v>0</v>
      </c>
      <c r="Q41">
        <f t="shared" si="28"/>
        <v>0</v>
      </c>
      <c r="R41">
        <f t="shared" si="29"/>
        <v>0</v>
      </c>
      <c r="S41">
        <f t="shared" si="30"/>
        <v>0</v>
      </c>
      <c r="T41">
        <f>COUNTIF('9a'!$K$22:$K$32, "Yes")+COUNTIF('9a'!$O$22:$O$32, "Yes")</f>
        <v>0</v>
      </c>
      <c r="U41" t="str">
        <f t="shared" si="31"/>
        <v>No Expenditures</v>
      </c>
      <c r="V41" t="str">
        <f t="shared" si="32"/>
        <v>No Expenditures</v>
      </c>
      <c r="W41">
        <f t="shared" si="33"/>
        <v>0</v>
      </c>
      <c r="X41" t="str">
        <f>'D-Risk'!$AO$25</f>
        <v>Insufficient Data</v>
      </c>
      <c r="Y41" t="str">
        <f>'D-Risk'!$AO$26</f>
        <v>Insufficient Data</v>
      </c>
      <c r="Z41" t="str">
        <f>'D-Risk'!$AO$27</f>
        <v>Uncalculated</v>
      </c>
      <c r="AA41" t="s">
        <v>824</v>
      </c>
      <c r="AB41" t="s">
        <v>1385</v>
      </c>
      <c r="AC41" t="s">
        <v>1386</v>
      </c>
      <c r="AD41">
        <f>Q3b_U4_Participation</f>
        <v>0</v>
      </c>
      <c r="AE41">
        <f>'3e'!D57</f>
        <v>0</v>
      </c>
      <c r="AF41">
        <f>'3e'!E57</f>
        <v>0</v>
      </c>
      <c r="AG41">
        <f>'3e'!F57</f>
        <v>0</v>
      </c>
      <c r="AH41">
        <f>'3e'!G57</f>
        <v>0</v>
      </c>
      <c r="AI41">
        <f>'3e'!H57</f>
        <v>0</v>
      </c>
    </row>
    <row r="42" spans="1:35" x14ac:dyDescent="0.25">
      <c r="A42">
        <f t="shared" si="17"/>
        <v>0</v>
      </c>
      <c r="B42">
        <f t="shared" si="18"/>
        <v>0</v>
      </c>
      <c r="C42">
        <f t="shared" si="19"/>
        <v>0</v>
      </c>
      <c r="D42">
        <f t="shared" si="20"/>
        <v>0</v>
      </c>
      <c r="E42">
        <f t="shared" si="21"/>
        <v>0</v>
      </c>
      <c r="F42">
        <f>'D-RepLevel'!$F$2</f>
        <v>0</v>
      </c>
      <c r="G42">
        <f>'D-RepLevel'!$G$2</f>
        <v>0</v>
      </c>
      <c r="H42">
        <f t="shared" si="22"/>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23"/>
        <v>0</v>
      </c>
      <c r="M42">
        <f t="shared" si="24"/>
        <v>0</v>
      </c>
      <c r="N42">
        <f t="shared" si="25"/>
        <v>0</v>
      </c>
      <c r="O42">
        <f t="shared" si="26"/>
        <v>2015</v>
      </c>
      <c r="P42">
        <f t="shared" si="27"/>
        <v>0</v>
      </c>
      <c r="Q42">
        <f t="shared" si="28"/>
        <v>0</v>
      </c>
      <c r="R42">
        <f t="shared" si="29"/>
        <v>0</v>
      </c>
      <c r="S42">
        <f t="shared" si="30"/>
        <v>0</v>
      </c>
      <c r="T42">
        <f>COUNTIF('9a'!$K$22:$K$32, "Yes")+COUNTIF('9a'!$O$22:$O$32, "Yes")</f>
        <v>0</v>
      </c>
      <c r="U42" t="str">
        <f t="shared" si="31"/>
        <v>No Expenditures</v>
      </c>
      <c r="V42" t="str">
        <f t="shared" si="32"/>
        <v>No Expenditures</v>
      </c>
      <c r="W42">
        <f t="shared" si="33"/>
        <v>0</v>
      </c>
      <c r="X42" t="str">
        <f>'D-Risk'!$AO$25</f>
        <v>Insufficient Data</v>
      </c>
      <c r="Y42" t="str">
        <f>'D-Risk'!$AO$26</f>
        <v>Insufficient Data</v>
      </c>
      <c r="Z42" t="str">
        <f>'D-Risk'!$AO$27</f>
        <v>Uncalculated</v>
      </c>
      <c r="AA42" t="s">
        <v>824</v>
      </c>
      <c r="AB42" t="s">
        <v>1387</v>
      </c>
      <c r="AC42" t="s">
        <v>1388</v>
      </c>
      <c r="AD42">
        <f>Q3b_U5_Participation</f>
        <v>0</v>
      </c>
      <c r="AE42">
        <f>'3e'!D58</f>
        <v>0</v>
      </c>
      <c r="AF42">
        <f>'3e'!E58</f>
        <v>0</v>
      </c>
      <c r="AG42">
        <f>'3e'!F58</f>
        <v>0</v>
      </c>
      <c r="AH42">
        <f>'3e'!G58</f>
        <v>0</v>
      </c>
      <c r="AI42">
        <f>'3e'!H58</f>
        <v>0</v>
      </c>
    </row>
    <row r="43" spans="1:35" x14ac:dyDescent="0.25">
      <c r="A43">
        <f t="shared" si="17"/>
        <v>0</v>
      </c>
      <c r="B43">
        <f t="shared" si="18"/>
        <v>0</v>
      </c>
      <c r="C43">
        <f t="shared" si="19"/>
        <v>0</v>
      </c>
      <c r="D43">
        <f t="shared" si="20"/>
        <v>0</v>
      </c>
      <c r="E43">
        <f t="shared" si="21"/>
        <v>0</v>
      </c>
      <c r="F43">
        <f>'D-RepLevel'!$F$2</f>
        <v>0</v>
      </c>
      <c r="G43">
        <f>'D-RepLevel'!$G$2</f>
        <v>0</v>
      </c>
      <c r="H43">
        <f t="shared" si="22"/>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23"/>
        <v>0</v>
      </c>
      <c r="M43">
        <f t="shared" si="24"/>
        <v>0</v>
      </c>
      <c r="N43">
        <f t="shared" si="25"/>
        <v>0</v>
      </c>
      <c r="O43">
        <f t="shared" si="26"/>
        <v>2015</v>
      </c>
      <c r="P43">
        <f t="shared" si="27"/>
        <v>0</v>
      </c>
      <c r="Q43">
        <f t="shared" si="28"/>
        <v>0</v>
      </c>
      <c r="R43">
        <f t="shared" si="29"/>
        <v>0</v>
      </c>
      <c r="S43">
        <f t="shared" si="30"/>
        <v>0</v>
      </c>
      <c r="T43">
        <f>COUNTIF('9a'!$K$22:$K$32, "Yes")+COUNTIF('9a'!$O$22:$O$32, "Yes")</f>
        <v>0</v>
      </c>
      <c r="U43" t="str">
        <f t="shared" si="31"/>
        <v>No Expenditures</v>
      </c>
      <c r="V43" t="str">
        <f t="shared" si="32"/>
        <v>No Expenditures</v>
      </c>
      <c r="W43">
        <f t="shared" si="33"/>
        <v>0</v>
      </c>
      <c r="X43" t="str">
        <f>'D-Risk'!$AO$25</f>
        <v>Insufficient Data</v>
      </c>
      <c r="Y43" t="str">
        <f>'D-Risk'!$AO$26</f>
        <v>Insufficient Data</v>
      </c>
      <c r="Z43" t="str">
        <f>'D-Risk'!$AO$27</f>
        <v>Uncalculated</v>
      </c>
      <c r="AA43" t="s">
        <v>824</v>
      </c>
      <c r="AB43" t="s">
        <v>1389</v>
      </c>
      <c r="AC43" t="s">
        <v>1390</v>
      </c>
      <c r="AD43">
        <f>Q3b_U6_Participation</f>
        <v>0</v>
      </c>
      <c r="AE43">
        <f>'3e'!D59</f>
        <v>0</v>
      </c>
      <c r="AF43">
        <f>'3e'!E59</f>
        <v>0</v>
      </c>
      <c r="AG43">
        <f>'3e'!F59</f>
        <v>0</v>
      </c>
      <c r="AH43">
        <f>'3e'!G59</f>
        <v>0</v>
      </c>
      <c r="AI43">
        <f>'3e'!H59</f>
        <v>0</v>
      </c>
    </row>
    <row r="44" spans="1:35" x14ac:dyDescent="0.25">
      <c r="A44">
        <f t="shared" si="17"/>
        <v>0</v>
      </c>
      <c r="B44">
        <f t="shared" si="18"/>
        <v>0</v>
      </c>
      <c r="C44">
        <f t="shared" si="19"/>
        <v>0</v>
      </c>
      <c r="D44">
        <f t="shared" si="20"/>
        <v>0</v>
      </c>
      <c r="E44">
        <f t="shared" si="21"/>
        <v>0</v>
      </c>
      <c r="F44">
        <f>'D-RepLevel'!$F$2</f>
        <v>0</v>
      </c>
      <c r="G44">
        <f>'D-RepLevel'!$G$2</f>
        <v>0</v>
      </c>
      <c r="H44">
        <f t="shared" si="22"/>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23"/>
        <v>0</v>
      </c>
      <c r="M44">
        <f t="shared" si="24"/>
        <v>0</v>
      </c>
      <c r="N44">
        <f t="shared" si="25"/>
        <v>0</v>
      </c>
      <c r="O44">
        <f t="shared" si="26"/>
        <v>2015</v>
      </c>
      <c r="P44">
        <f t="shared" si="27"/>
        <v>0</v>
      </c>
      <c r="Q44">
        <f t="shared" si="28"/>
        <v>0</v>
      </c>
      <c r="R44">
        <f t="shared" si="29"/>
        <v>0</v>
      </c>
      <c r="S44">
        <f t="shared" si="30"/>
        <v>0</v>
      </c>
      <c r="T44">
        <f>COUNTIF('9a'!$K$22:$K$32, "Yes")+COUNTIF('9a'!$O$22:$O$32, "Yes")</f>
        <v>0</v>
      </c>
      <c r="U44" t="str">
        <f t="shared" si="31"/>
        <v>No Expenditures</v>
      </c>
      <c r="V44" t="str">
        <f t="shared" si="32"/>
        <v>No Expenditures</v>
      </c>
      <c r="W44">
        <f t="shared" si="33"/>
        <v>0</v>
      </c>
      <c r="X44" t="str">
        <f>'D-Risk'!$AO$25</f>
        <v>Insufficient Data</v>
      </c>
      <c r="Y44" t="str">
        <f>'D-Risk'!$AO$26</f>
        <v>Insufficient Data</v>
      </c>
      <c r="Z44" t="str">
        <f>'D-Risk'!$AO$27</f>
        <v>Uncalculated</v>
      </c>
      <c r="AA44" t="s">
        <v>826</v>
      </c>
      <c r="AB44" t="s">
        <v>1391</v>
      </c>
      <c r="AC44" t="s">
        <v>1392</v>
      </c>
      <c r="AD44">
        <f>Q3b_V1_Participation</f>
        <v>0</v>
      </c>
      <c r="AE44">
        <f>'3e'!D62</f>
        <v>0</v>
      </c>
      <c r="AF44">
        <f>'3e'!E62</f>
        <v>0</v>
      </c>
      <c r="AG44">
        <f>'3e'!F62</f>
        <v>0</v>
      </c>
      <c r="AH44">
        <f>'3e'!G62</f>
        <v>0</v>
      </c>
      <c r="AI44">
        <f>'3e'!H62</f>
        <v>0</v>
      </c>
    </row>
    <row r="45" spans="1:35" x14ac:dyDescent="0.25">
      <c r="A45">
        <f t="shared" si="17"/>
        <v>0</v>
      </c>
      <c r="B45">
        <f t="shared" si="18"/>
        <v>0</v>
      </c>
      <c r="C45">
        <f t="shared" si="19"/>
        <v>0</v>
      </c>
      <c r="D45">
        <f t="shared" si="20"/>
        <v>0</v>
      </c>
      <c r="E45">
        <f t="shared" si="21"/>
        <v>0</v>
      </c>
      <c r="F45">
        <f>'D-RepLevel'!$F$2</f>
        <v>0</v>
      </c>
      <c r="G45">
        <f>'D-RepLevel'!$G$2</f>
        <v>0</v>
      </c>
      <c r="H45">
        <f t="shared" si="22"/>
        <v>0</v>
      </c>
      <c r="I45" t="str">
        <f>IF(ISERROR(INDEX('1b'!$C$5:$C$21, MATCH("Primary Business Line", '1b'!$H$5:$H$21, FALSE), 1)), "None Selected", INDEX('1b'!$C$5:$C$21, MATCH("Primary Business Line", '1b'!$H$5:$H$21, FALSE), 1))</f>
        <v>None Selected</v>
      </c>
      <c r="J45">
        <f>'D-3'!$J$2</f>
        <v>0</v>
      </c>
      <c r="K45">
        <f>COUNTIF('4a'!$E$6:$E$29, "Direct")+COUNTIF('4a'!$E$6:$E$29, "Indirect")+COUNTIF('4a'!$E$6:$E$29, "Both")</f>
        <v>0</v>
      </c>
      <c r="L45">
        <f t="shared" si="23"/>
        <v>0</v>
      </c>
      <c r="M45">
        <f t="shared" si="24"/>
        <v>0</v>
      </c>
      <c r="N45">
        <f t="shared" si="25"/>
        <v>0</v>
      </c>
      <c r="O45">
        <f t="shared" si="26"/>
        <v>2015</v>
      </c>
      <c r="P45">
        <f t="shared" si="27"/>
        <v>0</v>
      </c>
      <c r="Q45">
        <f t="shared" si="28"/>
        <v>0</v>
      </c>
      <c r="R45">
        <f t="shared" si="29"/>
        <v>0</v>
      </c>
      <c r="S45">
        <f t="shared" si="30"/>
        <v>0</v>
      </c>
      <c r="T45">
        <f>COUNTIF('9a'!$K$22:$K$32, "Yes")+COUNTIF('9a'!$O$22:$O$32, "Yes")</f>
        <v>0</v>
      </c>
      <c r="U45" t="str">
        <f t="shared" si="31"/>
        <v>No Expenditures</v>
      </c>
      <c r="V45" t="str">
        <f t="shared" si="32"/>
        <v>No Expenditures</v>
      </c>
      <c r="W45">
        <f t="shared" si="33"/>
        <v>0</v>
      </c>
      <c r="X45" t="str">
        <f>'D-Risk'!$AO$25</f>
        <v>Insufficient Data</v>
      </c>
      <c r="Y45" t="str">
        <f>'D-Risk'!$AO$26</f>
        <v>Insufficient Data</v>
      </c>
      <c r="Z45" t="str">
        <f>'D-Risk'!$AO$27</f>
        <v>Uncalculated</v>
      </c>
      <c r="AA45" t="s">
        <v>826</v>
      </c>
      <c r="AB45" t="s">
        <v>1393</v>
      </c>
      <c r="AC45" t="s">
        <v>1394</v>
      </c>
      <c r="AD45">
        <f>Q3b_V2_Participation</f>
        <v>0</v>
      </c>
      <c r="AE45">
        <f>'3e'!D63</f>
        <v>0</v>
      </c>
      <c r="AF45">
        <f>'3e'!E63</f>
        <v>0</v>
      </c>
      <c r="AG45">
        <f>'3e'!F63</f>
        <v>0</v>
      </c>
      <c r="AH45">
        <f>'3e'!G63</f>
        <v>0</v>
      </c>
      <c r="AI45">
        <f>'3e'!H63</f>
        <v>0</v>
      </c>
    </row>
    <row r="46" spans="1:35" x14ac:dyDescent="0.25">
      <c r="A46">
        <f t="shared" si="17"/>
        <v>0</v>
      </c>
      <c r="B46">
        <f t="shared" si="18"/>
        <v>0</v>
      </c>
      <c r="C46">
        <f t="shared" si="19"/>
        <v>0</v>
      </c>
      <c r="D46">
        <f t="shared" si="20"/>
        <v>0</v>
      </c>
      <c r="E46">
        <f t="shared" si="21"/>
        <v>0</v>
      </c>
      <c r="F46">
        <f>'D-RepLevel'!$F$2</f>
        <v>0</v>
      </c>
      <c r="G46">
        <f>'D-RepLevel'!$G$2</f>
        <v>0</v>
      </c>
      <c r="H46">
        <f t="shared" si="22"/>
        <v>0</v>
      </c>
      <c r="I46" t="str">
        <f>IF(ISERROR(INDEX('1b'!$C$5:$C$21, MATCH("Primary Business Line", '1b'!$H$5:$H$21, FALSE), 1)), "None Selected", INDEX('1b'!$C$5:$C$21, MATCH("Primary Business Line", '1b'!$H$5:$H$21, FALSE), 1))</f>
        <v>None Selected</v>
      </c>
      <c r="J46">
        <f>'D-3'!$J$2</f>
        <v>0</v>
      </c>
      <c r="K46">
        <f>COUNTIF('4a'!$E$6:$E$29, "Direct")+COUNTIF('4a'!$E$6:$E$29, "Indirect")+COUNTIF('4a'!$E$6:$E$29, "Both")</f>
        <v>0</v>
      </c>
      <c r="L46">
        <f t="shared" si="23"/>
        <v>0</v>
      </c>
      <c r="M46">
        <f t="shared" si="24"/>
        <v>0</v>
      </c>
      <c r="N46">
        <f t="shared" si="25"/>
        <v>0</v>
      </c>
      <c r="O46">
        <f t="shared" si="26"/>
        <v>2015</v>
      </c>
      <c r="P46">
        <f t="shared" si="27"/>
        <v>0</v>
      </c>
      <c r="Q46">
        <f t="shared" si="28"/>
        <v>0</v>
      </c>
      <c r="R46">
        <f t="shared" si="29"/>
        <v>0</v>
      </c>
      <c r="S46">
        <f t="shared" si="30"/>
        <v>0</v>
      </c>
      <c r="T46">
        <f>COUNTIF('9a'!$K$22:$K$32, "Yes")+COUNTIF('9a'!$O$22:$O$32, "Yes")</f>
        <v>0</v>
      </c>
      <c r="U46" t="str">
        <f t="shared" si="31"/>
        <v>No Expenditures</v>
      </c>
      <c r="V46" t="str">
        <f t="shared" si="32"/>
        <v>No Expenditures</v>
      </c>
      <c r="W46">
        <f t="shared" si="33"/>
        <v>0</v>
      </c>
      <c r="X46" t="str">
        <f>'D-Risk'!$AO$25</f>
        <v>Insufficient Data</v>
      </c>
      <c r="Y46" t="str">
        <f>'D-Risk'!$AO$26</f>
        <v>Insufficient Data</v>
      </c>
      <c r="Z46" t="str">
        <f>'D-Risk'!$AO$27</f>
        <v>Uncalculated</v>
      </c>
      <c r="AA46" t="s">
        <v>826</v>
      </c>
      <c r="AB46" t="s">
        <v>1395</v>
      </c>
      <c r="AC46" t="s">
        <v>1396</v>
      </c>
      <c r="AD46">
        <f>Q3b_V3_Participation</f>
        <v>0</v>
      </c>
      <c r="AE46">
        <f>'3e'!D64</f>
        <v>0</v>
      </c>
      <c r="AF46">
        <f>'3e'!E64</f>
        <v>0</v>
      </c>
      <c r="AG46">
        <f>'3e'!F64</f>
        <v>0</v>
      </c>
      <c r="AH46">
        <f>'3e'!G64</f>
        <v>0</v>
      </c>
      <c r="AI46">
        <f>'3e'!H64</f>
        <v>0</v>
      </c>
    </row>
    <row r="47" spans="1:35" x14ac:dyDescent="0.25">
      <c r="A47">
        <f t="shared" si="17"/>
        <v>0</v>
      </c>
      <c r="B47">
        <f t="shared" si="18"/>
        <v>0</v>
      </c>
      <c r="C47">
        <f t="shared" si="19"/>
        <v>0</v>
      </c>
      <c r="D47">
        <f t="shared" si="20"/>
        <v>0</v>
      </c>
      <c r="E47">
        <f t="shared" si="21"/>
        <v>0</v>
      </c>
      <c r="F47">
        <f>'D-RepLevel'!$F$2</f>
        <v>0</v>
      </c>
      <c r="G47">
        <f>'D-RepLevel'!$G$2</f>
        <v>0</v>
      </c>
      <c r="H47">
        <f t="shared" si="22"/>
        <v>0</v>
      </c>
      <c r="I47" t="str">
        <f>IF(ISERROR(INDEX('1b'!$C$5:$C$21, MATCH("Primary Business Line", '1b'!$H$5:$H$21, FALSE), 1)), "None Selected", INDEX('1b'!$C$5:$C$21, MATCH("Primary Business Line", '1b'!$H$5:$H$21, FALSE), 1))</f>
        <v>None Selected</v>
      </c>
      <c r="J47">
        <f>'D-3'!$J$2</f>
        <v>0</v>
      </c>
      <c r="K47">
        <f>COUNTIF('4a'!$E$6:$E$29, "Direct")+COUNTIF('4a'!$E$6:$E$29, "Indirect")+COUNTIF('4a'!$E$6:$E$29, "Both")</f>
        <v>0</v>
      </c>
      <c r="L47">
        <f t="shared" si="23"/>
        <v>0</v>
      </c>
      <c r="M47">
        <f t="shared" si="24"/>
        <v>0</v>
      </c>
      <c r="N47">
        <f t="shared" si="25"/>
        <v>0</v>
      </c>
      <c r="O47">
        <f t="shared" si="26"/>
        <v>2015</v>
      </c>
      <c r="P47">
        <f t="shared" si="27"/>
        <v>0</v>
      </c>
      <c r="Q47">
        <f t="shared" si="28"/>
        <v>0</v>
      </c>
      <c r="R47">
        <f t="shared" si="29"/>
        <v>0</v>
      </c>
      <c r="S47">
        <f t="shared" si="30"/>
        <v>0</v>
      </c>
      <c r="T47">
        <f>COUNTIF('9a'!$K$22:$K$32, "Yes")+COUNTIF('9a'!$O$22:$O$32, "Yes")</f>
        <v>0</v>
      </c>
      <c r="U47" t="str">
        <f t="shared" si="31"/>
        <v>No Expenditures</v>
      </c>
      <c r="V47" t="str">
        <f t="shared" si="32"/>
        <v>No Expenditures</v>
      </c>
      <c r="W47">
        <f t="shared" si="33"/>
        <v>0</v>
      </c>
      <c r="X47" t="str">
        <f>'D-Risk'!$AO$25</f>
        <v>Insufficient Data</v>
      </c>
      <c r="Y47" t="str">
        <f>'D-Risk'!$AO$26</f>
        <v>Insufficient Data</v>
      </c>
      <c r="Z47" t="str">
        <f>'D-Risk'!$AO$27</f>
        <v>Uncalculated</v>
      </c>
      <c r="AA47" t="s">
        <v>826</v>
      </c>
      <c r="AB47" t="s">
        <v>1397</v>
      </c>
      <c r="AC47" t="s">
        <v>1398</v>
      </c>
      <c r="AD47">
        <f>Q3b_V4_Participation</f>
        <v>0</v>
      </c>
      <c r="AE47">
        <f>'3e'!D65</f>
        <v>0</v>
      </c>
      <c r="AF47">
        <f>'3e'!E65</f>
        <v>0</v>
      </c>
      <c r="AG47">
        <f>'3e'!F65</f>
        <v>0</v>
      </c>
      <c r="AH47">
        <f>'3e'!G65</f>
        <v>0</v>
      </c>
      <c r="AI47">
        <f>'3e'!H65</f>
        <v>0</v>
      </c>
    </row>
    <row r="48" spans="1:35" x14ac:dyDescent="0.25">
      <c r="A48">
        <f t="shared" si="17"/>
        <v>0</v>
      </c>
      <c r="B48">
        <f t="shared" si="18"/>
        <v>0</v>
      </c>
      <c r="C48">
        <f t="shared" si="19"/>
        <v>0</v>
      </c>
      <c r="D48">
        <f t="shared" si="20"/>
        <v>0</v>
      </c>
      <c r="E48">
        <f t="shared" si="21"/>
        <v>0</v>
      </c>
      <c r="F48">
        <f>'D-RepLevel'!$F$2</f>
        <v>0</v>
      </c>
      <c r="G48">
        <f>'D-RepLevel'!$G$2</f>
        <v>0</v>
      </c>
      <c r="H48">
        <f t="shared" si="22"/>
        <v>0</v>
      </c>
      <c r="I48" t="str">
        <f>IF(ISERROR(INDEX('1b'!$C$5:$C$21, MATCH("Primary Business Line", '1b'!$H$5:$H$21, FALSE), 1)), "None Selected", INDEX('1b'!$C$5:$C$21, MATCH("Primary Business Line", '1b'!$H$5:$H$21, FALSE), 1))</f>
        <v>None Selected</v>
      </c>
      <c r="J48">
        <f>'D-3'!$J$2</f>
        <v>0</v>
      </c>
      <c r="K48">
        <f>COUNTIF('4a'!$E$6:$E$29, "Direct")+COUNTIF('4a'!$E$6:$E$29, "Indirect")+COUNTIF('4a'!$E$6:$E$29, "Both")</f>
        <v>0</v>
      </c>
      <c r="L48">
        <f t="shared" si="23"/>
        <v>0</v>
      </c>
      <c r="M48">
        <f t="shared" si="24"/>
        <v>0</v>
      </c>
      <c r="N48">
        <f t="shared" si="25"/>
        <v>0</v>
      </c>
      <c r="O48">
        <f t="shared" si="26"/>
        <v>2015</v>
      </c>
      <c r="P48">
        <f t="shared" si="27"/>
        <v>0</v>
      </c>
      <c r="Q48">
        <f t="shared" si="28"/>
        <v>0</v>
      </c>
      <c r="R48">
        <f t="shared" si="29"/>
        <v>0</v>
      </c>
      <c r="S48">
        <f t="shared" si="30"/>
        <v>0</v>
      </c>
      <c r="T48">
        <f>COUNTIF('9a'!$K$22:$K$32, "Yes")+COUNTIF('9a'!$O$22:$O$32, "Yes")</f>
        <v>0</v>
      </c>
      <c r="U48" t="str">
        <f t="shared" si="31"/>
        <v>No Expenditures</v>
      </c>
      <c r="V48" t="str">
        <f t="shared" si="32"/>
        <v>No Expenditures</v>
      </c>
      <c r="W48">
        <f t="shared" si="33"/>
        <v>0</v>
      </c>
      <c r="X48" t="str">
        <f>'D-Risk'!$AO$25</f>
        <v>Insufficient Data</v>
      </c>
      <c r="Y48" t="str">
        <f>'D-Risk'!$AO$26</f>
        <v>Insufficient Data</v>
      </c>
      <c r="Z48" t="str">
        <f>'D-Risk'!$AO$27</f>
        <v>Uncalculated</v>
      </c>
      <c r="AA48" t="s">
        <v>826</v>
      </c>
      <c r="AB48" t="s">
        <v>1399</v>
      </c>
      <c r="AC48" t="s">
        <v>1400</v>
      </c>
      <c r="AD48">
        <f>Q3b_V5_Participation</f>
        <v>0</v>
      </c>
      <c r="AE48">
        <f>'3e'!D66</f>
        <v>0</v>
      </c>
      <c r="AF48">
        <f>'3e'!E66</f>
        <v>0</v>
      </c>
      <c r="AG48">
        <f>'3e'!F66</f>
        <v>0</v>
      </c>
      <c r="AH48">
        <f>'3e'!G66</f>
        <v>0</v>
      </c>
      <c r="AI48">
        <f>'3e'!H66</f>
        <v>0</v>
      </c>
    </row>
    <row r="49" spans="1:35" x14ac:dyDescent="0.25">
      <c r="A49">
        <f t="shared" si="17"/>
        <v>0</v>
      </c>
      <c r="B49">
        <f t="shared" si="18"/>
        <v>0</v>
      </c>
      <c r="C49">
        <f t="shared" si="19"/>
        <v>0</v>
      </c>
      <c r="D49">
        <f t="shared" si="20"/>
        <v>0</v>
      </c>
      <c r="E49">
        <f t="shared" si="21"/>
        <v>0</v>
      </c>
      <c r="F49">
        <f>'D-RepLevel'!$F$2</f>
        <v>0</v>
      </c>
      <c r="G49">
        <f>'D-RepLevel'!$G$2</f>
        <v>0</v>
      </c>
      <c r="H49">
        <f t="shared" si="22"/>
        <v>0</v>
      </c>
      <c r="I49" t="str">
        <f>IF(ISERROR(INDEX('1b'!$C$5:$C$21, MATCH("Primary Business Line", '1b'!$H$5:$H$21, FALSE), 1)), "None Selected", INDEX('1b'!$C$5:$C$21, MATCH("Primary Business Line", '1b'!$H$5:$H$21, FALSE), 1))</f>
        <v>None Selected</v>
      </c>
      <c r="J49">
        <f>'D-3'!$J$2</f>
        <v>0</v>
      </c>
      <c r="K49">
        <f>COUNTIF('4a'!$E$6:$E$29, "Direct")+COUNTIF('4a'!$E$6:$E$29, "Indirect")+COUNTIF('4a'!$E$6:$E$29, "Both")</f>
        <v>0</v>
      </c>
      <c r="L49">
        <f t="shared" si="23"/>
        <v>0</v>
      </c>
      <c r="M49">
        <f t="shared" si="24"/>
        <v>0</v>
      </c>
      <c r="N49">
        <f t="shared" si="25"/>
        <v>0</v>
      </c>
      <c r="O49">
        <f t="shared" si="26"/>
        <v>2015</v>
      </c>
      <c r="P49">
        <f t="shared" si="27"/>
        <v>0</v>
      </c>
      <c r="Q49">
        <f t="shared" si="28"/>
        <v>0</v>
      </c>
      <c r="R49">
        <f t="shared" si="29"/>
        <v>0</v>
      </c>
      <c r="S49">
        <f t="shared" si="30"/>
        <v>0</v>
      </c>
      <c r="T49">
        <f>COUNTIF('9a'!$K$22:$K$32, "Yes")+COUNTIF('9a'!$O$22:$O$32, "Yes")</f>
        <v>0</v>
      </c>
      <c r="U49" t="str">
        <f t="shared" si="31"/>
        <v>No Expenditures</v>
      </c>
      <c r="V49" t="str">
        <f t="shared" si="32"/>
        <v>No Expenditures</v>
      </c>
      <c r="W49">
        <f t="shared" si="33"/>
        <v>0</v>
      </c>
      <c r="X49" t="str">
        <f>'D-Risk'!$AO$25</f>
        <v>Insufficient Data</v>
      </c>
      <c r="Y49" t="str">
        <f>'D-Risk'!$AO$26</f>
        <v>Insufficient Data</v>
      </c>
      <c r="Z49" t="str">
        <f>'D-Risk'!$AO$27</f>
        <v>Uncalculated</v>
      </c>
      <c r="AA49" t="s">
        <v>826</v>
      </c>
      <c r="AB49" t="s">
        <v>1401</v>
      </c>
      <c r="AC49" t="s">
        <v>1402</v>
      </c>
      <c r="AD49">
        <f>Q3b_V6_Participation</f>
        <v>0</v>
      </c>
      <c r="AE49">
        <f>'3e'!D67</f>
        <v>0</v>
      </c>
      <c r="AF49">
        <f>'3e'!E67</f>
        <v>0</v>
      </c>
      <c r="AG49">
        <f>'3e'!F67</f>
        <v>0</v>
      </c>
      <c r="AH49">
        <f>'3e'!G67</f>
        <v>0</v>
      </c>
      <c r="AI49">
        <f>'3e'!H67</f>
        <v>0</v>
      </c>
    </row>
    <row r="50" spans="1:35" x14ac:dyDescent="0.25">
      <c r="A50">
        <f t="shared" si="17"/>
        <v>0</v>
      </c>
      <c r="B50">
        <f t="shared" si="18"/>
        <v>0</v>
      </c>
      <c r="C50">
        <f t="shared" si="19"/>
        <v>0</v>
      </c>
      <c r="D50">
        <f t="shared" si="20"/>
        <v>0</v>
      </c>
      <c r="E50">
        <f t="shared" si="21"/>
        <v>0</v>
      </c>
      <c r="F50">
        <f>'D-RepLevel'!$F$2</f>
        <v>0</v>
      </c>
      <c r="G50">
        <f>'D-RepLevel'!$G$2</f>
        <v>0</v>
      </c>
      <c r="H50">
        <f t="shared" si="22"/>
        <v>0</v>
      </c>
      <c r="I50" t="str">
        <f>IF(ISERROR(INDEX('1b'!$C$5:$C$21, MATCH("Primary Business Line", '1b'!$H$5:$H$21, FALSE), 1)), "None Selected", INDEX('1b'!$C$5:$C$21, MATCH("Primary Business Line", '1b'!$H$5:$H$21, FALSE), 1))</f>
        <v>None Selected</v>
      </c>
      <c r="J50">
        <f>'D-3'!$J$2</f>
        <v>0</v>
      </c>
      <c r="K50">
        <f>COUNTIF('4a'!$E$6:$E$29, "Direct")+COUNTIF('4a'!$E$6:$E$29, "Indirect")+COUNTIF('4a'!$E$6:$E$29, "Both")</f>
        <v>0</v>
      </c>
      <c r="L50">
        <f t="shared" si="23"/>
        <v>0</v>
      </c>
      <c r="M50">
        <f t="shared" si="24"/>
        <v>0</v>
      </c>
      <c r="N50">
        <f t="shared" si="25"/>
        <v>0</v>
      </c>
      <c r="O50">
        <f t="shared" si="26"/>
        <v>2015</v>
      </c>
      <c r="P50">
        <f t="shared" si="27"/>
        <v>0</v>
      </c>
      <c r="Q50">
        <f t="shared" si="28"/>
        <v>0</v>
      </c>
      <c r="R50">
        <f t="shared" si="29"/>
        <v>0</v>
      </c>
      <c r="S50">
        <f t="shared" si="30"/>
        <v>0</v>
      </c>
      <c r="T50">
        <f>COUNTIF('9a'!$K$22:$K$32, "Yes")+COUNTIF('9a'!$O$22:$O$32, "Yes")</f>
        <v>0</v>
      </c>
      <c r="U50" t="str">
        <f t="shared" si="31"/>
        <v>No Expenditures</v>
      </c>
      <c r="V50" t="str">
        <f t="shared" si="32"/>
        <v>No Expenditures</v>
      </c>
      <c r="W50">
        <f t="shared" si="33"/>
        <v>0</v>
      </c>
      <c r="X50" t="str">
        <f>'D-Risk'!$AO$25</f>
        <v>Insufficient Data</v>
      </c>
      <c r="Y50" t="str">
        <f>'D-Risk'!$AO$26</f>
        <v>Insufficient Data</v>
      </c>
      <c r="Z50" t="str">
        <f>'D-Risk'!$AO$27</f>
        <v>Uncalculated</v>
      </c>
      <c r="AA50" t="s">
        <v>826</v>
      </c>
      <c r="AB50" t="s">
        <v>1403</v>
      </c>
      <c r="AC50" t="s">
        <v>1404</v>
      </c>
      <c r="AD50">
        <f>Q3b_V7_Participation</f>
        <v>0</v>
      </c>
      <c r="AE50">
        <f>'3e'!D68</f>
        <v>0</v>
      </c>
      <c r="AF50">
        <f>'3e'!E68</f>
        <v>0</v>
      </c>
      <c r="AG50">
        <f>'3e'!F68</f>
        <v>0</v>
      </c>
      <c r="AH50">
        <f>'3e'!G68</f>
        <v>0</v>
      </c>
      <c r="AI50">
        <f>'3e'!H68</f>
        <v>0</v>
      </c>
    </row>
  </sheetData>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0"/>
  <sheetViews>
    <sheetView zoomScale="70" zoomScaleNormal="70" workbookViewId="0">
      <selection activeCell="C7" sqref="C7:D7"/>
    </sheetView>
  </sheetViews>
  <sheetFormatPr defaultRowHeight="15" x14ac:dyDescent="0.25"/>
  <sheetData>
    <row r="1" spans="1:3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2128</v>
      </c>
      <c r="AB1" t="s">
        <v>2129</v>
      </c>
      <c r="AC1" t="s">
        <v>2130</v>
      </c>
      <c r="AD1" t="s">
        <v>237</v>
      </c>
      <c r="AE1" t="s">
        <v>2131</v>
      </c>
      <c r="AF1" t="s">
        <v>239</v>
      </c>
      <c r="AG1" t="s">
        <v>2132</v>
      </c>
      <c r="AH1" t="s">
        <v>2133</v>
      </c>
      <c r="AI1" t="s">
        <v>2134</v>
      </c>
    </row>
    <row r="2" spans="1:35" x14ac:dyDescent="0.25">
      <c r="A2">
        <f t="shared" ref="A2:A33" si="0">Q_RP_B_DSSCAGE_01</f>
        <v>0</v>
      </c>
      <c r="B2">
        <f t="shared" ref="B2:B33" si="1">Q1a_A_LocationName</f>
        <v>0</v>
      </c>
      <c r="C2">
        <f t="shared" ref="C2:C33" si="2">Q1a_A_LocOrgName</f>
        <v>0</v>
      </c>
      <c r="D2">
        <f t="shared" ref="D2:D33" si="3">Q1a_B_Parent1_Name</f>
        <v>0</v>
      </c>
      <c r="E2">
        <f t="shared" ref="E2:E33" si="4">Q_RP_A_MultiResponse</f>
        <v>0</v>
      </c>
      <c r="F2">
        <f>'D-RepLevel'!$F$2</f>
        <v>0</v>
      </c>
      <c r="G2">
        <f>'D-RepLevel'!$G$2</f>
        <v>0</v>
      </c>
      <c r="H2">
        <f t="shared" ref="H2:H33"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3" si="6">Q4b_A_NumUSGPrograms</f>
        <v>0</v>
      </c>
      <c r="M2">
        <f t="shared" ref="M2:M33" si="7">Q6_A_Employees_Year3</f>
        <v>0</v>
      </c>
      <c r="N2">
        <f t="shared" ref="N2:N33" si="8">Q6_B_Employee_H1B_Total+Q6_B_Employee_H2B_Total+Q6_B_Employee_F1_Total+Q6_B_Employee_GreenCard_Total+Q6_B_Employee_Other_Total</f>
        <v>0</v>
      </c>
      <c r="O2">
        <f t="shared" ref="O2:O33" si="9">Year3</f>
        <v>2015</v>
      </c>
      <c r="P2">
        <f t="shared" ref="P2:P33" si="10">Q7_A_TotalSales_US_Year3+Q7_A_TotalSales_NonUS_Year3</f>
        <v>0</v>
      </c>
      <c r="Q2">
        <f t="shared" ref="Q2:Q33" si="11">Q7_B_DefSales_US_Year3_Pct*Q7_A_TotalSales_US_Year3+Q7_B_DefSales_NonUS_Year3_Pct*Q7_A_TotalSales_NonUS_Year3</f>
        <v>0</v>
      </c>
      <c r="R2">
        <f t="shared" ref="R2:R33" si="12">Q9a_B_Physical_Year3</f>
        <v>0</v>
      </c>
      <c r="S2">
        <f t="shared" ref="S2:S33" si="13">Q9a_B_Cyber_Year3</f>
        <v>0</v>
      </c>
      <c r="T2">
        <f>COUNTIF('9a'!$K$22:$K$32, "Yes")+COUNTIF('9a'!$O$22:$O$32, "Yes")</f>
        <v>0</v>
      </c>
      <c r="U2" t="str">
        <f t="shared" ref="U2:U33" si="14">IF(Q12_OpEx_Year3=0, "No Expenditures", Q9b_A_PhysicalSpending_Year3/(Q12_OpEx_Year3))</f>
        <v>No Expenditures</v>
      </c>
      <c r="V2" t="str">
        <f t="shared" ref="V2:V33" si="15">IF(Q12_OpEx_Year3=0, "No Expenditures", Q9b_A_CyberSpending_Year3/(Q12_OpEx_Year3))</f>
        <v>No Expenditures</v>
      </c>
      <c r="W2">
        <f t="shared" ref="W2:W33" si="16">Q9b_C_Pct_CSI_External</f>
        <v>0</v>
      </c>
      <c r="X2" t="str">
        <f>'D-Risk'!$AO$25</f>
        <v>Insufficient Data</v>
      </c>
      <c r="Y2" t="str">
        <f>'D-Risk'!$AO$26</f>
        <v>Insufficient Data</v>
      </c>
      <c r="Z2" t="str">
        <f>'D-Risk'!$AO$27</f>
        <v>Uncalculated</v>
      </c>
      <c r="AA2" t="s">
        <v>828</v>
      </c>
      <c r="AB2" t="s">
        <v>2136</v>
      </c>
      <c r="AC2" t="s">
        <v>1406</v>
      </c>
      <c r="AD2">
        <f>Q3b_W1_Participation</f>
        <v>0</v>
      </c>
      <c r="AE2">
        <f>'3f'!D8</f>
        <v>0</v>
      </c>
      <c r="AF2">
        <f>'3f'!E8</f>
        <v>0</v>
      </c>
      <c r="AG2">
        <f>'3f'!F8</f>
        <v>0</v>
      </c>
      <c r="AH2">
        <f>'3f'!G8</f>
        <v>0</v>
      </c>
      <c r="AI2">
        <f>'3f'!H8</f>
        <v>0</v>
      </c>
    </row>
    <row r="3" spans="1:35"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t="s">
        <v>828</v>
      </c>
      <c r="AB3" t="s">
        <v>2137</v>
      </c>
      <c r="AC3" t="s">
        <v>1408</v>
      </c>
      <c r="AD3">
        <f>Q3b_W2_Participation</f>
        <v>0</v>
      </c>
      <c r="AE3">
        <f>'3f'!D9</f>
        <v>0</v>
      </c>
      <c r="AF3">
        <f>'3f'!E9</f>
        <v>0</v>
      </c>
      <c r="AG3">
        <f>'3f'!F9</f>
        <v>0</v>
      </c>
      <c r="AH3">
        <f>'3f'!G9</f>
        <v>0</v>
      </c>
      <c r="AI3">
        <f>'3f'!H9</f>
        <v>0</v>
      </c>
    </row>
    <row r="4" spans="1:35"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t="s">
        <v>828</v>
      </c>
      <c r="AB4" t="s">
        <v>2138</v>
      </c>
      <c r="AC4" t="s">
        <v>1410</v>
      </c>
      <c r="AD4">
        <f>Q3b_W3_Participation</f>
        <v>0</v>
      </c>
      <c r="AE4">
        <f>'3f'!D10</f>
        <v>0</v>
      </c>
      <c r="AF4">
        <f>'3f'!E10</f>
        <v>0</v>
      </c>
      <c r="AG4">
        <f>'3f'!F10</f>
        <v>0</v>
      </c>
      <c r="AH4">
        <f>'3f'!G10</f>
        <v>0</v>
      </c>
      <c r="AI4">
        <f>'3f'!H10</f>
        <v>0</v>
      </c>
    </row>
    <row r="5" spans="1:35"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t="s">
        <v>828</v>
      </c>
      <c r="AB5" t="s">
        <v>2139</v>
      </c>
      <c r="AC5" t="s">
        <v>1412</v>
      </c>
      <c r="AD5">
        <f>Q3b_W4_Participation</f>
        <v>0</v>
      </c>
      <c r="AE5">
        <f>'3f'!D11</f>
        <v>0</v>
      </c>
      <c r="AF5">
        <f>'3f'!E11</f>
        <v>0</v>
      </c>
      <c r="AG5">
        <f>'3f'!F11</f>
        <v>0</v>
      </c>
      <c r="AH5">
        <f>'3f'!G11</f>
        <v>0</v>
      </c>
      <c r="AI5">
        <f>'3f'!H11</f>
        <v>0</v>
      </c>
    </row>
    <row r="6" spans="1:35"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t="s">
        <v>828</v>
      </c>
      <c r="AB6" t="s">
        <v>2140</v>
      </c>
      <c r="AC6" t="s">
        <v>1414</v>
      </c>
      <c r="AD6">
        <f>Q3b_W5_Participation</f>
        <v>0</v>
      </c>
      <c r="AE6">
        <f>'3f'!D12</f>
        <v>0</v>
      </c>
      <c r="AF6">
        <f>'3f'!E12</f>
        <v>0</v>
      </c>
      <c r="AG6">
        <f>'3f'!F12</f>
        <v>0</v>
      </c>
      <c r="AH6">
        <f>'3f'!G12</f>
        <v>0</v>
      </c>
      <c r="AI6">
        <f>'3f'!H12</f>
        <v>0</v>
      </c>
    </row>
    <row r="7" spans="1:35"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t="s">
        <v>828</v>
      </c>
      <c r="AB7" t="s">
        <v>2141</v>
      </c>
      <c r="AC7" t="s">
        <v>1416</v>
      </c>
      <c r="AD7">
        <f>Q3b_W6_Participation</f>
        <v>0</v>
      </c>
      <c r="AE7">
        <f>'3f'!D13</f>
        <v>0</v>
      </c>
      <c r="AF7">
        <f>'3f'!E13</f>
        <v>0</v>
      </c>
      <c r="AG7">
        <f>'3f'!F13</f>
        <v>0</v>
      </c>
      <c r="AH7">
        <f>'3f'!G13</f>
        <v>0</v>
      </c>
      <c r="AI7">
        <f>'3f'!H13</f>
        <v>0</v>
      </c>
    </row>
    <row r="8" spans="1:35"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t="s">
        <v>828</v>
      </c>
      <c r="AB8" t="s">
        <v>2142</v>
      </c>
      <c r="AC8" t="s">
        <v>1418</v>
      </c>
      <c r="AD8">
        <f>Q3b_W7_Participation</f>
        <v>0</v>
      </c>
      <c r="AE8">
        <f>'3f'!D14</f>
        <v>0</v>
      </c>
      <c r="AF8">
        <f>'3f'!E14</f>
        <v>0</v>
      </c>
      <c r="AG8">
        <f>'3f'!F14</f>
        <v>0</v>
      </c>
      <c r="AH8">
        <f>'3f'!G14</f>
        <v>0</v>
      </c>
      <c r="AI8">
        <f>'3f'!H14</f>
        <v>0</v>
      </c>
    </row>
    <row r="9" spans="1:35"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t="s">
        <v>828</v>
      </c>
      <c r="AB9" t="s">
        <v>2143</v>
      </c>
      <c r="AC9" t="s">
        <v>1420</v>
      </c>
      <c r="AD9">
        <f>Q3b_W8_Participation</f>
        <v>0</v>
      </c>
      <c r="AE9">
        <f>'3f'!D15</f>
        <v>0</v>
      </c>
      <c r="AF9">
        <f>'3f'!E15</f>
        <v>0</v>
      </c>
      <c r="AG9">
        <f>'3f'!F15</f>
        <v>0</v>
      </c>
      <c r="AH9">
        <f>'3f'!G15</f>
        <v>0</v>
      </c>
      <c r="AI9">
        <f>'3f'!H15</f>
        <v>0</v>
      </c>
    </row>
    <row r="10" spans="1:35"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t="s">
        <v>828</v>
      </c>
      <c r="AB10" t="s">
        <v>2144</v>
      </c>
      <c r="AC10" t="s">
        <v>1422</v>
      </c>
      <c r="AD10">
        <f>Q3b_W9_Participation</f>
        <v>0</v>
      </c>
      <c r="AE10">
        <f>'3f'!D16</f>
        <v>0</v>
      </c>
      <c r="AF10">
        <f>'3f'!E16</f>
        <v>0</v>
      </c>
      <c r="AG10">
        <f>'3f'!F16</f>
        <v>0</v>
      </c>
      <c r="AH10">
        <f>'3f'!G16</f>
        <v>0</v>
      </c>
      <c r="AI10">
        <f>'3f'!H16</f>
        <v>0</v>
      </c>
    </row>
    <row r="11" spans="1:35"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t="s">
        <v>828</v>
      </c>
      <c r="AB11" t="s">
        <v>2145</v>
      </c>
      <c r="AC11" t="s">
        <v>1424</v>
      </c>
      <c r="AD11">
        <f>Q3b_W10_Participation</f>
        <v>0</v>
      </c>
      <c r="AE11">
        <f>'3f'!D17</f>
        <v>0</v>
      </c>
      <c r="AF11">
        <f>'3f'!E17</f>
        <v>0</v>
      </c>
      <c r="AG11">
        <f>'3f'!F17</f>
        <v>0</v>
      </c>
      <c r="AH11">
        <f>'3f'!G17</f>
        <v>0</v>
      </c>
      <c r="AI11">
        <f>'3f'!H17</f>
        <v>0</v>
      </c>
    </row>
    <row r="12" spans="1:35"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t="s">
        <v>440</v>
      </c>
      <c r="AB12" t="s">
        <v>2146</v>
      </c>
      <c r="AC12" t="s">
        <v>1426</v>
      </c>
      <c r="AD12">
        <f>Q3b_X1_Participation</f>
        <v>0</v>
      </c>
      <c r="AE12">
        <f>'3f'!D20</f>
        <v>0</v>
      </c>
      <c r="AF12">
        <f>'3f'!E20</f>
        <v>0</v>
      </c>
      <c r="AG12">
        <f>'3f'!F20</f>
        <v>0</v>
      </c>
      <c r="AH12">
        <f>'3f'!G20</f>
        <v>0</v>
      </c>
      <c r="AI12">
        <f>'3f'!H20</f>
        <v>0</v>
      </c>
    </row>
    <row r="13" spans="1:35"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t="s">
        <v>440</v>
      </c>
      <c r="AB13" t="s">
        <v>2147</v>
      </c>
      <c r="AC13" t="s">
        <v>1428</v>
      </c>
      <c r="AD13">
        <f>Q3b_X2_Participation</f>
        <v>0</v>
      </c>
      <c r="AE13">
        <f>'3f'!D21</f>
        <v>0</v>
      </c>
      <c r="AF13">
        <f>'3f'!E21</f>
        <v>0</v>
      </c>
      <c r="AG13">
        <f>'3f'!F21</f>
        <v>0</v>
      </c>
      <c r="AH13">
        <f>'3f'!G21</f>
        <v>0</v>
      </c>
      <c r="AI13">
        <f>'3f'!H21</f>
        <v>0</v>
      </c>
    </row>
    <row r="14" spans="1:35"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t="s">
        <v>440</v>
      </c>
      <c r="AB14" t="s">
        <v>2148</v>
      </c>
      <c r="AC14" t="s">
        <v>1430</v>
      </c>
      <c r="AD14">
        <f>Q3b_X3_Participation</f>
        <v>0</v>
      </c>
      <c r="AE14">
        <f>'3f'!D22</f>
        <v>0</v>
      </c>
      <c r="AF14">
        <f>'3f'!E22</f>
        <v>0</v>
      </c>
      <c r="AG14">
        <f>'3f'!F22</f>
        <v>0</v>
      </c>
      <c r="AH14">
        <f>'3f'!G22</f>
        <v>0</v>
      </c>
      <c r="AI14">
        <f>'3f'!H22</f>
        <v>0</v>
      </c>
    </row>
    <row r="15" spans="1:35"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t="s">
        <v>440</v>
      </c>
      <c r="AB15" t="s">
        <v>2149</v>
      </c>
      <c r="AC15" t="s">
        <v>1432</v>
      </c>
      <c r="AD15">
        <f>Q3b_X4_Participation</f>
        <v>0</v>
      </c>
      <c r="AE15">
        <f>'3f'!D23</f>
        <v>0</v>
      </c>
      <c r="AF15">
        <f>'3f'!E23</f>
        <v>0</v>
      </c>
      <c r="AG15">
        <f>'3f'!F23</f>
        <v>0</v>
      </c>
      <c r="AH15">
        <f>'3f'!G23</f>
        <v>0</v>
      </c>
      <c r="AI15">
        <f>'3f'!H23</f>
        <v>0</v>
      </c>
    </row>
    <row r="16" spans="1:35"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t="s">
        <v>440</v>
      </c>
      <c r="AB16" t="s">
        <v>2150</v>
      </c>
      <c r="AC16" t="s">
        <v>1434</v>
      </c>
      <c r="AD16">
        <f>Q3b_X5_Participation</f>
        <v>0</v>
      </c>
      <c r="AE16">
        <f>'3f'!D24</f>
        <v>0</v>
      </c>
      <c r="AF16">
        <f>'3f'!E24</f>
        <v>0</v>
      </c>
      <c r="AG16">
        <f>'3f'!F24</f>
        <v>0</v>
      </c>
      <c r="AH16">
        <f>'3f'!G24</f>
        <v>0</v>
      </c>
      <c r="AI16">
        <f>'3f'!H24</f>
        <v>0</v>
      </c>
    </row>
    <row r="17" spans="1:35"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t="s">
        <v>440</v>
      </c>
      <c r="AB17" t="s">
        <v>2151</v>
      </c>
      <c r="AC17" t="s">
        <v>1436</v>
      </c>
      <c r="AD17">
        <f>Q3b_X6_Participation</f>
        <v>0</v>
      </c>
      <c r="AE17">
        <f>'3f'!D25</f>
        <v>0</v>
      </c>
      <c r="AF17">
        <f>'3f'!E25</f>
        <v>0</v>
      </c>
      <c r="AG17">
        <f>'3f'!F25</f>
        <v>0</v>
      </c>
      <c r="AH17">
        <f>'3f'!G25</f>
        <v>0</v>
      </c>
      <c r="AI17">
        <f>'3f'!H25</f>
        <v>0</v>
      </c>
    </row>
    <row r="18" spans="1:35"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t="s">
        <v>440</v>
      </c>
      <c r="AB18" t="s">
        <v>2152</v>
      </c>
      <c r="AC18" t="s">
        <v>1438</v>
      </c>
      <c r="AD18">
        <f>Q3b_X7_Participation</f>
        <v>0</v>
      </c>
      <c r="AE18">
        <f>'3f'!D26</f>
        <v>0</v>
      </c>
      <c r="AF18">
        <f>'3f'!E26</f>
        <v>0</v>
      </c>
      <c r="AG18">
        <f>'3f'!F26</f>
        <v>0</v>
      </c>
      <c r="AH18">
        <f>'3f'!G26</f>
        <v>0</v>
      </c>
      <c r="AI18">
        <f>'3f'!H26</f>
        <v>0</v>
      </c>
    </row>
    <row r="19" spans="1:35"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t="s">
        <v>440</v>
      </c>
      <c r="AB19" t="s">
        <v>2153</v>
      </c>
      <c r="AC19" t="s">
        <v>1440</v>
      </c>
      <c r="AD19">
        <f>Q3b_X8_Participation</f>
        <v>0</v>
      </c>
      <c r="AE19">
        <f>'3f'!D27</f>
        <v>0</v>
      </c>
      <c r="AF19">
        <f>'3f'!E27</f>
        <v>0</v>
      </c>
      <c r="AG19">
        <f>'3f'!F27</f>
        <v>0</v>
      </c>
      <c r="AH19">
        <f>'3f'!G27</f>
        <v>0</v>
      </c>
      <c r="AI19">
        <f>'3f'!H27</f>
        <v>0</v>
      </c>
    </row>
    <row r="20" spans="1:35"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t="s">
        <v>440</v>
      </c>
      <c r="AB20" t="s">
        <v>2154</v>
      </c>
      <c r="AC20" t="s">
        <v>1442</v>
      </c>
      <c r="AD20">
        <f>Q3b_X9_Participation</f>
        <v>0</v>
      </c>
      <c r="AE20">
        <f>'3f'!D28</f>
        <v>0</v>
      </c>
      <c r="AF20">
        <f>'3f'!E28</f>
        <v>0</v>
      </c>
      <c r="AG20">
        <f>'3f'!F28</f>
        <v>0</v>
      </c>
      <c r="AH20">
        <f>'3f'!G28</f>
        <v>0</v>
      </c>
      <c r="AI20">
        <f>'3f'!H28</f>
        <v>0</v>
      </c>
    </row>
    <row r="21" spans="1:35"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t="s">
        <v>440</v>
      </c>
      <c r="AB21" t="s">
        <v>2155</v>
      </c>
      <c r="AC21" t="s">
        <v>1444</v>
      </c>
      <c r="AD21">
        <f>Q3b_X10_Participation</f>
        <v>0</v>
      </c>
      <c r="AE21">
        <f>'3f'!D29</f>
        <v>0</v>
      </c>
      <c r="AF21">
        <f>'3f'!E29</f>
        <v>0</v>
      </c>
      <c r="AG21">
        <f>'3f'!F29</f>
        <v>0</v>
      </c>
      <c r="AH21">
        <f>'3f'!G29</f>
        <v>0</v>
      </c>
      <c r="AI21">
        <f>'3f'!H29</f>
        <v>0</v>
      </c>
    </row>
    <row r="22" spans="1:35"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t="s">
        <v>440</v>
      </c>
      <c r="AB22" t="s">
        <v>2156</v>
      </c>
      <c r="AC22" t="s">
        <v>1446</v>
      </c>
      <c r="AD22">
        <f>Q3b_X11_Participation</f>
        <v>0</v>
      </c>
      <c r="AE22">
        <f>'3f'!D30</f>
        <v>0</v>
      </c>
      <c r="AF22">
        <f>'3f'!E30</f>
        <v>0</v>
      </c>
      <c r="AG22">
        <f>'3f'!F30</f>
        <v>0</v>
      </c>
      <c r="AH22">
        <f>'3f'!G30</f>
        <v>0</v>
      </c>
      <c r="AI22">
        <f>'3f'!H30</f>
        <v>0</v>
      </c>
    </row>
    <row r="23" spans="1:35"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t="s">
        <v>440</v>
      </c>
      <c r="AB23" t="s">
        <v>2157</v>
      </c>
      <c r="AC23" t="s">
        <v>1448</v>
      </c>
      <c r="AD23">
        <f>Q3b_X12_Participation</f>
        <v>0</v>
      </c>
      <c r="AE23">
        <f>'3f'!D31</f>
        <v>0</v>
      </c>
      <c r="AF23">
        <f>'3f'!E31</f>
        <v>0</v>
      </c>
      <c r="AG23">
        <f>'3f'!F31</f>
        <v>0</v>
      </c>
      <c r="AH23">
        <f>'3f'!G31</f>
        <v>0</v>
      </c>
      <c r="AI23">
        <f>'3f'!H31</f>
        <v>0</v>
      </c>
    </row>
    <row r="24" spans="1:35"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t="s">
        <v>440</v>
      </c>
      <c r="AB24" t="s">
        <v>2158</v>
      </c>
      <c r="AC24" t="s">
        <v>1450</v>
      </c>
      <c r="AD24">
        <f>Q3b_X13_Participation</f>
        <v>0</v>
      </c>
      <c r="AE24">
        <f>'3f'!D32</f>
        <v>0</v>
      </c>
      <c r="AF24">
        <f>'3f'!E32</f>
        <v>0</v>
      </c>
      <c r="AG24">
        <f>'3f'!F32</f>
        <v>0</v>
      </c>
      <c r="AH24">
        <f>'3f'!G32</f>
        <v>0</v>
      </c>
      <c r="AI24">
        <f>'3f'!H32</f>
        <v>0</v>
      </c>
    </row>
    <row r="25" spans="1:35"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t="s">
        <v>831</v>
      </c>
      <c r="AB25" t="s">
        <v>2159</v>
      </c>
      <c r="AC25" t="s">
        <v>1452</v>
      </c>
      <c r="AD25">
        <f>Q3b_Y1_Participation</f>
        <v>0</v>
      </c>
      <c r="AE25">
        <f>'3f'!D35</f>
        <v>0</v>
      </c>
      <c r="AF25">
        <f>'3f'!E35</f>
        <v>0</v>
      </c>
      <c r="AG25">
        <f>'3f'!F35</f>
        <v>0</v>
      </c>
      <c r="AH25">
        <f>'3f'!G35</f>
        <v>0</v>
      </c>
      <c r="AI25">
        <f>'3f'!H35</f>
        <v>0</v>
      </c>
    </row>
    <row r="26" spans="1:35"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t="s">
        <v>831</v>
      </c>
      <c r="AB26" t="s">
        <v>2160</v>
      </c>
      <c r="AC26" t="s">
        <v>1454</v>
      </c>
      <c r="AD26">
        <f>Q3b_Y2_Participation</f>
        <v>0</v>
      </c>
      <c r="AE26">
        <f>'3f'!D36</f>
        <v>0</v>
      </c>
      <c r="AF26">
        <f>'3f'!E36</f>
        <v>0</v>
      </c>
      <c r="AG26">
        <f>'3f'!F36</f>
        <v>0</v>
      </c>
      <c r="AH26">
        <f>'3f'!G36</f>
        <v>0</v>
      </c>
      <c r="AI26">
        <f>'3f'!H36</f>
        <v>0</v>
      </c>
    </row>
    <row r="27" spans="1:35"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t="s">
        <v>831</v>
      </c>
      <c r="AB27" t="s">
        <v>2161</v>
      </c>
      <c r="AC27" t="s">
        <v>1456</v>
      </c>
      <c r="AD27">
        <f>Q3b_Y3_Participation</f>
        <v>0</v>
      </c>
      <c r="AE27">
        <f>'3f'!D37</f>
        <v>0</v>
      </c>
      <c r="AF27">
        <f>'3f'!E37</f>
        <v>0</v>
      </c>
      <c r="AG27">
        <f>'3f'!F37</f>
        <v>0</v>
      </c>
      <c r="AH27">
        <f>'3f'!G37</f>
        <v>0</v>
      </c>
      <c r="AI27">
        <f>'3f'!H37</f>
        <v>0</v>
      </c>
    </row>
    <row r="28" spans="1:35"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t="s">
        <v>831</v>
      </c>
      <c r="AB28" t="s">
        <v>2162</v>
      </c>
      <c r="AC28" t="s">
        <v>1458</v>
      </c>
      <c r="AD28">
        <f>Q3b_Y4_Participation</f>
        <v>0</v>
      </c>
      <c r="AE28">
        <f>'3f'!D38</f>
        <v>0</v>
      </c>
      <c r="AF28">
        <f>'3f'!E38</f>
        <v>0</v>
      </c>
      <c r="AG28">
        <f>'3f'!F38</f>
        <v>0</v>
      </c>
      <c r="AH28">
        <f>'3f'!G38</f>
        <v>0</v>
      </c>
      <c r="AI28">
        <f>'3f'!H38</f>
        <v>0</v>
      </c>
    </row>
    <row r="29" spans="1:35"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t="s">
        <v>831</v>
      </c>
      <c r="AB29" t="s">
        <v>2163</v>
      </c>
      <c r="AC29" t="s">
        <v>1460</v>
      </c>
      <c r="AD29">
        <f>Q3b_Y5_Participation</f>
        <v>0</v>
      </c>
      <c r="AE29">
        <f>'3f'!D39</f>
        <v>0</v>
      </c>
      <c r="AF29">
        <f>'3f'!E39</f>
        <v>0</v>
      </c>
      <c r="AG29">
        <f>'3f'!F39</f>
        <v>0</v>
      </c>
      <c r="AH29">
        <f>'3f'!G39</f>
        <v>0</v>
      </c>
      <c r="AI29">
        <f>'3f'!H39</f>
        <v>0</v>
      </c>
    </row>
    <row r="30" spans="1:35"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t="s">
        <v>831</v>
      </c>
      <c r="AB30" t="s">
        <v>2164</v>
      </c>
      <c r="AC30" t="s">
        <v>1462</v>
      </c>
      <c r="AD30">
        <f>Q3b_Y6_Participation</f>
        <v>0</v>
      </c>
      <c r="AE30">
        <f>'3f'!D40</f>
        <v>0</v>
      </c>
      <c r="AF30">
        <f>'3f'!E40</f>
        <v>0</v>
      </c>
      <c r="AG30">
        <f>'3f'!F40</f>
        <v>0</v>
      </c>
      <c r="AH30">
        <f>'3f'!G40</f>
        <v>0</v>
      </c>
      <c r="AI30">
        <f>'3f'!H40</f>
        <v>0</v>
      </c>
    </row>
    <row r="31" spans="1:35"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t="s">
        <v>831</v>
      </c>
      <c r="AB31" t="s">
        <v>2165</v>
      </c>
      <c r="AC31" t="s">
        <v>1464</v>
      </c>
      <c r="AD31">
        <f>Q3b_Y7_Participation</f>
        <v>0</v>
      </c>
      <c r="AE31">
        <f>'3f'!D41</f>
        <v>0</v>
      </c>
      <c r="AF31">
        <f>'3f'!E41</f>
        <v>0</v>
      </c>
      <c r="AG31">
        <f>'3f'!F41</f>
        <v>0</v>
      </c>
      <c r="AH31">
        <f>'3f'!G41</f>
        <v>0</v>
      </c>
      <c r="AI31">
        <f>'3f'!H41</f>
        <v>0</v>
      </c>
    </row>
    <row r="32" spans="1:35"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t="s">
        <v>831</v>
      </c>
      <c r="AB32" t="s">
        <v>2166</v>
      </c>
      <c r="AC32" t="s">
        <v>1466</v>
      </c>
      <c r="AD32">
        <f>Q3b_Y8_Participation</f>
        <v>0</v>
      </c>
      <c r="AE32">
        <f>'3f'!D42</f>
        <v>0</v>
      </c>
      <c r="AF32">
        <f>'3f'!E42</f>
        <v>0</v>
      </c>
      <c r="AG32">
        <f>'3f'!F42</f>
        <v>0</v>
      </c>
      <c r="AH32">
        <f>'3f'!G42</f>
        <v>0</v>
      </c>
      <c r="AI32">
        <f>'3f'!H42</f>
        <v>0</v>
      </c>
    </row>
    <row r="33" spans="1:35"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t="s">
        <v>831</v>
      </c>
      <c r="AB33" t="s">
        <v>2167</v>
      </c>
      <c r="AC33" t="s">
        <v>1468</v>
      </c>
      <c r="AD33">
        <f>Q3b_Y9_Participation</f>
        <v>0</v>
      </c>
      <c r="AE33">
        <f>'3f'!D43</f>
        <v>0</v>
      </c>
      <c r="AF33">
        <f>'3f'!E43</f>
        <v>0</v>
      </c>
      <c r="AG33">
        <f>'3f'!F43</f>
        <v>0</v>
      </c>
      <c r="AH33">
        <f>'3f'!G43</f>
        <v>0</v>
      </c>
      <c r="AI33">
        <f>'3f'!H43</f>
        <v>0</v>
      </c>
    </row>
    <row r="34" spans="1:35" x14ac:dyDescent="0.25">
      <c r="A34">
        <f t="shared" ref="A34:A50" si="17">Q_RP_B_DSSCAGE_01</f>
        <v>0</v>
      </c>
      <c r="B34">
        <f t="shared" ref="B34:B50" si="18">Q1a_A_LocationName</f>
        <v>0</v>
      </c>
      <c r="C34">
        <f t="shared" ref="C34:C50" si="19">Q1a_A_LocOrgName</f>
        <v>0</v>
      </c>
      <c r="D34">
        <f t="shared" ref="D34:D50" si="20">Q1a_B_Parent1_Name</f>
        <v>0</v>
      </c>
      <c r="E34">
        <f t="shared" ref="E34:E50" si="21">Q_RP_A_MultiResponse</f>
        <v>0</v>
      </c>
      <c r="F34">
        <f>'D-RepLevel'!$F$2</f>
        <v>0</v>
      </c>
      <c r="G34">
        <f>'D-RepLevel'!$G$2</f>
        <v>0</v>
      </c>
      <c r="H34">
        <f t="shared" ref="H34:H50" si="22">Q1a_A_OnlyLoc_YN</f>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ref="L34:L50" si="23">Q4b_A_NumUSGPrograms</f>
        <v>0</v>
      </c>
      <c r="M34">
        <f t="shared" ref="M34:M50" si="24">Q6_A_Employees_Year3</f>
        <v>0</v>
      </c>
      <c r="N34">
        <f t="shared" ref="N34:N50" si="25">Q6_B_Employee_H1B_Total+Q6_B_Employee_H2B_Total+Q6_B_Employee_F1_Total+Q6_B_Employee_GreenCard_Total+Q6_B_Employee_Other_Total</f>
        <v>0</v>
      </c>
      <c r="O34">
        <f t="shared" ref="O34:O50" si="26">Year3</f>
        <v>2015</v>
      </c>
      <c r="P34">
        <f t="shared" ref="P34:P50" si="27">Q7_A_TotalSales_US_Year3+Q7_A_TotalSales_NonUS_Year3</f>
        <v>0</v>
      </c>
      <c r="Q34">
        <f t="shared" ref="Q34:Q50" si="28">Q7_B_DefSales_US_Year3_Pct*Q7_A_TotalSales_US_Year3+Q7_B_DefSales_NonUS_Year3_Pct*Q7_A_TotalSales_NonUS_Year3</f>
        <v>0</v>
      </c>
      <c r="R34">
        <f t="shared" ref="R34:R50" si="29">Q9a_B_Physical_Year3</f>
        <v>0</v>
      </c>
      <c r="S34">
        <f t="shared" ref="S34:S50" si="30">Q9a_B_Cyber_Year3</f>
        <v>0</v>
      </c>
      <c r="T34">
        <f>COUNTIF('9a'!$K$22:$K$32, "Yes")+COUNTIF('9a'!$O$22:$O$32, "Yes")</f>
        <v>0</v>
      </c>
      <c r="U34" t="str">
        <f t="shared" ref="U34:U50" si="31">IF(Q12_OpEx_Year3=0, "No Expenditures", Q9b_A_PhysicalSpending_Year3/(Q12_OpEx_Year3))</f>
        <v>No Expenditures</v>
      </c>
      <c r="V34" t="str">
        <f t="shared" ref="V34:V50" si="32">IF(Q12_OpEx_Year3=0, "No Expenditures", Q9b_A_CyberSpending_Year3/(Q12_OpEx_Year3))</f>
        <v>No Expenditures</v>
      </c>
      <c r="W34">
        <f t="shared" ref="W34:W50" si="33">Q9b_C_Pct_CSI_External</f>
        <v>0</v>
      </c>
      <c r="X34" t="str">
        <f>'D-Risk'!$AO$25</f>
        <v>Insufficient Data</v>
      </c>
      <c r="Y34" t="str">
        <f>'D-Risk'!$AO$26</f>
        <v>Insufficient Data</v>
      </c>
      <c r="Z34" t="str">
        <f>'D-Risk'!$AO$27</f>
        <v>Uncalculated</v>
      </c>
      <c r="AA34" t="s">
        <v>831</v>
      </c>
      <c r="AB34" t="s">
        <v>2168</v>
      </c>
      <c r="AC34" t="s">
        <v>1470</v>
      </c>
      <c r="AD34">
        <f>Q3b_Y10_Participation</f>
        <v>0</v>
      </c>
      <c r="AE34">
        <f>'3f'!D44</f>
        <v>0</v>
      </c>
      <c r="AF34">
        <f>'3f'!E44</f>
        <v>0</v>
      </c>
      <c r="AG34">
        <f>'3f'!F44</f>
        <v>0</v>
      </c>
      <c r="AH34">
        <f>'3f'!G44</f>
        <v>0</v>
      </c>
      <c r="AI34">
        <f>'3f'!H44</f>
        <v>0</v>
      </c>
    </row>
    <row r="35" spans="1:35" x14ac:dyDescent="0.25">
      <c r="A35">
        <f t="shared" si="17"/>
        <v>0</v>
      </c>
      <c r="B35">
        <f t="shared" si="18"/>
        <v>0</v>
      </c>
      <c r="C35">
        <f t="shared" si="19"/>
        <v>0</v>
      </c>
      <c r="D35">
        <f t="shared" si="20"/>
        <v>0</v>
      </c>
      <c r="E35">
        <f t="shared" si="21"/>
        <v>0</v>
      </c>
      <c r="F35">
        <f>'D-RepLevel'!$F$2</f>
        <v>0</v>
      </c>
      <c r="G35">
        <f>'D-RepLevel'!$G$2</f>
        <v>0</v>
      </c>
      <c r="H35">
        <f t="shared" si="22"/>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23"/>
        <v>0</v>
      </c>
      <c r="M35">
        <f t="shared" si="24"/>
        <v>0</v>
      </c>
      <c r="N35">
        <f t="shared" si="25"/>
        <v>0</v>
      </c>
      <c r="O35">
        <f t="shared" si="26"/>
        <v>2015</v>
      </c>
      <c r="P35">
        <f t="shared" si="27"/>
        <v>0</v>
      </c>
      <c r="Q35">
        <f t="shared" si="28"/>
        <v>0</v>
      </c>
      <c r="R35">
        <f t="shared" si="29"/>
        <v>0</v>
      </c>
      <c r="S35">
        <f t="shared" si="30"/>
        <v>0</v>
      </c>
      <c r="T35">
        <f>COUNTIF('9a'!$K$22:$K$32, "Yes")+COUNTIF('9a'!$O$22:$O$32, "Yes")</f>
        <v>0</v>
      </c>
      <c r="U35" t="str">
        <f t="shared" si="31"/>
        <v>No Expenditures</v>
      </c>
      <c r="V35" t="str">
        <f t="shared" si="32"/>
        <v>No Expenditures</v>
      </c>
      <c r="W35">
        <f t="shared" si="33"/>
        <v>0</v>
      </c>
      <c r="X35" t="str">
        <f>'D-Risk'!$AO$25</f>
        <v>Insufficient Data</v>
      </c>
      <c r="Y35" t="str">
        <f>'D-Risk'!$AO$26</f>
        <v>Insufficient Data</v>
      </c>
      <c r="Z35" t="str">
        <f>'D-Risk'!$AO$27</f>
        <v>Uncalculated</v>
      </c>
      <c r="AA35" t="s">
        <v>831</v>
      </c>
      <c r="AB35" t="s">
        <v>2169</v>
      </c>
      <c r="AC35" t="s">
        <v>1472</v>
      </c>
      <c r="AD35">
        <f>Q3b_Y11_Participation</f>
        <v>0</v>
      </c>
      <c r="AE35">
        <f>'3f'!D45</f>
        <v>0</v>
      </c>
      <c r="AF35">
        <f>'3f'!E45</f>
        <v>0</v>
      </c>
      <c r="AG35">
        <f>'3f'!F45</f>
        <v>0</v>
      </c>
      <c r="AH35">
        <f>'3f'!G45</f>
        <v>0</v>
      </c>
      <c r="AI35">
        <f>'3f'!H45</f>
        <v>0</v>
      </c>
    </row>
    <row r="36" spans="1:35" x14ac:dyDescent="0.25">
      <c r="A36">
        <f t="shared" si="17"/>
        <v>0</v>
      </c>
      <c r="B36">
        <f t="shared" si="18"/>
        <v>0</v>
      </c>
      <c r="C36">
        <f t="shared" si="19"/>
        <v>0</v>
      </c>
      <c r="D36">
        <f t="shared" si="20"/>
        <v>0</v>
      </c>
      <c r="E36">
        <f t="shared" si="21"/>
        <v>0</v>
      </c>
      <c r="F36">
        <f>'D-RepLevel'!$F$2</f>
        <v>0</v>
      </c>
      <c r="G36">
        <f>'D-RepLevel'!$G$2</f>
        <v>0</v>
      </c>
      <c r="H36">
        <f t="shared" si="22"/>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23"/>
        <v>0</v>
      </c>
      <c r="M36">
        <f t="shared" si="24"/>
        <v>0</v>
      </c>
      <c r="N36">
        <f t="shared" si="25"/>
        <v>0</v>
      </c>
      <c r="O36">
        <f t="shared" si="26"/>
        <v>2015</v>
      </c>
      <c r="P36">
        <f t="shared" si="27"/>
        <v>0</v>
      </c>
      <c r="Q36">
        <f t="shared" si="28"/>
        <v>0</v>
      </c>
      <c r="R36">
        <f t="shared" si="29"/>
        <v>0</v>
      </c>
      <c r="S36">
        <f t="shared" si="30"/>
        <v>0</v>
      </c>
      <c r="T36">
        <f>COUNTIF('9a'!$K$22:$K$32, "Yes")+COUNTIF('9a'!$O$22:$O$32, "Yes")</f>
        <v>0</v>
      </c>
      <c r="U36" t="str">
        <f t="shared" si="31"/>
        <v>No Expenditures</v>
      </c>
      <c r="V36" t="str">
        <f t="shared" si="32"/>
        <v>No Expenditures</v>
      </c>
      <c r="W36">
        <f t="shared" si="33"/>
        <v>0</v>
      </c>
      <c r="X36" t="str">
        <f>'D-Risk'!$AO$25</f>
        <v>Insufficient Data</v>
      </c>
      <c r="Y36" t="str">
        <f>'D-Risk'!$AO$26</f>
        <v>Insufficient Data</v>
      </c>
      <c r="Z36" t="str">
        <f>'D-Risk'!$AO$27</f>
        <v>Uncalculated</v>
      </c>
      <c r="AA36" t="s">
        <v>831</v>
      </c>
      <c r="AB36" t="s">
        <v>2170</v>
      </c>
      <c r="AC36" t="s">
        <v>1474</v>
      </c>
      <c r="AD36">
        <f>Q3b_Y12_Participation</f>
        <v>0</v>
      </c>
      <c r="AE36">
        <f>'3f'!D46</f>
        <v>0</v>
      </c>
      <c r="AF36">
        <f>'3f'!E46</f>
        <v>0</v>
      </c>
      <c r="AG36">
        <f>'3f'!F46</f>
        <v>0</v>
      </c>
      <c r="AH36">
        <f>'3f'!G46</f>
        <v>0</v>
      </c>
      <c r="AI36">
        <f>'3f'!H46</f>
        <v>0</v>
      </c>
    </row>
    <row r="37" spans="1:35" x14ac:dyDescent="0.25">
      <c r="A37">
        <f t="shared" si="17"/>
        <v>0</v>
      </c>
      <c r="B37">
        <f t="shared" si="18"/>
        <v>0</v>
      </c>
      <c r="C37">
        <f t="shared" si="19"/>
        <v>0</v>
      </c>
      <c r="D37">
        <f t="shared" si="20"/>
        <v>0</v>
      </c>
      <c r="E37">
        <f t="shared" si="21"/>
        <v>0</v>
      </c>
      <c r="F37">
        <f>'D-RepLevel'!$F$2</f>
        <v>0</v>
      </c>
      <c r="G37">
        <f>'D-RepLevel'!$G$2</f>
        <v>0</v>
      </c>
      <c r="H37">
        <f t="shared" si="22"/>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23"/>
        <v>0</v>
      </c>
      <c r="M37">
        <f t="shared" si="24"/>
        <v>0</v>
      </c>
      <c r="N37">
        <f t="shared" si="25"/>
        <v>0</v>
      </c>
      <c r="O37">
        <f t="shared" si="26"/>
        <v>2015</v>
      </c>
      <c r="P37">
        <f t="shared" si="27"/>
        <v>0</v>
      </c>
      <c r="Q37">
        <f t="shared" si="28"/>
        <v>0</v>
      </c>
      <c r="R37">
        <f t="shared" si="29"/>
        <v>0</v>
      </c>
      <c r="S37">
        <f t="shared" si="30"/>
        <v>0</v>
      </c>
      <c r="T37">
        <f>COUNTIF('9a'!$K$22:$K$32, "Yes")+COUNTIF('9a'!$O$22:$O$32, "Yes")</f>
        <v>0</v>
      </c>
      <c r="U37" t="str">
        <f t="shared" si="31"/>
        <v>No Expenditures</v>
      </c>
      <c r="V37" t="str">
        <f t="shared" si="32"/>
        <v>No Expenditures</v>
      </c>
      <c r="W37">
        <f t="shared" si="33"/>
        <v>0</v>
      </c>
      <c r="X37" t="str">
        <f>'D-Risk'!$AO$25</f>
        <v>Insufficient Data</v>
      </c>
      <c r="Y37" t="str">
        <f>'D-Risk'!$AO$26</f>
        <v>Insufficient Data</v>
      </c>
      <c r="Z37" t="str">
        <f>'D-Risk'!$AO$27</f>
        <v>Uncalculated</v>
      </c>
      <c r="AA37" t="s">
        <v>831</v>
      </c>
      <c r="AB37" t="s">
        <v>2171</v>
      </c>
      <c r="AC37" t="s">
        <v>1476</v>
      </c>
      <c r="AD37">
        <f>Q3b_Y13_Participation</f>
        <v>0</v>
      </c>
      <c r="AE37">
        <f>'3f'!D47</f>
        <v>0</v>
      </c>
      <c r="AF37">
        <f>'3f'!E47</f>
        <v>0</v>
      </c>
      <c r="AG37">
        <f>'3f'!F47</f>
        <v>0</v>
      </c>
      <c r="AH37">
        <f>'3f'!G47</f>
        <v>0</v>
      </c>
      <c r="AI37">
        <f>'3f'!H47</f>
        <v>0</v>
      </c>
    </row>
    <row r="38" spans="1:35" x14ac:dyDescent="0.25">
      <c r="A38">
        <f t="shared" si="17"/>
        <v>0</v>
      </c>
      <c r="B38">
        <f t="shared" si="18"/>
        <v>0</v>
      </c>
      <c r="C38">
        <f t="shared" si="19"/>
        <v>0</v>
      </c>
      <c r="D38">
        <f t="shared" si="20"/>
        <v>0</v>
      </c>
      <c r="E38">
        <f t="shared" si="21"/>
        <v>0</v>
      </c>
      <c r="F38">
        <f>'D-RepLevel'!$F$2</f>
        <v>0</v>
      </c>
      <c r="G38">
        <f>'D-RepLevel'!$G$2</f>
        <v>0</v>
      </c>
      <c r="H38">
        <f t="shared" si="22"/>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23"/>
        <v>0</v>
      </c>
      <c r="M38">
        <f t="shared" si="24"/>
        <v>0</v>
      </c>
      <c r="N38">
        <f t="shared" si="25"/>
        <v>0</v>
      </c>
      <c r="O38">
        <f t="shared" si="26"/>
        <v>2015</v>
      </c>
      <c r="P38">
        <f t="shared" si="27"/>
        <v>0</v>
      </c>
      <c r="Q38">
        <f t="shared" si="28"/>
        <v>0</v>
      </c>
      <c r="R38">
        <f t="shared" si="29"/>
        <v>0</v>
      </c>
      <c r="S38">
        <f t="shared" si="30"/>
        <v>0</v>
      </c>
      <c r="T38">
        <f>COUNTIF('9a'!$K$22:$K$32, "Yes")+COUNTIF('9a'!$O$22:$O$32, "Yes")</f>
        <v>0</v>
      </c>
      <c r="U38" t="str">
        <f t="shared" si="31"/>
        <v>No Expenditures</v>
      </c>
      <c r="V38" t="str">
        <f t="shared" si="32"/>
        <v>No Expenditures</v>
      </c>
      <c r="W38">
        <f t="shared" si="33"/>
        <v>0</v>
      </c>
      <c r="X38" t="str">
        <f>'D-Risk'!$AO$25</f>
        <v>Insufficient Data</v>
      </c>
      <c r="Y38" t="str">
        <f>'D-Risk'!$AO$26</f>
        <v>Insufficient Data</v>
      </c>
      <c r="Z38" t="str">
        <f>'D-Risk'!$AO$27</f>
        <v>Uncalculated</v>
      </c>
      <c r="AA38" t="s">
        <v>831</v>
      </c>
      <c r="AB38" t="s">
        <v>2172</v>
      </c>
      <c r="AC38" t="s">
        <v>1478</v>
      </c>
      <c r="AD38">
        <f>Q3b_Y14_Participation</f>
        <v>0</v>
      </c>
      <c r="AE38">
        <f>'3f'!D48</f>
        <v>0</v>
      </c>
      <c r="AF38">
        <f>'3f'!E48</f>
        <v>0</v>
      </c>
      <c r="AG38">
        <f>'3f'!F48</f>
        <v>0</v>
      </c>
      <c r="AH38">
        <f>'3f'!G48</f>
        <v>0</v>
      </c>
      <c r="AI38">
        <f>'3f'!H48</f>
        <v>0</v>
      </c>
    </row>
    <row r="39" spans="1:35" x14ac:dyDescent="0.25">
      <c r="A39">
        <f t="shared" si="17"/>
        <v>0</v>
      </c>
      <c r="B39">
        <f t="shared" si="18"/>
        <v>0</v>
      </c>
      <c r="C39">
        <f t="shared" si="19"/>
        <v>0</v>
      </c>
      <c r="D39">
        <f t="shared" si="20"/>
        <v>0</v>
      </c>
      <c r="E39">
        <f t="shared" si="21"/>
        <v>0</v>
      </c>
      <c r="F39">
        <f>'D-RepLevel'!$F$2</f>
        <v>0</v>
      </c>
      <c r="G39">
        <f>'D-RepLevel'!$G$2</f>
        <v>0</v>
      </c>
      <c r="H39">
        <f t="shared" si="22"/>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23"/>
        <v>0</v>
      </c>
      <c r="M39">
        <f t="shared" si="24"/>
        <v>0</v>
      </c>
      <c r="N39">
        <f t="shared" si="25"/>
        <v>0</v>
      </c>
      <c r="O39">
        <f t="shared" si="26"/>
        <v>2015</v>
      </c>
      <c r="P39">
        <f t="shared" si="27"/>
        <v>0</v>
      </c>
      <c r="Q39">
        <f t="shared" si="28"/>
        <v>0</v>
      </c>
      <c r="R39">
        <f t="shared" si="29"/>
        <v>0</v>
      </c>
      <c r="S39">
        <f t="shared" si="30"/>
        <v>0</v>
      </c>
      <c r="T39">
        <f>COUNTIF('9a'!$K$22:$K$32, "Yes")+COUNTIF('9a'!$O$22:$O$32, "Yes")</f>
        <v>0</v>
      </c>
      <c r="U39" t="str">
        <f t="shared" si="31"/>
        <v>No Expenditures</v>
      </c>
      <c r="V39" t="str">
        <f t="shared" si="32"/>
        <v>No Expenditures</v>
      </c>
      <c r="W39">
        <f t="shared" si="33"/>
        <v>0</v>
      </c>
      <c r="X39" t="str">
        <f>'D-Risk'!$AO$25</f>
        <v>Insufficient Data</v>
      </c>
      <c r="Y39" t="str">
        <f>'D-Risk'!$AO$26</f>
        <v>Insufficient Data</v>
      </c>
      <c r="Z39" t="str">
        <f>'D-Risk'!$AO$27</f>
        <v>Uncalculated</v>
      </c>
      <c r="AA39" t="s">
        <v>831</v>
      </c>
      <c r="AB39" t="s">
        <v>2173</v>
      </c>
      <c r="AC39" t="s">
        <v>1480</v>
      </c>
      <c r="AD39">
        <f>Q3b_Y15_Participation</f>
        <v>0</v>
      </c>
      <c r="AE39">
        <f>'3f'!D49</f>
        <v>0</v>
      </c>
      <c r="AF39">
        <f>'3f'!E49</f>
        <v>0</v>
      </c>
      <c r="AG39">
        <f>'3f'!F49</f>
        <v>0</v>
      </c>
      <c r="AH39">
        <f>'3f'!G49</f>
        <v>0</v>
      </c>
      <c r="AI39">
        <f>'3f'!H49</f>
        <v>0</v>
      </c>
    </row>
    <row r="40" spans="1:35" x14ac:dyDescent="0.25">
      <c r="A40">
        <f t="shared" si="17"/>
        <v>0</v>
      </c>
      <c r="B40">
        <f t="shared" si="18"/>
        <v>0</v>
      </c>
      <c r="C40">
        <f t="shared" si="19"/>
        <v>0</v>
      </c>
      <c r="D40">
        <f t="shared" si="20"/>
        <v>0</v>
      </c>
      <c r="E40">
        <f t="shared" si="21"/>
        <v>0</v>
      </c>
      <c r="F40">
        <f>'D-RepLevel'!$F$2</f>
        <v>0</v>
      </c>
      <c r="G40">
        <f>'D-RepLevel'!$G$2</f>
        <v>0</v>
      </c>
      <c r="H40">
        <f t="shared" si="22"/>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23"/>
        <v>0</v>
      </c>
      <c r="M40">
        <f t="shared" si="24"/>
        <v>0</v>
      </c>
      <c r="N40">
        <f t="shared" si="25"/>
        <v>0</v>
      </c>
      <c r="O40">
        <f t="shared" si="26"/>
        <v>2015</v>
      </c>
      <c r="P40">
        <f t="shared" si="27"/>
        <v>0</v>
      </c>
      <c r="Q40">
        <f t="shared" si="28"/>
        <v>0</v>
      </c>
      <c r="R40">
        <f t="shared" si="29"/>
        <v>0</v>
      </c>
      <c r="S40">
        <f t="shared" si="30"/>
        <v>0</v>
      </c>
      <c r="T40">
        <f>COUNTIF('9a'!$K$22:$K$32, "Yes")+COUNTIF('9a'!$O$22:$O$32, "Yes")</f>
        <v>0</v>
      </c>
      <c r="U40" t="str">
        <f t="shared" si="31"/>
        <v>No Expenditures</v>
      </c>
      <c r="V40" t="str">
        <f t="shared" si="32"/>
        <v>No Expenditures</v>
      </c>
      <c r="W40">
        <f t="shared" si="33"/>
        <v>0</v>
      </c>
      <c r="X40" t="str">
        <f>'D-Risk'!$AO$25</f>
        <v>Insufficient Data</v>
      </c>
      <c r="Y40" t="str">
        <f>'D-Risk'!$AO$26</f>
        <v>Insufficient Data</v>
      </c>
      <c r="Z40" t="str">
        <f>'D-Risk'!$AO$27</f>
        <v>Uncalculated</v>
      </c>
      <c r="AA40" t="s">
        <v>831</v>
      </c>
      <c r="AB40" t="s">
        <v>2174</v>
      </c>
      <c r="AC40" t="s">
        <v>1482</v>
      </c>
      <c r="AD40">
        <f>Q3b_Y16_Participation</f>
        <v>0</v>
      </c>
      <c r="AE40">
        <f>'3f'!D50</f>
        <v>0</v>
      </c>
      <c r="AF40">
        <f>'3f'!E50</f>
        <v>0</v>
      </c>
      <c r="AG40">
        <f>'3f'!F50</f>
        <v>0</v>
      </c>
      <c r="AH40">
        <f>'3f'!G50</f>
        <v>0</v>
      </c>
      <c r="AI40">
        <f>'3f'!H50</f>
        <v>0</v>
      </c>
    </row>
    <row r="41" spans="1:35" x14ac:dyDescent="0.25">
      <c r="A41">
        <f t="shared" si="17"/>
        <v>0</v>
      </c>
      <c r="B41">
        <f t="shared" si="18"/>
        <v>0</v>
      </c>
      <c r="C41">
        <f t="shared" si="19"/>
        <v>0</v>
      </c>
      <c r="D41">
        <f t="shared" si="20"/>
        <v>0</v>
      </c>
      <c r="E41">
        <f t="shared" si="21"/>
        <v>0</v>
      </c>
      <c r="F41">
        <f>'D-RepLevel'!$F$2</f>
        <v>0</v>
      </c>
      <c r="G41">
        <f>'D-RepLevel'!$G$2</f>
        <v>0</v>
      </c>
      <c r="H41">
        <f t="shared" si="22"/>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23"/>
        <v>0</v>
      </c>
      <c r="M41">
        <f t="shared" si="24"/>
        <v>0</v>
      </c>
      <c r="N41">
        <f t="shared" si="25"/>
        <v>0</v>
      </c>
      <c r="O41">
        <f t="shared" si="26"/>
        <v>2015</v>
      </c>
      <c r="P41">
        <f t="shared" si="27"/>
        <v>0</v>
      </c>
      <c r="Q41">
        <f t="shared" si="28"/>
        <v>0</v>
      </c>
      <c r="R41">
        <f t="shared" si="29"/>
        <v>0</v>
      </c>
      <c r="S41">
        <f t="shared" si="30"/>
        <v>0</v>
      </c>
      <c r="T41">
        <f>COUNTIF('9a'!$K$22:$K$32, "Yes")+COUNTIF('9a'!$O$22:$O$32, "Yes")</f>
        <v>0</v>
      </c>
      <c r="U41" t="str">
        <f t="shared" si="31"/>
        <v>No Expenditures</v>
      </c>
      <c r="V41" t="str">
        <f t="shared" si="32"/>
        <v>No Expenditures</v>
      </c>
      <c r="W41">
        <f t="shared" si="33"/>
        <v>0</v>
      </c>
      <c r="X41" t="str">
        <f>'D-Risk'!$AO$25</f>
        <v>Insufficient Data</v>
      </c>
      <c r="Y41" t="str">
        <f>'D-Risk'!$AO$26</f>
        <v>Insufficient Data</v>
      </c>
      <c r="Z41" t="str">
        <f>'D-Risk'!$AO$27</f>
        <v>Uncalculated</v>
      </c>
      <c r="AA41" t="s">
        <v>831</v>
      </c>
      <c r="AB41" t="s">
        <v>2175</v>
      </c>
      <c r="AC41" t="s">
        <v>1484</v>
      </c>
      <c r="AD41">
        <f>Q3b_Y17_Participation</f>
        <v>0</v>
      </c>
      <c r="AE41">
        <f>'3f'!D51</f>
        <v>0</v>
      </c>
      <c r="AF41">
        <f>'3f'!E51</f>
        <v>0</v>
      </c>
      <c r="AG41">
        <f>'3f'!F51</f>
        <v>0</v>
      </c>
      <c r="AH41">
        <f>'3f'!G51</f>
        <v>0</v>
      </c>
      <c r="AI41">
        <f>'3f'!H51</f>
        <v>0</v>
      </c>
    </row>
    <row r="42" spans="1:35" x14ac:dyDescent="0.25">
      <c r="A42">
        <f t="shared" si="17"/>
        <v>0</v>
      </c>
      <c r="B42">
        <f t="shared" si="18"/>
        <v>0</v>
      </c>
      <c r="C42">
        <f t="shared" si="19"/>
        <v>0</v>
      </c>
      <c r="D42">
        <f t="shared" si="20"/>
        <v>0</v>
      </c>
      <c r="E42">
        <f t="shared" si="21"/>
        <v>0</v>
      </c>
      <c r="F42">
        <f>'D-RepLevel'!$F$2</f>
        <v>0</v>
      </c>
      <c r="G42">
        <f>'D-RepLevel'!$G$2</f>
        <v>0</v>
      </c>
      <c r="H42">
        <f t="shared" si="22"/>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23"/>
        <v>0</v>
      </c>
      <c r="M42">
        <f t="shared" si="24"/>
        <v>0</v>
      </c>
      <c r="N42">
        <f t="shared" si="25"/>
        <v>0</v>
      </c>
      <c r="O42">
        <f t="shared" si="26"/>
        <v>2015</v>
      </c>
      <c r="P42">
        <f t="shared" si="27"/>
        <v>0</v>
      </c>
      <c r="Q42">
        <f t="shared" si="28"/>
        <v>0</v>
      </c>
      <c r="R42">
        <f t="shared" si="29"/>
        <v>0</v>
      </c>
      <c r="S42">
        <f t="shared" si="30"/>
        <v>0</v>
      </c>
      <c r="T42">
        <f>COUNTIF('9a'!$K$22:$K$32, "Yes")+COUNTIF('9a'!$O$22:$O$32, "Yes")</f>
        <v>0</v>
      </c>
      <c r="U42" t="str">
        <f t="shared" si="31"/>
        <v>No Expenditures</v>
      </c>
      <c r="V42" t="str">
        <f t="shared" si="32"/>
        <v>No Expenditures</v>
      </c>
      <c r="W42">
        <f t="shared" si="33"/>
        <v>0</v>
      </c>
      <c r="X42" t="str">
        <f>'D-Risk'!$AO$25</f>
        <v>Insufficient Data</v>
      </c>
      <c r="Y42" t="str">
        <f>'D-Risk'!$AO$26</f>
        <v>Insufficient Data</v>
      </c>
      <c r="Z42" t="str">
        <f>'D-Risk'!$AO$27</f>
        <v>Uncalculated</v>
      </c>
      <c r="AA42" t="s">
        <v>831</v>
      </c>
      <c r="AB42" t="s">
        <v>2176</v>
      </c>
      <c r="AC42" t="s">
        <v>1486</v>
      </c>
      <c r="AD42">
        <f>Q3b_Y18_Participation</f>
        <v>0</v>
      </c>
      <c r="AE42">
        <f>'3f'!D52</f>
        <v>0</v>
      </c>
      <c r="AF42">
        <f>'3f'!E52</f>
        <v>0</v>
      </c>
      <c r="AG42">
        <f>'3f'!F52</f>
        <v>0</v>
      </c>
      <c r="AH42">
        <f>'3f'!G52</f>
        <v>0</v>
      </c>
      <c r="AI42">
        <f>'3f'!H52</f>
        <v>0</v>
      </c>
    </row>
    <row r="43" spans="1:35" x14ac:dyDescent="0.25">
      <c r="A43">
        <f t="shared" si="17"/>
        <v>0</v>
      </c>
      <c r="B43">
        <f t="shared" si="18"/>
        <v>0</v>
      </c>
      <c r="C43">
        <f t="shared" si="19"/>
        <v>0</v>
      </c>
      <c r="D43">
        <f t="shared" si="20"/>
        <v>0</v>
      </c>
      <c r="E43">
        <f t="shared" si="21"/>
        <v>0</v>
      </c>
      <c r="F43">
        <f>'D-RepLevel'!$F$2</f>
        <v>0</v>
      </c>
      <c r="G43">
        <f>'D-RepLevel'!$G$2</f>
        <v>0</v>
      </c>
      <c r="H43">
        <f t="shared" si="22"/>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23"/>
        <v>0</v>
      </c>
      <c r="M43">
        <f t="shared" si="24"/>
        <v>0</v>
      </c>
      <c r="N43">
        <f t="shared" si="25"/>
        <v>0</v>
      </c>
      <c r="O43">
        <f t="shared" si="26"/>
        <v>2015</v>
      </c>
      <c r="P43">
        <f t="shared" si="27"/>
        <v>0</v>
      </c>
      <c r="Q43">
        <f t="shared" si="28"/>
        <v>0</v>
      </c>
      <c r="R43">
        <f t="shared" si="29"/>
        <v>0</v>
      </c>
      <c r="S43">
        <f t="shared" si="30"/>
        <v>0</v>
      </c>
      <c r="T43">
        <f>COUNTIF('9a'!$K$22:$K$32, "Yes")+COUNTIF('9a'!$O$22:$O$32, "Yes")</f>
        <v>0</v>
      </c>
      <c r="U43" t="str">
        <f t="shared" si="31"/>
        <v>No Expenditures</v>
      </c>
      <c r="V43" t="str">
        <f t="shared" si="32"/>
        <v>No Expenditures</v>
      </c>
      <c r="W43">
        <f t="shared" si="33"/>
        <v>0</v>
      </c>
      <c r="X43" t="str">
        <f>'D-Risk'!$AO$25</f>
        <v>Insufficient Data</v>
      </c>
      <c r="Y43" t="str">
        <f>'D-Risk'!$AO$26</f>
        <v>Insufficient Data</v>
      </c>
      <c r="Z43" t="str">
        <f>'D-Risk'!$AO$27</f>
        <v>Uncalculated</v>
      </c>
      <c r="AA43" t="s">
        <v>831</v>
      </c>
      <c r="AB43" t="s">
        <v>2177</v>
      </c>
      <c r="AC43" t="s">
        <v>1488</v>
      </c>
      <c r="AD43">
        <f>Q3b_Y19_Participation</f>
        <v>0</v>
      </c>
      <c r="AE43">
        <f>'3f'!D53</f>
        <v>0</v>
      </c>
      <c r="AF43">
        <f>'3f'!E53</f>
        <v>0</v>
      </c>
      <c r="AG43">
        <f>'3f'!F53</f>
        <v>0</v>
      </c>
      <c r="AH43">
        <f>'3f'!G53</f>
        <v>0</v>
      </c>
      <c r="AI43">
        <f>'3f'!H53</f>
        <v>0</v>
      </c>
    </row>
    <row r="44" spans="1:35" x14ac:dyDescent="0.25">
      <c r="A44">
        <f t="shared" si="17"/>
        <v>0</v>
      </c>
      <c r="B44">
        <f t="shared" si="18"/>
        <v>0</v>
      </c>
      <c r="C44">
        <f t="shared" si="19"/>
        <v>0</v>
      </c>
      <c r="D44">
        <f t="shared" si="20"/>
        <v>0</v>
      </c>
      <c r="E44">
        <f t="shared" si="21"/>
        <v>0</v>
      </c>
      <c r="F44">
        <f>'D-RepLevel'!$F$2</f>
        <v>0</v>
      </c>
      <c r="G44">
        <f>'D-RepLevel'!$G$2</f>
        <v>0</v>
      </c>
      <c r="H44">
        <f t="shared" si="22"/>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23"/>
        <v>0</v>
      </c>
      <c r="M44">
        <f t="shared" si="24"/>
        <v>0</v>
      </c>
      <c r="N44">
        <f t="shared" si="25"/>
        <v>0</v>
      </c>
      <c r="O44">
        <f t="shared" si="26"/>
        <v>2015</v>
      </c>
      <c r="P44">
        <f t="shared" si="27"/>
        <v>0</v>
      </c>
      <c r="Q44">
        <f t="shared" si="28"/>
        <v>0</v>
      </c>
      <c r="R44">
        <f t="shared" si="29"/>
        <v>0</v>
      </c>
      <c r="S44">
        <f t="shared" si="30"/>
        <v>0</v>
      </c>
      <c r="T44">
        <f>COUNTIF('9a'!$K$22:$K$32, "Yes")+COUNTIF('9a'!$O$22:$O$32, "Yes")</f>
        <v>0</v>
      </c>
      <c r="U44" t="str">
        <f t="shared" si="31"/>
        <v>No Expenditures</v>
      </c>
      <c r="V44" t="str">
        <f t="shared" si="32"/>
        <v>No Expenditures</v>
      </c>
      <c r="W44">
        <f t="shared" si="33"/>
        <v>0</v>
      </c>
      <c r="X44" t="str">
        <f>'D-Risk'!$AO$25</f>
        <v>Insufficient Data</v>
      </c>
      <c r="Y44" t="str">
        <f>'D-Risk'!$AO$26</f>
        <v>Insufficient Data</v>
      </c>
      <c r="Z44" t="str">
        <f>'D-Risk'!$AO$27</f>
        <v>Uncalculated</v>
      </c>
      <c r="AA44" t="s">
        <v>831</v>
      </c>
      <c r="AB44" t="s">
        <v>2178</v>
      </c>
      <c r="AC44" t="s">
        <v>1490</v>
      </c>
      <c r="AD44">
        <f>Q3b_Y20_Participation</f>
        <v>0</v>
      </c>
      <c r="AE44">
        <f>'3f'!D54</f>
        <v>0</v>
      </c>
      <c r="AF44">
        <f>'3f'!E54</f>
        <v>0</v>
      </c>
      <c r="AG44">
        <f>'3f'!F54</f>
        <v>0</v>
      </c>
      <c r="AH44">
        <f>'3f'!G54</f>
        <v>0</v>
      </c>
      <c r="AI44">
        <f>'3f'!H54</f>
        <v>0</v>
      </c>
    </row>
    <row r="45" spans="1:35" x14ac:dyDescent="0.25">
      <c r="A45">
        <f t="shared" si="17"/>
        <v>0</v>
      </c>
      <c r="B45">
        <f t="shared" si="18"/>
        <v>0</v>
      </c>
      <c r="C45">
        <f t="shared" si="19"/>
        <v>0</v>
      </c>
      <c r="D45">
        <f t="shared" si="20"/>
        <v>0</v>
      </c>
      <c r="E45">
        <f t="shared" si="21"/>
        <v>0</v>
      </c>
      <c r="F45">
        <f>'D-RepLevel'!$F$2</f>
        <v>0</v>
      </c>
      <c r="G45">
        <f>'D-RepLevel'!$G$2</f>
        <v>0</v>
      </c>
      <c r="H45">
        <f t="shared" si="22"/>
        <v>0</v>
      </c>
      <c r="I45" t="str">
        <f>IF(ISERROR(INDEX('1b'!$C$5:$C$21, MATCH("Primary Business Line", '1b'!$H$5:$H$21, FALSE), 1)), "None Selected", INDEX('1b'!$C$5:$C$21, MATCH("Primary Business Line", '1b'!$H$5:$H$21, FALSE), 1))</f>
        <v>None Selected</v>
      </c>
      <c r="J45">
        <f>'D-3'!$J$2</f>
        <v>0</v>
      </c>
      <c r="K45">
        <f>COUNTIF('4a'!$E$6:$E$29, "Direct")+COUNTIF('4a'!$E$6:$E$29, "Indirect")+COUNTIF('4a'!$E$6:$E$29, "Both")</f>
        <v>0</v>
      </c>
      <c r="L45">
        <f t="shared" si="23"/>
        <v>0</v>
      </c>
      <c r="M45">
        <f t="shared" si="24"/>
        <v>0</v>
      </c>
      <c r="N45">
        <f t="shared" si="25"/>
        <v>0</v>
      </c>
      <c r="O45">
        <f t="shared" si="26"/>
        <v>2015</v>
      </c>
      <c r="P45">
        <f t="shared" si="27"/>
        <v>0</v>
      </c>
      <c r="Q45">
        <f t="shared" si="28"/>
        <v>0</v>
      </c>
      <c r="R45">
        <f t="shared" si="29"/>
        <v>0</v>
      </c>
      <c r="S45">
        <f t="shared" si="30"/>
        <v>0</v>
      </c>
      <c r="T45">
        <f>COUNTIF('9a'!$K$22:$K$32, "Yes")+COUNTIF('9a'!$O$22:$O$32, "Yes")</f>
        <v>0</v>
      </c>
      <c r="U45" t="str">
        <f t="shared" si="31"/>
        <v>No Expenditures</v>
      </c>
      <c r="V45" t="str">
        <f t="shared" si="32"/>
        <v>No Expenditures</v>
      </c>
      <c r="W45">
        <f t="shared" si="33"/>
        <v>0</v>
      </c>
      <c r="X45" t="str">
        <f>'D-Risk'!$AO$25</f>
        <v>Insufficient Data</v>
      </c>
      <c r="Y45" t="str">
        <f>'D-Risk'!$AO$26</f>
        <v>Insufficient Data</v>
      </c>
      <c r="Z45" t="str">
        <f>'D-Risk'!$AO$27</f>
        <v>Uncalculated</v>
      </c>
      <c r="AA45" t="s">
        <v>831</v>
      </c>
      <c r="AB45" t="s">
        <v>2179</v>
      </c>
      <c r="AC45" t="s">
        <v>1492</v>
      </c>
      <c r="AD45">
        <f>Q3b_Y21_Participation</f>
        <v>0</v>
      </c>
      <c r="AE45">
        <f>'3f'!D55</f>
        <v>0</v>
      </c>
      <c r="AF45">
        <f>'3f'!E55</f>
        <v>0</v>
      </c>
      <c r="AG45">
        <f>'3f'!F55</f>
        <v>0</v>
      </c>
      <c r="AH45">
        <f>'3f'!G55</f>
        <v>0</v>
      </c>
      <c r="AI45">
        <f>'3f'!H55</f>
        <v>0</v>
      </c>
    </row>
    <row r="46" spans="1:35" x14ac:dyDescent="0.25">
      <c r="A46">
        <f t="shared" si="17"/>
        <v>0</v>
      </c>
      <c r="B46">
        <f t="shared" si="18"/>
        <v>0</v>
      </c>
      <c r="C46">
        <f t="shared" si="19"/>
        <v>0</v>
      </c>
      <c r="D46">
        <f t="shared" si="20"/>
        <v>0</v>
      </c>
      <c r="E46">
        <f t="shared" si="21"/>
        <v>0</v>
      </c>
      <c r="F46">
        <f>'D-RepLevel'!$F$2</f>
        <v>0</v>
      </c>
      <c r="G46">
        <f>'D-RepLevel'!$G$2</f>
        <v>0</v>
      </c>
      <c r="H46">
        <f t="shared" si="22"/>
        <v>0</v>
      </c>
      <c r="I46" t="str">
        <f>IF(ISERROR(INDEX('1b'!$C$5:$C$21, MATCH("Primary Business Line", '1b'!$H$5:$H$21, FALSE), 1)), "None Selected", INDEX('1b'!$C$5:$C$21, MATCH("Primary Business Line", '1b'!$H$5:$H$21, FALSE), 1))</f>
        <v>None Selected</v>
      </c>
      <c r="J46">
        <f>'D-3'!$J$2</f>
        <v>0</v>
      </c>
      <c r="K46">
        <f>COUNTIF('4a'!$E$6:$E$29, "Direct")+COUNTIF('4a'!$E$6:$E$29, "Indirect")+COUNTIF('4a'!$E$6:$E$29, "Both")</f>
        <v>0</v>
      </c>
      <c r="L46">
        <f t="shared" si="23"/>
        <v>0</v>
      </c>
      <c r="M46">
        <f t="shared" si="24"/>
        <v>0</v>
      </c>
      <c r="N46">
        <f t="shared" si="25"/>
        <v>0</v>
      </c>
      <c r="O46">
        <f t="shared" si="26"/>
        <v>2015</v>
      </c>
      <c r="P46">
        <f t="shared" si="27"/>
        <v>0</v>
      </c>
      <c r="Q46">
        <f t="shared" si="28"/>
        <v>0</v>
      </c>
      <c r="R46">
        <f t="shared" si="29"/>
        <v>0</v>
      </c>
      <c r="S46">
        <f t="shared" si="30"/>
        <v>0</v>
      </c>
      <c r="T46">
        <f>COUNTIF('9a'!$K$22:$K$32, "Yes")+COUNTIF('9a'!$O$22:$O$32, "Yes")</f>
        <v>0</v>
      </c>
      <c r="U46" t="str">
        <f t="shared" si="31"/>
        <v>No Expenditures</v>
      </c>
      <c r="V46" t="str">
        <f t="shared" si="32"/>
        <v>No Expenditures</v>
      </c>
      <c r="W46">
        <f t="shared" si="33"/>
        <v>0</v>
      </c>
      <c r="X46" t="str">
        <f>'D-Risk'!$AO$25</f>
        <v>Insufficient Data</v>
      </c>
      <c r="Y46" t="str">
        <f>'D-Risk'!$AO$26</f>
        <v>Insufficient Data</v>
      </c>
      <c r="Z46" t="str">
        <f>'D-Risk'!$AO$27</f>
        <v>Uncalculated</v>
      </c>
      <c r="AA46" t="s">
        <v>831</v>
      </c>
      <c r="AB46" t="s">
        <v>2180</v>
      </c>
      <c r="AC46" t="s">
        <v>1494</v>
      </c>
      <c r="AD46">
        <f>Q3b_Y22_Participation</f>
        <v>0</v>
      </c>
      <c r="AE46">
        <f>'3f'!D56</f>
        <v>0</v>
      </c>
      <c r="AF46">
        <f>'3f'!E56</f>
        <v>0</v>
      </c>
      <c r="AG46">
        <f>'3f'!F56</f>
        <v>0</v>
      </c>
      <c r="AH46">
        <f>'3f'!G56</f>
        <v>0</v>
      </c>
      <c r="AI46">
        <f>'3f'!H56</f>
        <v>0</v>
      </c>
    </row>
    <row r="47" spans="1:35" x14ac:dyDescent="0.25">
      <c r="A47">
        <f t="shared" si="17"/>
        <v>0</v>
      </c>
      <c r="B47">
        <f t="shared" si="18"/>
        <v>0</v>
      </c>
      <c r="C47">
        <f t="shared" si="19"/>
        <v>0</v>
      </c>
      <c r="D47">
        <f t="shared" si="20"/>
        <v>0</v>
      </c>
      <c r="E47">
        <f t="shared" si="21"/>
        <v>0</v>
      </c>
      <c r="F47">
        <f>'D-RepLevel'!$F$2</f>
        <v>0</v>
      </c>
      <c r="G47">
        <f>'D-RepLevel'!$G$2</f>
        <v>0</v>
      </c>
      <c r="H47">
        <f t="shared" si="22"/>
        <v>0</v>
      </c>
      <c r="I47" t="str">
        <f>IF(ISERROR(INDEX('1b'!$C$5:$C$21, MATCH("Primary Business Line", '1b'!$H$5:$H$21, FALSE), 1)), "None Selected", INDEX('1b'!$C$5:$C$21, MATCH("Primary Business Line", '1b'!$H$5:$H$21, FALSE), 1))</f>
        <v>None Selected</v>
      </c>
      <c r="J47">
        <f>'D-3'!$J$2</f>
        <v>0</v>
      </c>
      <c r="K47">
        <f>COUNTIF('4a'!$E$6:$E$29, "Direct")+COUNTIF('4a'!$E$6:$E$29, "Indirect")+COUNTIF('4a'!$E$6:$E$29, "Both")</f>
        <v>0</v>
      </c>
      <c r="L47">
        <f t="shared" si="23"/>
        <v>0</v>
      </c>
      <c r="M47">
        <f t="shared" si="24"/>
        <v>0</v>
      </c>
      <c r="N47">
        <f t="shared" si="25"/>
        <v>0</v>
      </c>
      <c r="O47">
        <f t="shared" si="26"/>
        <v>2015</v>
      </c>
      <c r="P47">
        <f t="shared" si="27"/>
        <v>0</v>
      </c>
      <c r="Q47">
        <f t="shared" si="28"/>
        <v>0</v>
      </c>
      <c r="R47">
        <f t="shared" si="29"/>
        <v>0</v>
      </c>
      <c r="S47">
        <f t="shared" si="30"/>
        <v>0</v>
      </c>
      <c r="T47">
        <f>COUNTIF('9a'!$K$22:$K$32, "Yes")+COUNTIF('9a'!$O$22:$O$32, "Yes")</f>
        <v>0</v>
      </c>
      <c r="U47" t="str">
        <f t="shared" si="31"/>
        <v>No Expenditures</v>
      </c>
      <c r="V47" t="str">
        <f t="shared" si="32"/>
        <v>No Expenditures</v>
      </c>
      <c r="W47">
        <f t="shared" si="33"/>
        <v>0</v>
      </c>
      <c r="X47" t="str">
        <f>'D-Risk'!$AO$25</f>
        <v>Insufficient Data</v>
      </c>
      <c r="Y47" t="str">
        <f>'D-Risk'!$AO$26</f>
        <v>Insufficient Data</v>
      </c>
      <c r="Z47" t="str">
        <f>'D-Risk'!$AO$27</f>
        <v>Uncalculated</v>
      </c>
      <c r="AA47" t="s">
        <v>831</v>
      </c>
      <c r="AB47" t="s">
        <v>2181</v>
      </c>
      <c r="AC47" t="s">
        <v>1496</v>
      </c>
      <c r="AD47">
        <f>Q3b_Y23_Participation</f>
        <v>0</v>
      </c>
      <c r="AE47">
        <f>'3f'!D57</f>
        <v>0</v>
      </c>
      <c r="AF47">
        <f>'3f'!E57</f>
        <v>0</v>
      </c>
      <c r="AG47">
        <f>'3f'!F57</f>
        <v>0</v>
      </c>
      <c r="AH47">
        <f>'3f'!G57</f>
        <v>0</v>
      </c>
      <c r="AI47">
        <f>'3f'!H57</f>
        <v>0</v>
      </c>
    </row>
    <row r="48" spans="1:35" x14ac:dyDescent="0.25">
      <c r="A48">
        <f t="shared" si="17"/>
        <v>0</v>
      </c>
      <c r="B48">
        <f t="shared" si="18"/>
        <v>0</v>
      </c>
      <c r="C48">
        <f t="shared" si="19"/>
        <v>0</v>
      </c>
      <c r="D48">
        <f t="shared" si="20"/>
        <v>0</v>
      </c>
      <c r="E48">
        <f t="shared" si="21"/>
        <v>0</v>
      </c>
      <c r="F48">
        <f>'D-RepLevel'!$F$2</f>
        <v>0</v>
      </c>
      <c r="G48">
        <f>'D-RepLevel'!$G$2</f>
        <v>0</v>
      </c>
      <c r="H48">
        <f t="shared" si="22"/>
        <v>0</v>
      </c>
      <c r="I48" t="str">
        <f>IF(ISERROR(INDEX('1b'!$C$5:$C$21, MATCH("Primary Business Line", '1b'!$H$5:$H$21, FALSE), 1)), "None Selected", INDEX('1b'!$C$5:$C$21, MATCH("Primary Business Line", '1b'!$H$5:$H$21, FALSE), 1))</f>
        <v>None Selected</v>
      </c>
      <c r="J48">
        <f>'D-3'!$J$2</f>
        <v>0</v>
      </c>
      <c r="K48">
        <f>COUNTIF('4a'!$E$6:$E$29, "Direct")+COUNTIF('4a'!$E$6:$E$29, "Indirect")+COUNTIF('4a'!$E$6:$E$29, "Both")</f>
        <v>0</v>
      </c>
      <c r="L48">
        <f t="shared" si="23"/>
        <v>0</v>
      </c>
      <c r="M48">
        <f t="shared" si="24"/>
        <v>0</v>
      </c>
      <c r="N48">
        <f t="shared" si="25"/>
        <v>0</v>
      </c>
      <c r="O48">
        <f t="shared" si="26"/>
        <v>2015</v>
      </c>
      <c r="P48">
        <f t="shared" si="27"/>
        <v>0</v>
      </c>
      <c r="Q48">
        <f t="shared" si="28"/>
        <v>0</v>
      </c>
      <c r="R48">
        <f t="shared" si="29"/>
        <v>0</v>
      </c>
      <c r="S48">
        <f t="shared" si="30"/>
        <v>0</v>
      </c>
      <c r="T48">
        <f>COUNTIF('9a'!$K$22:$K$32, "Yes")+COUNTIF('9a'!$O$22:$O$32, "Yes")</f>
        <v>0</v>
      </c>
      <c r="U48" t="str">
        <f t="shared" si="31"/>
        <v>No Expenditures</v>
      </c>
      <c r="V48" t="str">
        <f t="shared" si="32"/>
        <v>No Expenditures</v>
      </c>
      <c r="W48">
        <f t="shared" si="33"/>
        <v>0</v>
      </c>
      <c r="X48" t="str">
        <f>'D-Risk'!$AO$25</f>
        <v>Insufficient Data</v>
      </c>
      <c r="Y48" t="str">
        <f>'D-Risk'!$AO$26</f>
        <v>Insufficient Data</v>
      </c>
      <c r="Z48" t="str">
        <f>'D-Risk'!$AO$27</f>
        <v>Uncalculated</v>
      </c>
      <c r="AA48" t="s">
        <v>831</v>
      </c>
      <c r="AB48" t="s">
        <v>2182</v>
      </c>
      <c r="AC48" t="s">
        <v>1498</v>
      </c>
      <c r="AD48">
        <f>Q3b_Y24_Participation</f>
        <v>0</v>
      </c>
      <c r="AE48">
        <f>'3f'!D58</f>
        <v>0</v>
      </c>
      <c r="AF48">
        <f>'3f'!E58</f>
        <v>0</v>
      </c>
      <c r="AG48">
        <f>'3f'!F58</f>
        <v>0</v>
      </c>
      <c r="AH48">
        <f>'3f'!G58</f>
        <v>0</v>
      </c>
      <c r="AI48">
        <f>'3f'!H58</f>
        <v>0</v>
      </c>
    </row>
    <row r="49" spans="1:35" x14ac:dyDescent="0.25">
      <c r="A49">
        <f t="shared" si="17"/>
        <v>0</v>
      </c>
      <c r="B49">
        <f t="shared" si="18"/>
        <v>0</v>
      </c>
      <c r="C49">
        <f t="shared" si="19"/>
        <v>0</v>
      </c>
      <c r="D49">
        <f t="shared" si="20"/>
        <v>0</v>
      </c>
      <c r="E49">
        <f t="shared" si="21"/>
        <v>0</v>
      </c>
      <c r="F49">
        <f>'D-RepLevel'!$F$2</f>
        <v>0</v>
      </c>
      <c r="G49">
        <f>'D-RepLevel'!$G$2</f>
        <v>0</v>
      </c>
      <c r="H49">
        <f t="shared" si="22"/>
        <v>0</v>
      </c>
      <c r="I49" t="str">
        <f>IF(ISERROR(INDEX('1b'!$C$5:$C$21, MATCH("Primary Business Line", '1b'!$H$5:$H$21, FALSE), 1)), "None Selected", INDEX('1b'!$C$5:$C$21, MATCH("Primary Business Line", '1b'!$H$5:$H$21, FALSE), 1))</f>
        <v>None Selected</v>
      </c>
      <c r="J49">
        <f>'D-3'!$J$2</f>
        <v>0</v>
      </c>
      <c r="K49">
        <f>COUNTIF('4a'!$E$6:$E$29, "Direct")+COUNTIF('4a'!$E$6:$E$29, "Indirect")+COUNTIF('4a'!$E$6:$E$29, "Both")</f>
        <v>0</v>
      </c>
      <c r="L49">
        <f t="shared" si="23"/>
        <v>0</v>
      </c>
      <c r="M49">
        <f t="shared" si="24"/>
        <v>0</v>
      </c>
      <c r="N49">
        <f t="shared" si="25"/>
        <v>0</v>
      </c>
      <c r="O49">
        <f t="shared" si="26"/>
        <v>2015</v>
      </c>
      <c r="P49">
        <f t="shared" si="27"/>
        <v>0</v>
      </c>
      <c r="Q49">
        <f t="shared" si="28"/>
        <v>0</v>
      </c>
      <c r="R49">
        <f t="shared" si="29"/>
        <v>0</v>
      </c>
      <c r="S49">
        <f t="shared" si="30"/>
        <v>0</v>
      </c>
      <c r="T49">
        <f>COUNTIF('9a'!$K$22:$K$32, "Yes")+COUNTIF('9a'!$O$22:$O$32, "Yes")</f>
        <v>0</v>
      </c>
      <c r="U49" t="str">
        <f t="shared" si="31"/>
        <v>No Expenditures</v>
      </c>
      <c r="V49" t="str">
        <f t="shared" si="32"/>
        <v>No Expenditures</v>
      </c>
      <c r="W49">
        <f t="shared" si="33"/>
        <v>0</v>
      </c>
      <c r="X49" t="str">
        <f>'D-Risk'!$AO$25</f>
        <v>Insufficient Data</v>
      </c>
      <c r="Y49" t="str">
        <f>'D-Risk'!$AO$26</f>
        <v>Insufficient Data</v>
      </c>
      <c r="Z49" t="str">
        <f>'D-Risk'!$AO$27</f>
        <v>Uncalculated</v>
      </c>
      <c r="AA49" t="s">
        <v>831</v>
      </c>
      <c r="AB49" t="s">
        <v>2183</v>
      </c>
      <c r="AC49" t="s">
        <v>1500</v>
      </c>
      <c r="AD49">
        <f>Q3b_Y25_Participation</f>
        <v>0</v>
      </c>
      <c r="AE49">
        <f>'3f'!D59</f>
        <v>0</v>
      </c>
      <c r="AF49">
        <f>'3f'!E59</f>
        <v>0</v>
      </c>
      <c r="AG49">
        <f>'3f'!F59</f>
        <v>0</v>
      </c>
      <c r="AH49">
        <f>'3f'!G59</f>
        <v>0</v>
      </c>
      <c r="AI49">
        <f>'3f'!H59</f>
        <v>0</v>
      </c>
    </row>
    <row r="50" spans="1:35" x14ac:dyDescent="0.25">
      <c r="A50">
        <f t="shared" si="17"/>
        <v>0</v>
      </c>
      <c r="B50">
        <f t="shared" si="18"/>
        <v>0</v>
      </c>
      <c r="C50">
        <f t="shared" si="19"/>
        <v>0</v>
      </c>
      <c r="D50">
        <f t="shared" si="20"/>
        <v>0</v>
      </c>
      <c r="E50">
        <f t="shared" si="21"/>
        <v>0</v>
      </c>
      <c r="F50">
        <f>'D-RepLevel'!$F$2</f>
        <v>0</v>
      </c>
      <c r="G50">
        <f>'D-RepLevel'!$G$2</f>
        <v>0</v>
      </c>
      <c r="H50">
        <f t="shared" si="22"/>
        <v>0</v>
      </c>
      <c r="I50" t="str">
        <f>IF(ISERROR(INDEX('1b'!$C$5:$C$21, MATCH("Primary Business Line", '1b'!$H$5:$H$21, FALSE), 1)), "None Selected", INDEX('1b'!$C$5:$C$21, MATCH("Primary Business Line", '1b'!$H$5:$H$21, FALSE), 1))</f>
        <v>None Selected</v>
      </c>
      <c r="J50">
        <f>'D-3'!$J$2</f>
        <v>0</v>
      </c>
      <c r="K50">
        <f>COUNTIF('4a'!$E$6:$E$29, "Direct")+COUNTIF('4a'!$E$6:$E$29, "Indirect")+COUNTIF('4a'!$E$6:$E$29, "Both")</f>
        <v>0</v>
      </c>
      <c r="L50">
        <f t="shared" si="23"/>
        <v>0</v>
      </c>
      <c r="M50">
        <f t="shared" si="24"/>
        <v>0</v>
      </c>
      <c r="N50">
        <f t="shared" si="25"/>
        <v>0</v>
      </c>
      <c r="O50">
        <f t="shared" si="26"/>
        <v>2015</v>
      </c>
      <c r="P50">
        <f t="shared" si="27"/>
        <v>0</v>
      </c>
      <c r="Q50">
        <f t="shared" si="28"/>
        <v>0</v>
      </c>
      <c r="R50">
        <f t="shared" si="29"/>
        <v>0</v>
      </c>
      <c r="S50">
        <f t="shared" si="30"/>
        <v>0</v>
      </c>
      <c r="T50">
        <f>COUNTIF('9a'!$K$22:$K$32, "Yes")+COUNTIF('9a'!$O$22:$O$32, "Yes")</f>
        <v>0</v>
      </c>
      <c r="U50" t="str">
        <f t="shared" si="31"/>
        <v>No Expenditures</v>
      </c>
      <c r="V50" t="str">
        <f t="shared" si="32"/>
        <v>No Expenditures</v>
      </c>
      <c r="W50">
        <f t="shared" si="33"/>
        <v>0</v>
      </c>
      <c r="X50" t="str">
        <f>'D-Risk'!$AO$25</f>
        <v>Insufficient Data</v>
      </c>
      <c r="Y50" t="str">
        <f>'D-Risk'!$AO$26</f>
        <v>Insufficient Data</v>
      </c>
      <c r="Z50" t="str">
        <f>'D-Risk'!$AO$27</f>
        <v>Uncalculated</v>
      </c>
      <c r="AA50" t="s">
        <v>831</v>
      </c>
      <c r="AB50" t="s">
        <v>2184</v>
      </c>
      <c r="AC50" t="s">
        <v>1502</v>
      </c>
      <c r="AD50">
        <f>Q3b_Y26_Participation</f>
        <v>0</v>
      </c>
      <c r="AE50">
        <f>'3f'!D60</f>
        <v>0</v>
      </c>
      <c r="AF50">
        <f>'3f'!E60</f>
        <v>0</v>
      </c>
      <c r="AG50">
        <f>'3f'!F60</f>
        <v>0</v>
      </c>
      <c r="AH50">
        <f>'3f'!G60</f>
        <v>0</v>
      </c>
      <c r="AI50">
        <f>'3f'!H60</f>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26"/>
  <sheetViews>
    <sheetView showGridLines="0" showRowColHeaders="0" workbookViewId="0"/>
  </sheetViews>
  <sheetFormatPr defaultRowHeight="12.75" x14ac:dyDescent="0.25"/>
  <cols>
    <col min="1" max="1" width="9.140625" style="19"/>
    <col min="2" max="2" width="34" style="19" customWidth="1"/>
    <col min="3" max="8" width="9.140625" style="19"/>
    <col min="9" max="9" width="17.5703125" style="19" customWidth="1"/>
    <col min="10" max="16384" width="9.140625" style="19"/>
  </cols>
  <sheetData>
    <row r="1" spans="2:11" ht="13.5" thickBot="1" x14ac:dyDescent="0.3"/>
    <row r="2" spans="2:11" ht="13.5" thickBot="1" x14ac:dyDescent="0.3">
      <c r="B2" s="30" t="s">
        <v>10</v>
      </c>
      <c r="C2" s="32"/>
      <c r="D2" s="380" t="s">
        <v>11</v>
      </c>
      <c r="E2" s="380"/>
      <c r="F2" s="380"/>
      <c r="G2" s="380"/>
      <c r="H2" s="380"/>
      <c r="I2" s="32"/>
      <c r="J2" s="32"/>
      <c r="K2" s="51" t="s">
        <v>0</v>
      </c>
    </row>
    <row r="3" spans="2:11" x14ac:dyDescent="0.25">
      <c r="B3" s="52" t="s">
        <v>49</v>
      </c>
      <c r="C3" s="53"/>
      <c r="D3" s="53"/>
      <c r="E3" s="53"/>
      <c r="F3" s="53"/>
      <c r="G3" s="53"/>
      <c r="H3" s="53"/>
      <c r="I3" s="53"/>
      <c r="J3" s="53"/>
      <c r="K3" s="54"/>
    </row>
    <row r="4" spans="2:11" x14ac:dyDescent="0.25">
      <c r="B4" s="38" t="s">
        <v>50</v>
      </c>
      <c r="C4" s="422" t="s">
        <v>51</v>
      </c>
      <c r="D4" s="422"/>
      <c r="E4" s="422"/>
      <c r="F4" s="422"/>
      <c r="G4" s="422"/>
      <c r="H4" s="422"/>
      <c r="I4" s="422"/>
      <c r="J4" s="422"/>
      <c r="K4" s="423"/>
    </row>
    <row r="5" spans="2:11" ht="54" customHeight="1" x14ac:dyDescent="0.25">
      <c r="B5" s="55" t="s">
        <v>52</v>
      </c>
      <c r="C5" s="408" t="s">
        <v>53</v>
      </c>
      <c r="D5" s="408"/>
      <c r="E5" s="408"/>
      <c r="F5" s="408"/>
      <c r="G5" s="408"/>
      <c r="H5" s="408"/>
      <c r="I5" s="408"/>
      <c r="J5" s="408"/>
      <c r="K5" s="409"/>
    </row>
    <row r="6" spans="2:11" ht="30.75" customHeight="1" x14ac:dyDescent="0.25">
      <c r="B6" s="55" t="s">
        <v>54</v>
      </c>
      <c r="C6" s="408" t="s">
        <v>55</v>
      </c>
      <c r="D6" s="408"/>
      <c r="E6" s="408"/>
      <c r="F6" s="408"/>
      <c r="G6" s="408"/>
      <c r="H6" s="408"/>
      <c r="I6" s="408"/>
      <c r="J6" s="408"/>
      <c r="K6" s="409"/>
    </row>
    <row r="7" spans="2:11" ht="26.25" customHeight="1" x14ac:dyDescent="0.25">
      <c r="B7" s="55" t="s">
        <v>56</v>
      </c>
      <c r="C7" s="408" t="s">
        <v>57</v>
      </c>
      <c r="D7" s="408"/>
      <c r="E7" s="408"/>
      <c r="F7" s="408"/>
      <c r="G7" s="408"/>
      <c r="H7" s="408"/>
      <c r="I7" s="408"/>
      <c r="J7" s="408"/>
      <c r="K7" s="409"/>
    </row>
    <row r="8" spans="2:11" ht="28.5" customHeight="1" x14ac:dyDescent="0.25">
      <c r="B8" s="55" t="s">
        <v>58</v>
      </c>
      <c r="C8" s="408" t="s">
        <v>59</v>
      </c>
      <c r="D8" s="408"/>
      <c r="E8" s="408"/>
      <c r="F8" s="408"/>
      <c r="G8" s="408"/>
      <c r="H8" s="408"/>
      <c r="I8" s="408"/>
      <c r="J8" s="408"/>
      <c r="K8" s="409"/>
    </row>
    <row r="9" spans="2:11" ht="24" customHeight="1" x14ac:dyDescent="0.25">
      <c r="B9" s="55" t="s">
        <v>60</v>
      </c>
      <c r="C9" s="408" t="s">
        <v>61</v>
      </c>
      <c r="D9" s="408"/>
      <c r="E9" s="408"/>
      <c r="F9" s="408"/>
      <c r="G9" s="408"/>
      <c r="H9" s="408"/>
      <c r="I9" s="408"/>
      <c r="J9" s="408"/>
      <c r="K9" s="409"/>
    </row>
    <row r="10" spans="2:11" ht="57" customHeight="1" x14ac:dyDescent="0.25">
      <c r="B10" s="55" t="s">
        <v>62</v>
      </c>
      <c r="C10" s="408" t="s">
        <v>2604</v>
      </c>
      <c r="D10" s="408"/>
      <c r="E10" s="408"/>
      <c r="F10" s="408"/>
      <c r="G10" s="408"/>
      <c r="H10" s="408"/>
      <c r="I10" s="408"/>
      <c r="J10" s="408"/>
      <c r="K10" s="409"/>
    </row>
    <row r="11" spans="2:11" ht="33.75" customHeight="1" x14ac:dyDescent="0.25">
      <c r="B11" s="55" t="s">
        <v>63</v>
      </c>
      <c r="C11" s="408" t="s">
        <v>64</v>
      </c>
      <c r="D11" s="408"/>
      <c r="E11" s="408"/>
      <c r="F11" s="408"/>
      <c r="G11" s="408"/>
      <c r="H11" s="408"/>
      <c r="I11" s="408"/>
      <c r="J11" s="408"/>
      <c r="K11" s="409"/>
    </row>
    <row r="12" spans="2:11" ht="57" customHeight="1" x14ac:dyDescent="0.25">
      <c r="B12" s="55" t="s">
        <v>65</v>
      </c>
      <c r="C12" s="408" t="s">
        <v>66</v>
      </c>
      <c r="D12" s="408"/>
      <c r="E12" s="408"/>
      <c r="F12" s="408"/>
      <c r="G12" s="408"/>
      <c r="H12" s="408"/>
      <c r="I12" s="408"/>
      <c r="J12" s="408"/>
      <c r="K12" s="409"/>
    </row>
    <row r="13" spans="2:11" ht="27.75" customHeight="1" x14ac:dyDescent="0.25">
      <c r="B13" s="55" t="s">
        <v>67</v>
      </c>
      <c r="C13" s="408" t="s">
        <v>68</v>
      </c>
      <c r="D13" s="408"/>
      <c r="E13" s="408"/>
      <c r="F13" s="408"/>
      <c r="G13" s="408"/>
      <c r="H13" s="408"/>
      <c r="I13" s="408"/>
      <c r="J13" s="408"/>
      <c r="K13" s="409"/>
    </row>
    <row r="14" spans="2:11" ht="33.75" customHeight="1" x14ac:dyDescent="0.25">
      <c r="B14" s="55" t="s">
        <v>69</v>
      </c>
      <c r="C14" s="408" t="s">
        <v>2603</v>
      </c>
      <c r="D14" s="408"/>
      <c r="E14" s="408"/>
      <c r="F14" s="408"/>
      <c r="G14" s="408"/>
      <c r="H14" s="408"/>
      <c r="I14" s="408"/>
      <c r="J14" s="408"/>
      <c r="K14" s="409"/>
    </row>
    <row r="15" spans="2:11" ht="33.75" customHeight="1" x14ac:dyDescent="0.25">
      <c r="B15" s="55" t="s">
        <v>70</v>
      </c>
      <c r="C15" s="408" t="s">
        <v>71</v>
      </c>
      <c r="D15" s="408"/>
      <c r="E15" s="408"/>
      <c r="F15" s="408"/>
      <c r="G15" s="408"/>
      <c r="H15" s="408"/>
      <c r="I15" s="408"/>
      <c r="J15" s="408"/>
      <c r="K15" s="409"/>
    </row>
    <row r="16" spans="2:11" ht="32.25" customHeight="1" x14ac:dyDescent="0.25">
      <c r="B16" s="55" t="s">
        <v>72</v>
      </c>
      <c r="C16" s="408" t="s">
        <v>73</v>
      </c>
      <c r="D16" s="408"/>
      <c r="E16" s="408"/>
      <c r="F16" s="408"/>
      <c r="G16" s="408"/>
      <c r="H16" s="408"/>
      <c r="I16" s="408"/>
      <c r="J16" s="408"/>
      <c r="K16" s="409"/>
    </row>
    <row r="17" spans="2:11" ht="54.75" customHeight="1" x14ac:dyDescent="0.25">
      <c r="B17" s="55" t="s">
        <v>74</v>
      </c>
      <c r="C17" s="408" t="s">
        <v>75</v>
      </c>
      <c r="D17" s="408"/>
      <c r="E17" s="408"/>
      <c r="F17" s="408"/>
      <c r="G17" s="408"/>
      <c r="H17" s="408"/>
      <c r="I17" s="408"/>
      <c r="J17" s="408"/>
      <c r="K17" s="409"/>
    </row>
    <row r="18" spans="2:11" ht="33.75" customHeight="1" x14ac:dyDescent="0.25">
      <c r="B18" s="55" t="s">
        <v>76</v>
      </c>
      <c r="C18" s="408" t="s">
        <v>2605</v>
      </c>
      <c r="D18" s="408"/>
      <c r="E18" s="408"/>
      <c r="F18" s="408"/>
      <c r="G18" s="408"/>
      <c r="H18" s="408"/>
      <c r="I18" s="408"/>
      <c r="J18" s="408"/>
      <c r="K18" s="409"/>
    </row>
    <row r="19" spans="2:11" ht="33.75" customHeight="1" x14ac:dyDescent="0.25">
      <c r="B19" s="55" t="s">
        <v>77</v>
      </c>
      <c r="C19" s="408" t="s">
        <v>78</v>
      </c>
      <c r="D19" s="408"/>
      <c r="E19" s="408"/>
      <c r="F19" s="408"/>
      <c r="G19" s="408"/>
      <c r="H19" s="408"/>
      <c r="I19" s="408"/>
      <c r="J19" s="408"/>
      <c r="K19" s="409"/>
    </row>
    <row r="20" spans="2:11" ht="33.75" customHeight="1" x14ac:dyDescent="0.25">
      <c r="B20" s="55" t="s">
        <v>79</v>
      </c>
      <c r="C20" s="408" t="s">
        <v>80</v>
      </c>
      <c r="D20" s="408"/>
      <c r="E20" s="408"/>
      <c r="F20" s="408"/>
      <c r="G20" s="408"/>
      <c r="H20" s="408"/>
      <c r="I20" s="408"/>
      <c r="J20" s="408"/>
      <c r="K20" s="409"/>
    </row>
    <row r="21" spans="2:11" ht="40.5" customHeight="1" x14ac:dyDescent="0.25">
      <c r="B21" s="55" t="s">
        <v>81</v>
      </c>
      <c r="C21" s="408" t="s">
        <v>82</v>
      </c>
      <c r="D21" s="408"/>
      <c r="E21" s="408"/>
      <c r="F21" s="408"/>
      <c r="G21" s="408"/>
      <c r="H21" s="408"/>
      <c r="I21" s="408"/>
      <c r="J21" s="408"/>
      <c r="K21" s="409"/>
    </row>
    <row r="22" spans="2:11" ht="33.75" customHeight="1" x14ac:dyDescent="0.25">
      <c r="B22" s="55" t="s">
        <v>83</v>
      </c>
      <c r="C22" s="408" t="s">
        <v>84</v>
      </c>
      <c r="D22" s="408"/>
      <c r="E22" s="408"/>
      <c r="F22" s="408"/>
      <c r="G22" s="408"/>
      <c r="H22" s="408"/>
      <c r="I22" s="408"/>
      <c r="J22" s="408"/>
      <c r="K22" s="409"/>
    </row>
    <row r="23" spans="2:11" ht="43.5" customHeight="1" x14ac:dyDescent="0.25">
      <c r="B23" s="55" t="s">
        <v>85</v>
      </c>
      <c r="C23" s="408" t="s">
        <v>86</v>
      </c>
      <c r="D23" s="408"/>
      <c r="E23" s="408"/>
      <c r="F23" s="408"/>
      <c r="G23" s="408"/>
      <c r="H23" s="408"/>
      <c r="I23" s="408"/>
      <c r="J23" s="408"/>
      <c r="K23" s="409"/>
    </row>
    <row r="24" spans="2:11" ht="33.75" customHeight="1" thickBot="1" x14ac:dyDescent="0.3">
      <c r="B24" s="56" t="s">
        <v>87</v>
      </c>
      <c r="C24" s="412" t="s">
        <v>88</v>
      </c>
      <c r="D24" s="412"/>
      <c r="E24" s="412"/>
      <c r="F24" s="412"/>
      <c r="G24" s="412"/>
      <c r="H24" s="412"/>
      <c r="I24" s="412"/>
      <c r="J24" s="412"/>
      <c r="K24" s="413"/>
    </row>
    <row r="25" spans="2:11" x14ac:dyDescent="0.25">
      <c r="B25" s="20"/>
      <c r="C25" s="21"/>
      <c r="D25" s="21"/>
      <c r="E25" s="21"/>
      <c r="F25" s="21"/>
      <c r="G25" s="21"/>
      <c r="H25" s="21"/>
      <c r="I25" s="21"/>
      <c r="J25" s="21"/>
      <c r="K25" s="22"/>
    </row>
    <row r="26" spans="2:11" ht="13.5" thickBot="1" x14ac:dyDescent="0.3">
      <c r="B26" s="390" t="s">
        <v>9</v>
      </c>
      <c r="C26" s="391"/>
      <c r="D26" s="391"/>
      <c r="E26" s="391"/>
      <c r="F26" s="391"/>
      <c r="G26" s="391"/>
      <c r="H26" s="391"/>
      <c r="I26" s="391"/>
      <c r="J26" s="391"/>
      <c r="K26" s="392"/>
    </row>
  </sheetData>
  <sheetProtection password="C288" sheet="1"/>
  <mergeCells count="23">
    <mergeCell ref="C23:K23"/>
    <mergeCell ref="C24:K24"/>
    <mergeCell ref="C4:K4"/>
    <mergeCell ref="B26:K26"/>
    <mergeCell ref="D2:H2"/>
    <mergeCell ref="C17:K17"/>
    <mergeCell ref="C18:K18"/>
    <mergeCell ref="C19:K19"/>
    <mergeCell ref="C20:K20"/>
    <mergeCell ref="C21:K21"/>
    <mergeCell ref="C22:K22"/>
    <mergeCell ref="C11:K11"/>
    <mergeCell ref="C12:K12"/>
    <mergeCell ref="C13:K13"/>
    <mergeCell ref="C14:K14"/>
    <mergeCell ref="C15:K15"/>
    <mergeCell ref="C16:K16"/>
    <mergeCell ref="C5:K5"/>
    <mergeCell ref="C6:K6"/>
    <mergeCell ref="C7:K7"/>
    <mergeCell ref="C8:K8"/>
    <mergeCell ref="C9:K9"/>
    <mergeCell ref="C10:K10"/>
  </mergeCells>
  <hyperlinks>
    <hyperlink ref="B2" location="'General Instructions'!A1" display="Previous Page"/>
    <hyperlink ref="K2" location="'Reporting Level'!A1" display="Next Page"/>
    <hyperlink ref="D2" location="'Table of Contents'!A1" display="Table of Contents"/>
  </hyperlinks>
  <printOptions horizontalCentered="1"/>
  <pageMargins left="0.25" right="0.25" top="0.75" bottom="0.75" header="0.3" footer="0.3"/>
  <pageSetup scale="65" orientation="landscape" verticalDpi="12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76"/>
  <sheetViews>
    <sheetView zoomScale="70" zoomScaleNormal="70" workbookViewId="0">
      <selection activeCell="C7" sqref="C7:D7"/>
    </sheetView>
  </sheetViews>
  <sheetFormatPr defaultRowHeight="15" x14ac:dyDescent="0.25"/>
  <sheetData>
    <row r="1" spans="1:31"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2185</v>
      </c>
      <c r="AB1" t="s">
        <v>2128</v>
      </c>
      <c r="AC1" t="s">
        <v>2129</v>
      </c>
      <c r="AD1" t="s">
        <v>2130</v>
      </c>
      <c r="AE1" t="s">
        <v>237</v>
      </c>
    </row>
    <row r="2" spans="1:31" x14ac:dyDescent="0.25">
      <c r="A2">
        <f t="shared" ref="A2:A33" si="0">Q_RP_B_DSSCAGE_01</f>
        <v>0</v>
      </c>
      <c r="B2">
        <f t="shared" ref="B2:B33" si="1">Q1a_A_LocationName</f>
        <v>0</v>
      </c>
      <c r="C2">
        <f t="shared" ref="C2:C33" si="2">Q1a_A_LocOrgName</f>
        <v>0</v>
      </c>
      <c r="D2">
        <f t="shared" ref="D2:D33" si="3">Q1a_B_Parent1_Name</f>
        <v>0</v>
      </c>
      <c r="E2">
        <f t="shared" ref="E2:E33" si="4">Q_RP_A_MultiResponse</f>
        <v>0</v>
      </c>
      <c r="F2">
        <f>'D-RepLevel'!$F$2</f>
        <v>0</v>
      </c>
      <c r="G2">
        <f>'D-RepLevel'!$G$2</f>
        <v>0</v>
      </c>
      <c r="H2">
        <f t="shared" ref="H2:H33"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3" si="6">Q4b_A_NumUSGPrograms</f>
        <v>0</v>
      </c>
      <c r="M2">
        <f t="shared" ref="M2:M33" si="7">Q6_A_Employees_Year3</f>
        <v>0</v>
      </c>
      <c r="N2">
        <f t="shared" ref="N2:N33" si="8">Q6_B_Employee_H1B_Total+Q6_B_Employee_H2B_Total+Q6_B_Employee_F1_Total+Q6_B_Employee_GreenCard_Total+Q6_B_Employee_Other_Total</f>
        <v>0</v>
      </c>
      <c r="O2">
        <f t="shared" ref="O2:O33" si="9">Year3</f>
        <v>2015</v>
      </c>
      <c r="P2">
        <f t="shared" ref="P2:P33" si="10">Q7_A_TotalSales_US_Year3+Q7_A_TotalSales_NonUS_Year3</f>
        <v>0</v>
      </c>
      <c r="Q2">
        <f t="shared" ref="Q2:Q33" si="11">Q7_B_DefSales_US_Year3_Pct*Q7_A_TotalSales_US_Year3+Q7_B_DefSales_NonUS_Year3_Pct*Q7_A_TotalSales_NonUS_Year3</f>
        <v>0</v>
      </c>
      <c r="R2">
        <f t="shared" ref="R2:R33" si="12">Q9a_B_Physical_Year3</f>
        <v>0</v>
      </c>
      <c r="S2">
        <f t="shared" ref="S2:S33" si="13">Q9a_B_Cyber_Year3</f>
        <v>0</v>
      </c>
      <c r="T2">
        <f>COUNTIF('9a'!$K$22:$K$32, "Yes")+COUNTIF('9a'!$O$22:$O$32, "Yes")</f>
        <v>0</v>
      </c>
      <c r="U2" t="str">
        <f t="shared" ref="U2:U33" si="14">IF(Q12_OpEx_Year3=0, "No Expenditures", Q9b_A_PhysicalSpending_Year3/(Q12_OpEx_Year3))</f>
        <v>No Expenditures</v>
      </c>
      <c r="V2" t="str">
        <f t="shared" ref="V2:V33" si="15">IF(Q12_OpEx_Year3=0, "No Expenditures", Q9b_A_CyberSpending_Year3/(Q12_OpEx_Year3))</f>
        <v>No Expenditures</v>
      </c>
      <c r="W2">
        <f t="shared" ref="W2:W33" si="16">Q9b_C_Pct_CSI_External</f>
        <v>0</v>
      </c>
      <c r="X2" t="str">
        <f>'D-Risk'!$AO$25</f>
        <v>Insufficient Data</v>
      </c>
      <c r="Y2" t="str">
        <f>'D-Risk'!$AO$26</f>
        <v>Insufficient Data</v>
      </c>
      <c r="Z2" t="str">
        <f>'D-Risk'!$AO$27</f>
        <v>Uncalculated</v>
      </c>
      <c r="AA2">
        <v>1</v>
      </c>
      <c r="AB2" t="str">
        <f>IF($AC2&lt;&gt;".",INDEX('PSL for Lists'!$C$2:$C$211,MATCH('D-3bf Consolidated (Pivot)'!$AC2,'PSL for Lists'!$A$2:$A$211,FALSE),1), ".")</f>
        <v>.</v>
      </c>
      <c r="AC2" t="str">
        <f>IF(ISERROR(Lists!AM2), ".", Lists!AM2)</f>
        <v>.</v>
      </c>
      <c r="AD2" t="str">
        <f>IF($AC2&lt;&gt;".",INDEX('PSL for Lists'!D$2:D$211,MATCH('D-3bf Consolidated (Pivot)'!$AC2,'PSL for Lists'!$A$2:$A$211,FALSE),1), ".")</f>
        <v>.</v>
      </c>
      <c r="AE2" t="str">
        <f>IF($AC2&lt;&gt;".",INDEX('PSL for Lists'!E$2:E$211,MATCH('D-3bf Consolidated (Pivot)'!$AC2,'PSL for Lists'!$A$2:$A$211,FALSE),1), ".")</f>
        <v>.</v>
      </c>
    </row>
    <row r="3" spans="1:31"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v>2</v>
      </c>
      <c r="AB3" t="str">
        <f>IF(AC3&lt;&gt;".",INDEX('PSL for Lists'!$C$2:$C$211,MATCH('D-3bf Consolidated (Pivot)'!$AC3,'PSL for Lists'!$A$2:$A$211,FALSE),1), ".")</f>
        <v>.</v>
      </c>
      <c r="AC3" t="str">
        <f>IF(ISERROR(Lists!AM3), ".", Lists!AM3)</f>
        <v>.</v>
      </c>
      <c r="AD3" t="str">
        <f>IF($AC3&lt;&gt;".",INDEX('PSL for Lists'!D$2:D$211,MATCH('D-3bf Consolidated (Pivot)'!$AC3,'PSL for Lists'!$A$2:$A$211,FALSE),1), ".")</f>
        <v>.</v>
      </c>
      <c r="AE3" t="str">
        <f>IF($AC3&lt;&gt;".",INDEX('PSL for Lists'!E$2:E$211,MATCH('D-3bf Consolidated (Pivot)'!$AC3,'PSL for Lists'!$A$2:$A$211,FALSE),1), ".")</f>
        <v>.</v>
      </c>
    </row>
    <row r="4" spans="1:31"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v>3</v>
      </c>
      <c r="AB4" t="str">
        <f>IF(AC4&lt;&gt;".",INDEX('PSL for Lists'!$C$2:$C$211,MATCH('D-3bf Consolidated (Pivot)'!$AC4,'PSL for Lists'!$A$2:$A$211,FALSE),1), ".")</f>
        <v>.</v>
      </c>
      <c r="AC4" t="str">
        <f>IF(ISERROR(Lists!AM4), ".", Lists!AM4)</f>
        <v>.</v>
      </c>
      <c r="AD4" t="str">
        <f>IF($AC4&lt;&gt;".",INDEX('PSL for Lists'!D$2:D$211,MATCH('D-3bf Consolidated (Pivot)'!$AC4,'PSL for Lists'!$A$2:$A$211,FALSE),1), ".")</f>
        <v>.</v>
      </c>
      <c r="AE4" t="str">
        <f>IF($AC4&lt;&gt;".",INDEX('PSL for Lists'!E$2:E$211,MATCH('D-3bf Consolidated (Pivot)'!$AC4,'PSL for Lists'!$A$2:$A$211,FALSE),1), ".")</f>
        <v>.</v>
      </c>
    </row>
    <row r="5" spans="1:31"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v>4</v>
      </c>
      <c r="AB5" t="str">
        <f>IF(AC5&lt;&gt;".",INDEX('PSL for Lists'!$C$2:$C$211,MATCH('D-3bf Consolidated (Pivot)'!$AC5,'PSL for Lists'!$A$2:$A$211,FALSE),1), ".")</f>
        <v>.</v>
      </c>
      <c r="AC5" t="str">
        <f>IF(ISERROR(Lists!AM5), ".", Lists!AM5)</f>
        <v>.</v>
      </c>
      <c r="AD5" t="str">
        <f>IF($AC5&lt;&gt;".",INDEX('PSL for Lists'!D$2:D$211,MATCH('D-3bf Consolidated (Pivot)'!$AC5,'PSL for Lists'!$A$2:$A$211,FALSE),1), ".")</f>
        <v>.</v>
      </c>
      <c r="AE5" t="str">
        <f>IF($AC5&lt;&gt;".",INDEX('PSL for Lists'!E$2:E$211,MATCH('D-3bf Consolidated (Pivot)'!$AC5,'PSL for Lists'!$A$2:$A$211,FALSE),1), ".")</f>
        <v>.</v>
      </c>
    </row>
    <row r="6" spans="1:31"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v>5</v>
      </c>
      <c r="AB6" t="str">
        <f>IF(AC6&lt;&gt;".",INDEX('PSL for Lists'!$C$2:$C$211,MATCH('D-3bf Consolidated (Pivot)'!$AC6,'PSL for Lists'!$A$2:$A$211,FALSE),1), ".")</f>
        <v>.</v>
      </c>
      <c r="AC6" t="str">
        <f>IF(ISERROR(Lists!AM6), ".", Lists!AM6)</f>
        <v>.</v>
      </c>
      <c r="AD6" t="str">
        <f>IF($AC6&lt;&gt;".",INDEX('PSL for Lists'!D$2:D$211,MATCH('D-3bf Consolidated (Pivot)'!$AC6,'PSL for Lists'!$A$2:$A$211,FALSE),1), ".")</f>
        <v>.</v>
      </c>
      <c r="AE6" t="str">
        <f>IF($AC6&lt;&gt;".",INDEX('PSL for Lists'!E$2:E$211,MATCH('D-3bf Consolidated (Pivot)'!$AC6,'PSL for Lists'!$A$2:$A$211,FALSE),1), ".")</f>
        <v>.</v>
      </c>
    </row>
    <row r="7" spans="1:31"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v>6</v>
      </c>
      <c r="AB7" t="str">
        <f>IF(AC7&lt;&gt;".",INDEX('PSL for Lists'!$C$2:$C$211,MATCH('D-3bf Consolidated (Pivot)'!$AC7,'PSL for Lists'!$A$2:$A$211,FALSE),1), ".")</f>
        <v>.</v>
      </c>
      <c r="AC7" t="str">
        <f>IF(ISERROR(Lists!AM7), ".", Lists!AM7)</f>
        <v>.</v>
      </c>
      <c r="AD7" t="str">
        <f>IF($AC7&lt;&gt;".",INDEX('PSL for Lists'!D$2:D$211,MATCH('D-3bf Consolidated (Pivot)'!$AC7,'PSL for Lists'!$A$2:$A$211,FALSE),1), ".")</f>
        <v>.</v>
      </c>
      <c r="AE7" t="str">
        <f>IF($AC7&lt;&gt;".",INDEX('PSL for Lists'!E$2:E$211,MATCH('D-3bf Consolidated (Pivot)'!$AC7,'PSL for Lists'!$A$2:$A$211,FALSE),1), ".")</f>
        <v>.</v>
      </c>
    </row>
    <row r="8" spans="1:31"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v>7</v>
      </c>
      <c r="AB8" t="str">
        <f>IF(AC8&lt;&gt;".",INDEX('PSL for Lists'!$C$2:$C$211,MATCH('D-3bf Consolidated (Pivot)'!$AC8,'PSL for Lists'!$A$2:$A$211,FALSE),1), ".")</f>
        <v>.</v>
      </c>
      <c r="AC8" t="str">
        <f>IF(ISERROR(Lists!AM8), ".", Lists!AM8)</f>
        <v>.</v>
      </c>
      <c r="AD8" t="str">
        <f>IF($AC8&lt;&gt;".",INDEX('PSL for Lists'!D$2:D$211,MATCH('D-3bf Consolidated (Pivot)'!$AC8,'PSL for Lists'!$A$2:$A$211,FALSE),1), ".")</f>
        <v>.</v>
      </c>
      <c r="AE8" t="str">
        <f>IF($AC8&lt;&gt;".",INDEX('PSL for Lists'!E$2:E$211,MATCH('D-3bf Consolidated (Pivot)'!$AC8,'PSL for Lists'!$A$2:$A$211,FALSE),1), ".")</f>
        <v>.</v>
      </c>
    </row>
    <row r="9" spans="1:31"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v>8</v>
      </c>
      <c r="AB9" t="str">
        <f>IF(AC9&lt;&gt;".",INDEX('PSL for Lists'!$C$2:$C$211,MATCH('D-3bf Consolidated (Pivot)'!$AC9,'PSL for Lists'!$A$2:$A$211,FALSE),1), ".")</f>
        <v>.</v>
      </c>
      <c r="AC9" t="str">
        <f>IF(ISERROR(Lists!AM9), ".", Lists!AM9)</f>
        <v>.</v>
      </c>
      <c r="AD9" t="str">
        <f>IF($AC9&lt;&gt;".",INDEX('PSL for Lists'!D$2:D$211,MATCH('D-3bf Consolidated (Pivot)'!$AC9,'PSL for Lists'!$A$2:$A$211,FALSE),1), ".")</f>
        <v>.</v>
      </c>
      <c r="AE9" t="str">
        <f>IF($AC9&lt;&gt;".",INDEX('PSL for Lists'!E$2:E$211,MATCH('D-3bf Consolidated (Pivot)'!$AC9,'PSL for Lists'!$A$2:$A$211,FALSE),1), ".")</f>
        <v>.</v>
      </c>
    </row>
    <row r="10" spans="1:31"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v>9</v>
      </c>
      <c r="AB10" t="str">
        <f>IF(AC10&lt;&gt;".",INDEX('PSL for Lists'!$C$2:$C$211,MATCH('D-3bf Consolidated (Pivot)'!$AC10,'PSL for Lists'!$A$2:$A$211,FALSE),1), ".")</f>
        <v>.</v>
      </c>
      <c r="AC10" t="str">
        <f>IF(ISERROR(Lists!AM10), ".", Lists!AM10)</f>
        <v>.</v>
      </c>
      <c r="AD10" t="str">
        <f>IF($AC10&lt;&gt;".",INDEX('PSL for Lists'!D$2:D$211,MATCH('D-3bf Consolidated (Pivot)'!$AC10,'PSL for Lists'!$A$2:$A$211,FALSE),1), ".")</f>
        <v>.</v>
      </c>
      <c r="AE10" t="str">
        <f>IF($AC10&lt;&gt;".",INDEX('PSL for Lists'!E$2:E$211,MATCH('D-3bf Consolidated (Pivot)'!$AC10,'PSL for Lists'!$A$2:$A$211,FALSE),1), ".")</f>
        <v>.</v>
      </c>
    </row>
    <row r="11" spans="1:31"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v>10</v>
      </c>
      <c r="AB11" t="str">
        <f>IF(AC11&lt;&gt;".",INDEX('PSL for Lists'!$C$2:$C$211,MATCH('D-3bf Consolidated (Pivot)'!$AC11,'PSL for Lists'!$A$2:$A$211,FALSE),1), ".")</f>
        <v>.</v>
      </c>
      <c r="AC11" t="str">
        <f>IF(ISERROR(Lists!AM11), ".", Lists!AM11)</f>
        <v>.</v>
      </c>
      <c r="AD11" t="str">
        <f>IF($AC11&lt;&gt;".",INDEX('PSL for Lists'!D$2:D$211,MATCH('D-3bf Consolidated (Pivot)'!$AC11,'PSL for Lists'!$A$2:$A$211,FALSE),1), ".")</f>
        <v>.</v>
      </c>
      <c r="AE11" t="str">
        <f>IF($AC11&lt;&gt;".",INDEX('PSL for Lists'!E$2:E$211,MATCH('D-3bf Consolidated (Pivot)'!$AC11,'PSL for Lists'!$A$2:$A$211,FALSE),1), ".")</f>
        <v>.</v>
      </c>
    </row>
    <row r="12" spans="1:31"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v>11</v>
      </c>
      <c r="AB12" t="str">
        <f>IF(AC12&lt;&gt;".",INDEX('PSL for Lists'!$C$2:$C$211,MATCH('D-3bf Consolidated (Pivot)'!$AC12,'PSL for Lists'!$A$2:$A$211,FALSE),1), ".")</f>
        <v>.</v>
      </c>
      <c r="AC12" t="str">
        <f>IF(ISERROR(Lists!AM12), ".", Lists!AM12)</f>
        <v>.</v>
      </c>
      <c r="AD12" t="str">
        <f>IF($AC12&lt;&gt;".",INDEX('PSL for Lists'!D$2:D$211,MATCH('D-3bf Consolidated (Pivot)'!$AC12,'PSL for Lists'!$A$2:$A$211,FALSE),1), ".")</f>
        <v>.</v>
      </c>
      <c r="AE12" t="str">
        <f>IF($AC12&lt;&gt;".",INDEX('PSL for Lists'!E$2:E$211,MATCH('D-3bf Consolidated (Pivot)'!$AC12,'PSL for Lists'!$A$2:$A$211,FALSE),1), ".")</f>
        <v>.</v>
      </c>
    </row>
    <row r="13" spans="1:31"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v>12</v>
      </c>
      <c r="AB13" t="str">
        <f>IF(AC13&lt;&gt;".",INDEX('PSL for Lists'!$C$2:$C$211,MATCH('D-3bf Consolidated (Pivot)'!$AC13,'PSL for Lists'!$A$2:$A$211,FALSE),1), ".")</f>
        <v>.</v>
      </c>
      <c r="AC13" t="str">
        <f>IF(ISERROR(Lists!AM13), ".", Lists!AM13)</f>
        <v>.</v>
      </c>
      <c r="AD13" t="str">
        <f>IF($AC13&lt;&gt;".",INDEX('PSL for Lists'!D$2:D$211,MATCH('D-3bf Consolidated (Pivot)'!$AC13,'PSL for Lists'!$A$2:$A$211,FALSE),1), ".")</f>
        <v>.</v>
      </c>
      <c r="AE13" t="str">
        <f>IF($AC13&lt;&gt;".",INDEX('PSL for Lists'!E$2:E$211,MATCH('D-3bf Consolidated (Pivot)'!$AC13,'PSL for Lists'!$A$2:$A$211,FALSE),1), ".")</f>
        <v>.</v>
      </c>
    </row>
    <row r="14" spans="1:31"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v>13</v>
      </c>
      <c r="AB14" t="str">
        <f>IF(AC14&lt;&gt;".",INDEX('PSL for Lists'!$C$2:$C$211,MATCH('D-3bf Consolidated (Pivot)'!$AC14,'PSL for Lists'!$A$2:$A$211,FALSE),1), ".")</f>
        <v>.</v>
      </c>
      <c r="AC14" t="str">
        <f>IF(ISERROR(Lists!AM14), ".", Lists!AM14)</f>
        <v>.</v>
      </c>
      <c r="AD14" t="str">
        <f>IF($AC14&lt;&gt;".",INDEX('PSL for Lists'!D$2:D$211,MATCH('D-3bf Consolidated (Pivot)'!$AC14,'PSL for Lists'!$A$2:$A$211,FALSE),1), ".")</f>
        <v>.</v>
      </c>
      <c r="AE14" t="str">
        <f>IF($AC14&lt;&gt;".",INDEX('PSL for Lists'!E$2:E$211,MATCH('D-3bf Consolidated (Pivot)'!$AC14,'PSL for Lists'!$A$2:$A$211,FALSE),1), ".")</f>
        <v>.</v>
      </c>
    </row>
    <row r="15" spans="1:31"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v>14</v>
      </c>
      <c r="AB15" t="str">
        <f>IF(AC15&lt;&gt;".",INDEX('PSL for Lists'!$C$2:$C$211,MATCH('D-3bf Consolidated (Pivot)'!$AC15,'PSL for Lists'!$A$2:$A$211,FALSE),1), ".")</f>
        <v>.</v>
      </c>
      <c r="AC15" t="str">
        <f>IF(ISERROR(Lists!AM15), ".", Lists!AM15)</f>
        <v>.</v>
      </c>
      <c r="AD15" t="str">
        <f>IF($AC15&lt;&gt;".",INDEX('PSL for Lists'!D$2:D$211,MATCH('D-3bf Consolidated (Pivot)'!$AC15,'PSL for Lists'!$A$2:$A$211,FALSE),1), ".")</f>
        <v>.</v>
      </c>
      <c r="AE15" t="str">
        <f>IF($AC15&lt;&gt;".",INDEX('PSL for Lists'!E$2:E$211,MATCH('D-3bf Consolidated (Pivot)'!$AC15,'PSL for Lists'!$A$2:$A$211,FALSE),1), ".")</f>
        <v>.</v>
      </c>
    </row>
    <row r="16" spans="1:31"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v>15</v>
      </c>
      <c r="AB16" t="str">
        <f>IF(AC16&lt;&gt;".",INDEX('PSL for Lists'!$C$2:$C$211,MATCH('D-3bf Consolidated (Pivot)'!$AC16,'PSL for Lists'!$A$2:$A$211,FALSE),1), ".")</f>
        <v>.</v>
      </c>
      <c r="AC16" t="str">
        <f>IF(ISERROR(Lists!AM16), ".", Lists!AM16)</f>
        <v>.</v>
      </c>
      <c r="AD16" t="str">
        <f>IF($AC16&lt;&gt;".",INDEX('PSL for Lists'!D$2:D$211,MATCH('D-3bf Consolidated (Pivot)'!$AC16,'PSL for Lists'!$A$2:$A$211,FALSE),1), ".")</f>
        <v>.</v>
      </c>
      <c r="AE16" t="str">
        <f>IF($AC16&lt;&gt;".",INDEX('PSL for Lists'!E$2:E$211,MATCH('D-3bf Consolidated (Pivot)'!$AC16,'PSL for Lists'!$A$2:$A$211,FALSE),1), ".")</f>
        <v>.</v>
      </c>
    </row>
    <row r="17" spans="1:31"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v>16</v>
      </c>
      <c r="AB17" t="str">
        <f>IF(AC17&lt;&gt;".",INDEX('PSL for Lists'!$C$2:$C$211,MATCH('D-3bf Consolidated (Pivot)'!$AC17,'PSL for Lists'!$A$2:$A$211,FALSE),1), ".")</f>
        <v>.</v>
      </c>
      <c r="AC17" t="str">
        <f>IF(ISERROR(Lists!AM17), ".", Lists!AM17)</f>
        <v>.</v>
      </c>
      <c r="AD17" t="str">
        <f>IF($AC17&lt;&gt;".",INDEX('PSL for Lists'!D$2:D$211,MATCH('D-3bf Consolidated (Pivot)'!$AC17,'PSL for Lists'!$A$2:$A$211,FALSE),1), ".")</f>
        <v>.</v>
      </c>
      <c r="AE17" t="str">
        <f>IF($AC17&lt;&gt;".",INDEX('PSL for Lists'!E$2:E$211,MATCH('D-3bf Consolidated (Pivot)'!$AC17,'PSL for Lists'!$A$2:$A$211,FALSE),1), ".")</f>
        <v>.</v>
      </c>
    </row>
    <row r="18" spans="1:31"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v>17</v>
      </c>
      <c r="AB18" t="str">
        <f>IF(AC18&lt;&gt;".",INDEX('PSL for Lists'!$C$2:$C$211,MATCH('D-3bf Consolidated (Pivot)'!$AC18,'PSL for Lists'!$A$2:$A$211,FALSE),1), ".")</f>
        <v>.</v>
      </c>
      <c r="AC18" t="str">
        <f>IF(ISERROR(Lists!AM18), ".", Lists!AM18)</f>
        <v>.</v>
      </c>
      <c r="AD18" t="str">
        <f>IF($AC18&lt;&gt;".",INDEX('PSL for Lists'!D$2:D$211,MATCH('D-3bf Consolidated (Pivot)'!$AC18,'PSL for Lists'!$A$2:$A$211,FALSE),1), ".")</f>
        <v>.</v>
      </c>
      <c r="AE18" t="str">
        <f>IF($AC18&lt;&gt;".",INDEX('PSL for Lists'!E$2:E$211,MATCH('D-3bf Consolidated (Pivot)'!$AC18,'PSL for Lists'!$A$2:$A$211,FALSE),1), ".")</f>
        <v>.</v>
      </c>
    </row>
    <row r="19" spans="1:31"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v>18</v>
      </c>
      <c r="AB19" t="str">
        <f>IF(AC19&lt;&gt;".",INDEX('PSL for Lists'!$C$2:$C$211,MATCH('D-3bf Consolidated (Pivot)'!$AC19,'PSL for Lists'!$A$2:$A$211,FALSE),1), ".")</f>
        <v>.</v>
      </c>
      <c r="AC19" t="str">
        <f>IF(ISERROR(Lists!AM19), ".", Lists!AM19)</f>
        <v>.</v>
      </c>
      <c r="AD19" t="str">
        <f>IF($AC19&lt;&gt;".",INDEX('PSL for Lists'!D$2:D$211,MATCH('D-3bf Consolidated (Pivot)'!$AC19,'PSL for Lists'!$A$2:$A$211,FALSE),1), ".")</f>
        <v>.</v>
      </c>
      <c r="AE19" t="str">
        <f>IF($AC19&lt;&gt;".",INDEX('PSL for Lists'!E$2:E$211,MATCH('D-3bf Consolidated (Pivot)'!$AC19,'PSL for Lists'!$A$2:$A$211,FALSE),1), ".")</f>
        <v>.</v>
      </c>
    </row>
    <row r="20" spans="1:31"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v>19</v>
      </c>
      <c r="AB20" t="str">
        <f>IF(AC20&lt;&gt;".",INDEX('PSL for Lists'!$C$2:$C$211,MATCH('D-3bf Consolidated (Pivot)'!$AC20,'PSL for Lists'!$A$2:$A$211,FALSE),1), ".")</f>
        <v>.</v>
      </c>
      <c r="AC20" t="str">
        <f>IF(ISERROR(Lists!AM20), ".", Lists!AM20)</f>
        <v>.</v>
      </c>
      <c r="AD20" t="str">
        <f>IF($AC20&lt;&gt;".",INDEX('PSL for Lists'!D$2:D$211,MATCH('D-3bf Consolidated (Pivot)'!$AC20,'PSL for Lists'!$A$2:$A$211,FALSE),1), ".")</f>
        <v>.</v>
      </c>
      <c r="AE20" t="str">
        <f>IF($AC20&lt;&gt;".",INDEX('PSL for Lists'!E$2:E$211,MATCH('D-3bf Consolidated (Pivot)'!$AC20,'PSL for Lists'!$A$2:$A$211,FALSE),1), ".")</f>
        <v>.</v>
      </c>
    </row>
    <row r="21" spans="1:31"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v>20</v>
      </c>
      <c r="AB21" t="str">
        <f>IF(AC21&lt;&gt;".",INDEX('PSL for Lists'!$C$2:$C$211,MATCH('D-3bf Consolidated (Pivot)'!$AC21,'PSL for Lists'!$A$2:$A$211,FALSE),1), ".")</f>
        <v>.</v>
      </c>
      <c r="AC21" t="str">
        <f>IF(ISERROR(Lists!AM21), ".", Lists!AM21)</f>
        <v>.</v>
      </c>
      <c r="AD21" t="str">
        <f>IF($AC21&lt;&gt;".",INDEX('PSL for Lists'!D$2:D$211,MATCH('D-3bf Consolidated (Pivot)'!$AC21,'PSL for Lists'!$A$2:$A$211,FALSE),1), ".")</f>
        <v>.</v>
      </c>
      <c r="AE21" t="str">
        <f>IF($AC21&lt;&gt;".",INDEX('PSL for Lists'!E$2:E$211,MATCH('D-3bf Consolidated (Pivot)'!$AC21,'PSL for Lists'!$A$2:$A$211,FALSE),1), ".")</f>
        <v>.</v>
      </c>
    </row>
    <row r="22" spans="1:31"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v>21</v>
      </c>
      <c r="AB22" t="str">
        <f>IF(AC22&lt;&gt;".",INDEX('PSL for Lists'!$C$2:$C$211,MATCH('D-3bf Consolidated (Pivot)'!$AC22,'PSL for Lists'!$A$2:$A$211,FALSE),1), ".")</f>
        <v>.</v>
      </c>
      <c r="AC22" t="str">
        <f>IF(ISERROR(Lists!AM22), ".", Lists!AM22)</f>
        <v>.</v>
      </c>
      <c r="AD22" t="str">
        <f>IF($AC22&lt;&gt;".",INDEX('PSL for Lists'!D$2:D$211,MATCH('D-3bf Consolidated (Pivot)'!$AC22,'PSL for Lists'!$A$2:$A$211,FALSE),1), ".")</f>
        <v>.</v>
      </c>
      <c r="AE22" t="str">
        <f>IF($AC22&lt;&gt;".",INDEX('PSL for Lists'!E$2:E$211,MATCH('D-3bf Consolidated (Pivot)'!$AC22,'PSL for Lists'!$A$2:$A$211,FALSE),1), ".")</f>
        <v>.</v>
      </c>
    </row>
    <row r="23" spans="1:31"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v>22</v>
      </c>
      <c r="AB23" t="str">
        <f>IF(AC23&lt;&gt;".",INDEX('PSL for Lists'!$C$2:$C$211,MATCH('D-3bf Consolidated (Pivot)'!$AC23,'PSL for Lists'!$A$2:$A$211,FALSE),1), ".")</f>
        <v>.</v>
      </c>
      <c r="AC23" t="str">
        <f>IF(ISERROR(Lists!AM23), ".", Lists!AM23)</f>
        <v>.</v>
      </c>
      <c r="AD23" t="str">
        <f>IF($AC23&lt;&gt;".",INDEX('PSL for Lists'!D$2:D$211,MATCH('D-3bf Consolidated (Pivot)'!$AC23,'PSL for Lists'!$A$2:$A$211,FALSE),1), ".")</f>
        <v>.</v>
      </c>
      <c r="AE23" t="str">
        <f>IF($AC23&lt;&gt;".",INDEX('PSL for Lists'!E$2:E$211,MATCH('D-3bf Consolidated (Pivot)'!$AC23,'PSL for Lists'!$A$2:$A$211,FALSE),1), ".")</f>
        <v>.</v>
      </c>
    </row>
    <row r="24" spans="1:31"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v>23</v>
      </c>
      <c r="AB24" t="str">
        <f>IF(AC24&lt;&gt;".",INDEX('PSL for Lists'!$C$2:$C$211,MATCH('D-3bf Consolidated (Pivot)'!$AC24,'PSL for Lists'!$A$2:$A$211,FALSE),1), ".")</f>
        <v>.</v>
      </c>
      <c r="AC24" t="str">
        <f>IF(ISERROR(Lists!AM24), ".", Lists!AM24)</f>
        <v>.</v>
      </c>
      <c r="AD24" t="str">
        <f>IF($AC24&lt;&gt;".",INDEX('PSL for Lists'!D$2:D$211,MATCH('D-3bf Consolidated (Pivot)'!$AC24,'PSL for Lists'!$A$2:$A$211,FALSE),1), ".")</f>
        <v>.</v>
      </c>
      <c r="AE24" t="str">
        <f>IF($AC24&lt;&gt;".",INDEX('PSL for Lists'!E$2:E$211,MATCH('D-3bf Consolidated (Pivot)'!$AC24,'PSL for Lists'!$A$2:$A$211,FALSE),1), ".")</f>
        <v>.</v>
      </c>
    </row>
    <row r="25" spans="1:31"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v>24</v>
      </c>
      <c r="AB25" t="str">
        <f>IF(AC25&lt;&gt;".",INDEX('PSL for Lists'!$C$2:$C$211,MATCH('D-3bf Consolidated (Pivot)'!$AC25,'PSL for Lists'!$A$2:$A$211,FALSE),1), ".")</f>
        <v>.</v>
      </c>
      <c r="AC25" t="str">
        <f>IF(ISERROR(Lists!AM25), ".", Lists!AM25)</f>
        <v>.</v>
      </c>
      <c r="AD25" t="str">
        <f>IF($AC25&lt;&gt;".",INDEX('PSL for Lists'!D$2:D$211,MATCH('D-3bf Consolidated (Pivot)'!$AC25,'PSL for Lists'!$A$2:$A$211,FALSE),1), ".")</f>
        <v>.</v>
      </c>
      <c r="AE25" t="str">
        <f>IF($AC25&lt;&gt;".",INDEX('PSL for Lists'!E$2:E$211,MATCH('D-3bf Consolidated (Pivot)'!$AC25,'PSL for Lists'!$A$2:$A$211,FALSE),1), ".")</f>
        <v>.</v>
      </c>
    </row>
    <row r="26" spans="1:31"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v>25</v>
      </c>
      <c r="AB26" t="str">
        <f>IF(AC26&lt;&gt;".",INDEX('PSL for Lists'!$C$2:$C$211,MATCH('D-3bf Consolidated (Pivot)'!$AC26,'PSL for Lists'!$A$2:$A$211,FALSE),1), ".")</f>
        <v>.</v>
      </c>
      <c r="AC26" t="str">
        <f>IF(ISERROR(Lists!AM26), ".", Lists!AM26)</f>
        <v>.</v>
      </c>
      <c r="AD26" t="str">
        <f>IF($AC26&lt;&gt;".",INDEX('PSL for Lists'!D$2:D$211,MATCH('D-3bf Consolidated (Pivot)'!$AC26,'PSL for Lists'!$A$2:$A$211,FALSE),1), ".")</f>
        <v>.</v>
      </c>
      <c r="AE26" t="str">
        <f>IF($AC26&lt;&gt;".",INDEX('PSL for Lists'!E$2:E$211,MATCH('D-3bf Consolidated (Pivot)'!$AC26,'PSL for Lists'!$A$2:$A$211,FALSE),1), ".")</f>
        <v>.</v>
      </c>
    </row>
    <row r="27" spans="1:31"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v>26</v>
      </c>
      <c r="AB27" t="str">
        <f>IF(AC27&lt;&gt;".",INDEX('PSL for Lists'!$C$2:$C$211,MATCH('D-3bf Consolidated (Pivot)'!$AC27,'PSL for Lists'!$A$2:$A$211,FALSE),1), ".")</f>
        <v>.</v>
      </c>
      <c r="AC27" t="str">
        <f>IF(ISERROR(Lists!AM27), ".", Lists!AM27)</f>
        <v>.</v>
      </c>
      <c r="AD27" t="str">
        <f>IF($AC27&lt;&gt;".",INDEX('PSL for Lists'!D$2:D$211,MATCH('D-3bf Consolidated (Pivot)'!$AC27,'PSL for Lists'!$A$2:$A$211,FALSE),1), ".")</f>
        <v>.</v>
      </c>
      <c r="AE27" t="str">
        <f>IF($AC27&lt;&gt;".",INDEX('PSL for Lists'!E$2:E$211,MATCH('D-3bf Consolidated (Pivot)'!$AC27,'PSL for Lists'!$A$2:$A$211,FALSE),1), ".")</f>
        <v>.</v>
      </c>
    </row>
    <row r="28" spans="1:31"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v>27</v>
      </c>
      <c r="AB28" t="str">
        <f>IF(AC28&lt;&gt;".",INDEX('PSL for Lists'!$C$2:$C$211,MATCH('D-3bf Consolidated (Pivot)'!$AC28,'PSL for Lists'!$A$2:$A$211,FALSE),1), ".")</f>
        <v>.</v>
      </c>
      <c r="AC28" t="str">
        <f>IF(ISERROR(Lists!AM28), ".", Lists!AM28)</f>
        <v>.</v>
      </c>
      <c r="AD28" t="str">
        <f>IF($AC28&lt;&gt;".",INDEX('PSL for Lists'!D$2:D$211,MATCH('D-3bf Consolidated (Pivot)'!$AC28,'PSL for Lists'!$A$2:$A$211,FALSE),1), ".")</f>
        <v>.</v>
      </c>
      <c r="AE28" t="str">
        <f>IF($AC28&lt;&gt;".",INDEX('PSL for Lists'!E$2:E$211,MATCH('D-3bf Consolidated (Pivot)'!$AC28,'PSL for Lists'!$A$2:$A$211,FALSE),1), ".")</f>
        <v>.</v>
      </c>
    </row>
    <row r="29" spans="1:31"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v>28</v>
      </c>
      <c r="AB29" t="str">
        <f>IF(AC29&lt;&gt;".",INDEX('PSL for Lists'!$C$2:$C$211,MATCH('D-3bf Consolidated (Pivot)'!$AC29,'PSL for Lists'!$A$2:$A$211,FALSE),1), ".")</f>
        <v>.</v>
      </c>
      <c r="AC29" t="str">
        <f>IF(ISERROR(Lists!AM29), ".", Lists!AM29)</f>
        <v>.</v>
      </c>
      <c r="AD29" t="str">
        <f>IF($AC29&lt;&gt;".",INDEX('PSL for Lists'!D$2:D$211,MATCH('D-3bf Consolidated (Pivot)'!$AC29,'PSL for Lists'!$A$2:$A$211,FALSE),1), ".")</f>
        <v>.</v>
      </c>
      <c r="AE29" t="str">
        <f>IF($AC29&lt;&gt;".",INDEX('PSL for Lists'!E$2:E$211,MATCH('D-3bf Consolidated (Pivot)'!$AC29,'PSL for Lists'!$A$2:$A$211,FALSE),1), ".")</f>
        <v>.</v>
      </c>
    </row>
    <row r="30" spans="1:31"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v>29</v>
      </c>
      <c r="AB30" t="str">
        <f>IF(AC30&lt;&gt;".",INDEX('PSL for Lists'!$C$2:$C$211,MATCH('D-3bf Consolidated (Pivot)'!$AC30,'PSL for Lists'!$A$2:$A$211,FALSE),1), ".")</f>
        <v>.</v>
      </c>
      <c r="AC30" t="str">
        <f>IF(ISERROR(Lists!AM30), ".", Lists!AM30)</f>
        <v>.</v>
      </c>
      <c r="AD30" t="str">
        <f>IF($AC30&lt;&gt;".",INDEX('PSL for Lists'!D$2:D$211,MATCH('D-3bf Consolidated (Pivot)'!$AC30,'PSL for Lists'!$A$2:$A$211,FALSE),1), ".")</f>
        <v>.</v>
      </c>
      <c r="AE30" t="str">
        <f>IF($AC30&lt;&gt;".",INDEX('PSL for Lists'!E$2:E$211,MATCH('D-3bf Consolidated (Pivot)'!$AC30,'PSL for Lists'!$A$2:$A$211,FALSE),1), ".")</f>
        <v>.</v>
      </c>
    </row>
    <row r="31" spans="1:31"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v>30</v>
      </c>
      <c r="AB31" t="str">
        <f>IF(AC31&lt;&gt;".",INDEX('PSL for Lists'!$C$2:$C$211,MATCH('D-3bf Consolidated (Pivot)'!$AC31,'PSL for Lists'!$A$2:$A$211,FALSE),1), ".")</f>
        <v>.</v>
      </c>
      <c r="AC31" t="str">
        <f>IF(ISERROR(Lists!AM31), ".", Lists!AM31)</f>
        <v>.</v>
      </c>
      <c r="AD31" t="str">
        <f>IF($AC31&lt;&gt;".",INDEX('PSL for Lists'!D$2:D$211,MATCH('D-3bf Consolidated (Pivot)'!$AC31,'PSL for Lists'!$A$2:$A$211,FALSE),1), ".")</f>
        <v>.</v>
      </c>
      <c r="AE31" t="str">
        <f>IF($AC31&lt;&gt;".",INDEX('PSL for Lists'!E$2:E$211,MATCH('D-3bf Consolidated (Pivot)'!$AC31,'PSL for Lists'!$A$2:$A$211,FALSE),1), ".")</f>
        <v>.</v>
      </c>
    </row>
    <row r="32" spans="1:31"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v>31</v>
      </c>
      <c r="AB32" t="str">
        <f>IF(AC32&lt;&gt;".",INDEX('PSL for Lists'!$C$2:$C$211,MATCH('D-3bf Consolidated (Pivot)'!$AC32,'PSL for Lists'!$A$2:$A$211,FALSE),1), ".")</f>
        <v>.</v>
      </c>
      <c r="AC32" t="str">
        <f>IF(ISERROR(Lists!AM32), ".", Lists!AM32)</f>
        <v>.</v>
      </c>
      <c r="AD32" t="str">
        <f>IF($AC32&lt;&gt;".",INDEX('PSL for Lists'!D$2:D$211,MATCH('D-3bf Consolidated (Pivot)'!$AC32,'PSL for Lists'!$A$2:$A$211,FALSE),1), ".")</f>
        <v>.</v>
      </c>
      <c r="AE32" t="str">
        <f>IF($AC32&lt;&gt;".",INDEX('PSL for Lists'!E$2:E$211,MATCH('D-3bf Consolidated (Pivot)'!$AC32,'PSL for Lists'!$A$2:$A$211,FALSE),1), ".")</f>
        <v>.</v>
      </c>
    </row>
    <row r="33" spans="1:31"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v>32</v>
      </c>
      <c r="AB33" t="str">
        <f>IF(AC33&lt;&gt;".",INDEX('PSL for Lists'!$C$2:$C$211,MATCH('D-3bf Consolidated (Pivot)'!$AC33,'PSL for Lists'!$A$2:$A$211,FALSE),1), ".")</f>
        <v>.</v>
      </c>
      <c r="AC33" t="str">
        <f>IF(ISERROR(Lists!AM33), ".", Lists!AM33)</f>
        <v>.</v>
      </c>
      <c r="AD33" t="str">
        <f>IF($AC33&lt;&gt;".",INDEX('PSL for Lists'!D$2:D$211,MATCH('D-3bf Consolidated (Pivot)'!$AC33,'PSL for Lists'!$A$2:$A$211,FALSE),1), ".")</f>
        <v>.</v>
      </c>
      <c r="AE33" t="str">
        <f>IF($AC33&lt;&gt;".",INDEX('PSL for Lists'!E$2:E$211,MATCH('D-3bf Consolidated (Pivot)'!$AC33,'PSL for Lists'!$A$2:$A$211,FALSE),1), ".")</f>
        <v>.</v>
      </c>
    </row>
    <row r="34" spans="1:31" x14ac:dyDescent="0.25">
      <c r="A34">
        <f t="shared" ref="A34:A65" si="17">Q_RP_B_DSSCAGE_01</f>
        <v>0</v>
      </c>
      <c r="B34">
        <f t="shared" ref="B34:B65" si="18">Q1a_A_LocationName</f>
        <v>0</v>
      </c>
      <c r="C34">
        <f t="shared" ref="C34:C65" si="19">Q1a_A_LocOrgName</f>
        <v>0</v>
      </c>
      <c r="D34">
        <f t="shared" ref="D34:D65" si="20">Q1a_B_Parent1_Name</f>
        <v>0</v>
      </c>
      <c r="E34">
        <f t="shared" ref="E34:E65" si="21">Q_RP_A_MultiResponse</f>
        <v>0</v>
      </c>
      <c r="F34">
        <f>'D-RepLevel'!$F$2</f>
        <v>0</v>
      </c>
      <c r="G34">
        <f>'D-RepLevel'!$G$2</f>
        <v>0</v>
      </c>
      <c r="H34">
        <f t="shared" ref="H34:H65" si="22">Q1a_A_OnlyLoc_YN</f>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ref="L34:L65" si="23">Q4b_A_NumUSGPrograms</f>
        <v>0</v>
      </c>
      <c r="M34">
        <f t="shared" ref="M34:M65" si="24">Q6_A_Employees_Year3</f>
        <v>0</v>
      </c>
      <c r="N34">
        <f t="shared" ref="N34:N65" si="25">Q6_B_Employee_H1B_Total+Q6_B_Employee_H2B_Total+Q6_B_Employee_F1_Total+Q6_B_Employee_GreenCard_Total+Q6_B_Employee_Other_Total</f>
        <v>0</v>
      </c>
      <c r="O34">
        <f t="shared" ref="O34:O65" si="26">Year3</f>
        <v>2015</v>
      </c>
      <c r="P34">
        <f t="shared" ref="P34:P65" si="27">Q7_A_TotalSales_US_Year3+Q7_A_TotalSales_NonUS_Year3</f>
        <v>0</v>
      </c>
      <c r="Q34">
        <f t="shared" ref="Q34:Q65" si="28">Q7_B_DefSales_US_Year3_Pct*Q7_A_TotalSales_US_Year3+Q7_B_DefSales_NonUS_Year3_Pct*Q7_A_TotalSales_NonUS_Year3</f>
        <v>0</v>
      </c>
      <c r="R34">
        <f t="shared" ref="R34:R65" si="29">Q9a_B_Physical_Year3</f>
        <v>0</v>
      </c>
      <c r="S34">
        <f t="shared" ref="S34:S65" si="30">Q9a_B_Cyber_Year3</f>
        <v>0</v>
      </c>
      <c r="T34">
        <f>COUNTIF('9a'!$K$22:$K$32, "Yes")+COUNTIF('9a'!$O$22:$O$32, "Yes")</f>
        <v>0</v>
      </c>
      <c r="U34" t="str">
        <f t="shared" ref="U34:U65" si="31">IF(Q12_OpEx_Year3=0, "No Expenditures", Q9b_A_PhysicalSpending_Year3/(Q12_OpEx_Year3))</f>
        <v>No Expenditures</v>
      </c>
      <c r="V34" t="str">
        <f t="shared" ref="V34:V65" si="32">IF(Q12_OpEx_Year3=0, "No Expenditures", Q9b_A_CyberSpending_Year3/(Q12_OpEx_Year3))</f>
        <v>No Expenditures</v>
      </c>
      <c r="W34">
        <f t="shared" ref="W34:W65" si="33">Q9b_C_Pct_CSI_External</f>
        <v>0</v>
      </c>
      <c r="X34" t="str">
        <f>'D-Risk'!$AO$25</f>
        <v>Insufficient Data</v>
      </c>
      <c r="Y34" t="str">
        <f>'D-Risk'!$AO$26</f>
        <v>Insufficient Data</v>
      </c>
      <c r="Z34" t="str">
        <f>'D-Risk'!$AO$27</f>
        <v>Uncalculated</v>
      </c>
      <c r="AA34">
        <v>33</v>
      </c>
      <c r="AB34" t="str">
        <f>IF(AC34&lt;&gt;".",INDEX('PSL for Lists'!$C$2:$C$211,MATCH('D-3bf Consolidated (Pivot)'!$AC34,'PSL for Lists'!$A$2:$A$211,FALSE),1), ".")</f>
        <v>.</v>
      </c>
      <c r="AC34" t="str">
        <f>IF(ISERROR(Lists!AM34), ".", Lists!AM34)</f>
        <v>.</v>
      </c>
      <c r="AD34" t="str">
        <f>IF($AC34&lt;&gt;".",INDEX('PSL for Lists'!D$2:D$211,MATCH('D-3bf Consolidated (Pivot)'!$AC34,'PSL for Lists'!$A$2:$A$211,FALSE),1), ".")</f>
        <v>.</v>
      </c>
      <c r="AE34" t="str">
        <f>IF($AC34&lt;&gt;".",INDEX('PSL for Lists'!E$2:E$211,MATCH('D-3bf Consolidated (Pivot)'!$AC34,'PSL for Lists'!$A$2:$A$211,FALSE),1), ".")</f>
        <v>.</v>
      </c>
    </row>
    <row r="35" spans="1:31" x14ac:dyDescent="0.25">
      <c r="A35">
        <f t="shared" si="17"/>
        <v>0</v>
      </c>
      <c r="B35">
        <f t="shared" si="18"/>
        <v>0</v>
      </c>
      <c r="C35">
        <f t="shared" si="19"/>
        <v>0</v>
      </c>
      <c r="D35">
        <f t="shared" si="20"/>
        <v>0</v>
      </c>
      <c r="E35">
        <f t="shared" si="21"/>
        <v>0</v>
      </c>
      <c r="F35">
        <f>'D-RepLevel'!$F$2</f>
        <v>0</v>
      </c>
      <c r="G35">
        <f>'D-RepLevel'!$G$2</f>
        <v>0</v>
      </c>
      <c r="H35">
        <f t="shared" si="22"/>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23"/>
        <v>0</v>
      </c>
      <c r="M35">
        <f t="shared" si="24"/>
        <v>0</v>
      </c>
      <c r="N35">
        <f t="shared" si="25"/>
        <v>0</v>
      </c>
      <c r="O35">
        <f t="shared" si="26"/>
        <v>2015</v>
      </c>
      <c r="P35">
        <f t="shared" si="27"/>
        <v>0</v>
      </c>
      <c r="Q35">
        <f t="shared" si="28"/>
        <v>0</v>
      </c>
      <c r="R35">
        <f t="shared" si="29"/>
        <v>0</v>
      </c>
      <c r="S35">
        <f t="shared" si="30"/>
        <v>0</v>
      </c>
      <c r="T35">
        <f>COUNTIF('9a'!$K$22:$K$32, "Yes")+COUNTIF('9a'!$O$22:$O$32, "Yes")</f>
        <v>0</v>
      </c>
      <c r="U35" t="str">
        <f t="shared" si="31"/>
        <v>No Expenditures</v>
      </c>
      <c r="V35" t="str">
        <f t="shared" si="32"/>
        <v>No Expenditures</v>
      </c>
      <c r="W35">
        <f t="shared" si="33"/>
        <v>0</v>
      </c>
      <c r="X35" t="str">
        <f>'D-Risk'!$AO$25</f>
        <v>Insufficient Data</v>
      </c>
      <c r="Y35" t="str">
        <f>'D-Risk'!$AO$26</f>
        <v>Insufficient Data</v>
      </c>
      <c r="Z35" t="str">
        <f>'D-Risk'!$AO$27</f>
        <v>Uncalculated</v>
      </c>
      <c r="AA35">
        <v>34</v>
      </c>
      <c r="AB35" t="str">
        <f>IF(AC35&lt;&gt;".",INDEX('PSL for Lists'!$C$2:$C$211,MATCH('D-3bf Consolidated (Pivot)'!$AC35,'PSL for Lists'!$A$2:$A$211,FALSE),1), ".")</f>
        <v>.</v>
      </c>
      <c r="AC35" t="str">
        <f>IF(ISERROR(Lists!AM35), ".", Lists!AM35)</f>
        <v>.</v>
      </c>
      <c r="AD35" t="str">
        <f>IF($AC35&lt;&gt;".",INDEX('PSL for Lists'!D$2:D$211,MATCH('D-3bf Consolidated (Pivot)'!$AC35,'PSL for Lists'!$A$2:$A$211,FALSE),1), ".")</f>
        <v>.</v>
      </c>
      <c r="AE35" t="str">
        <f>IF($AC35&lt;&gt;".",INDEX('PSL for Lists'!E$2:E$211,MATCH('D-3bf Consolidated (Pivot)'!$AC35,'PSL for Lists'!$A$2:$A$211,FALSE),1), ".")</f>
        <v>.</v>
      </c>
    </row>
    <row r="36" spans="1:31" x14ac:dyDescent="0.25">
      <c r="A36">
        <f t="shared" si="17"/>
        <v>0</v>
      </c>
      <c r="B36">
        <f t="shared" si="18"/>
        <v>0</v>
      </c>
      <c r="C36">
        <f t="shared" si="19"/>
        <v>0</v>
      </c>
      <c r="D36">
        <f t="shared" si="20"/>
        <v>0</v>
      </c>
      <c r="E36">
        <f t="shared" si="21"/>
        <v>0</v>
      </c>
      <c r="F36">
        <f>'D-RepLevel'!$F$2</f>
        <v>0</v>
      </c>
      <c r="G36">
        <f>'D-RepLevel'!$G$2</f>
        <v>0</v>
      </c>
      <c r="H36">
        <f t="shared" si="22"/>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23"/>
        <v>0</v>
      </c>
      <c r="M36">
        <f t="shared" si="24"/>
        <v>0</v>
      </c>
      <c r="N36">
        <f t="shared" si="25"/>
        <v>0</v>
      </c>
      <c r="O36">
        <f t="shared" si="26"/>
        <v>2015</v>
      </c>
      <c r="P36">
        <f t="shared" si="27"/>
        <v>0</v>
      </c>
      <c r="Q36">
        <f t="shared" si="28"/>
        <v>0</v>
      </c>
      <c r="R36">
        <f t="shared" si="29"/>
        <v>0</v>
      </c>
      <c r="S36">
        <f t="shared" si="30"/>
        <v>0</v>
      </c>
      <c r="T36">
        <f>COUNTIF('9a'!$K$22:$K$32, "Yes")+COUNTIF('9a'!$O$22:$O$32, "Yes")</f>
        <v>0</v>
      </c>
      <c r="U36" t="str">
        <f t="shared" si="31"/>
        <v>No Expenditures</v>
      </c>
      <c r="V36" t="str">
        <f t="shared" si="32"/>
        <v>No Expenditures</v>
      </c>
      <c r="W36">
        <f t="shared" si="33"/>
        <v>0</v>
      </c>
      <c r="X36" t="str">
        <f>'D-Risk'!$AO$25</f>
        <v>Insufficient Data</v>
      </c>
      <c r="Y36" t="str">
        <f>'D-Risk'!$AO$26</f>
        <v>Insufficient Data</v>
      </c>
      <c r="Z36" t="str">
        <f>'D-Risk'!$AO$27</f>
        <v>Uncalculated</v>
      </c>
      <c r="AA36">
        <v>35</v>
      </c>
      <c r="AB36" t="str">
        <f>IF(AC36&lt;&gt;".",INDEX('PSL for Lists'!$C$2:$C$211,MATCH('D-3bf Consolidated (Pivot)'!$AC36,'PSL for Lists'!$A$2:$A$211,FALSE),1), ".")</f>
        <v>.</v>
      </c>
      <c r="AC36" t="str">
        <f>IF(ISERROR(Lists!AM36), ".", Lists!AM36)</f>
        <v>.</v>
      </c>
      <c r="AD36" t="str">
        <f>IF($AC36&lt;&gt;".",INDEX('PSL for Lists'!D$2:D$211,MATCH('D-3bf Consolidated (Pivot)'!$AC36,'PSL for Lists'!$A$2:$A$211,FALSE),1), ".")</f>
        <v>.</v>
      </c>
      <c r="AE36" t="str">
        <f>IF($AC36&lt;&gt;".",INDEX('PSL for Lists'!E$2:E$211,MATCH('D-3bf Consolidated (Pivot)'!$AC36,'PSL for Lists'!$A$2:$A$211,FALSE),1), ".")</f>
        <v>.</v>
      </c>
    </row>
    <row r="37" spans="1:31" x14ac:dyDescent="0.25">
      <c r="A37">
        <f t="shared" si="17"/>
        <v>0</v>
      </c>
      <c r="B37">
        <f t="shared" si="18"/>
        <v>0</v>
      </c>
      <c r="C37">
        <f t="shared" si="19"/>
        <v>0</v>
      </c>
      <c r="D37">
        <f t="shared" si="20"/>
        <v>0</v>
      </c>
      <c r="E37">
        <f t="shared" si="21"/>
        <v>0</v>
      </c>
      <c r="F37">
        <f>'D-RepLevel'!$F$2</f>
        <v>0</v>
      </c>
      <c r="G37">
        <f>'D-RepLevel'!$G$2</f>
        <v>0</v>
      </c>
      <c r="H37">
        <f t="shared" si="22"/>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23"/>
        <v>0</v>
      </c>
      <c r="M37">
        <f t="shared" si="24"/>
        <v>0</v>
      </c>
      <c r="N37">
        <f t="shared" si="25"/>
        <v>0</v>
      </c>
      <c r="O37">
        <f t="shared" si="26"/>
        <v>2015</v>
      </c>
      <c r="P37">
        <f t="shared" si="27"/>
        <v>0</v>
      </c>
      <c r="Q37">
        <f t="shared" si="28"/>
        <v>0</v>
      </c>
      <c r="R37">
        <f t="shared" si="29"/>
        <v>0</v>
      </c>
      <c r="S37">
        <f t="shared" si="30"/>
        <v>0</v>
      </c>
      <c r="T37">
        <f>COUNTIF('9a'!$K$22:$K$32, "Yes")+COUNTIF('9a'!$O$22:$O$32, "Yes")</f>
        <v>0</v>
      </c>
      <c r="U37" t="str">
        <f t="shared" si="31"/>
        <v>No Expenditures</v>
      </c>
      <c r="V37" t="str">
        <f t="shared" si="32"/>
        <v>No Expenditures</v>
      </c>
      <c r="W37">
        <f t="shared" si="33"/>
        <v>0</v>
      </c>
      <c r="X37" t="str">
        <f>'D-Risk'!$AO$25</f>
        <v>Insufficient Data</v>
      </c>
      <c r="Y37" t="str">
        <f>'D-Risk'!$AO$26</f>
        <v>Insufficient Data</v>
      </c>
      <c r="Z37" t="str">
        <f>'D-Risk'!$AO$27</f>
        <v>Uncalculated</v>
      </c>
      <c r="AA37">
        <v>36</v>
      </c>
      <c r="AB37" t="str">
        <f>IF(AC37&lt;&gt;".",INDEX('PSL for Lists'!$C$2:$C$211,MATCH('D-3bf Consolidated (Pivot)'!$AC37,'PSL for Lists'!$A$2:$A$211,FALSE),1), ".")</f>
        <v>.</v>
      </c>
      <c r="AC37" t="str">
        <f>IF(ISERROR(Lists!AM37), ".", Lists!AM37)</f>
        <v>.</v>
      </c>
      <c r="AD37" t="str">
        <f>IF($AC37&lt;&gt;".",INDEX('PSL for Lists'!D$2:D$211,MATCH('D-3bf Consolidated (Pivot)'!$AC37,'PSL for Lists'!$A$2:$A$211,FALSE),1), ".")</f>
        <v>.</v>
      </c>
      <c r="AE37" t="str">
        <f>IF($AC37&lt;&gt;".",INDEX('PSL for Lists'!E$2:E$211,MATCH('D-3bf Consolidated (Pivot)'!$AC37,'PSL for Lists'!$A$2:$A$211,FALSE),1), ".")</f>
        <v>.</v>
      </c>
    </row>
    <row r="38" spans="1:31" x14ac:dyDescent="0.25">
      <c r="A38">
        <f t="shared" si="17"/>
        <v>0</v>
      </c>
      <c r="B38">
        <f t="shared" si="18"/>
        <v>0</v>
      </c>
      <c r="C38">
        <f t="shared" si="19"/>
        <v>0</v>
      </c>
      <c r="D38">
        <f t="shared" si="20"/>
        <v>0</v>
      </c>
      <c r="E38">
        <f t="shared" si="21"/>
        <v>0</v>
      </c>
      <c r="F38">
        <f>'D-RepLevel'!$F$2</f>
        <v>0</v>
      </c>
      <c r="G38">
        <f>'D-RepLevel'!$G$2</f>
        <v>0</v>
      </c>
      <c r="H38">
        <f t="shared" si="22"/>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23"/>
        <v>0</v>
      </c>
      <c r="M38">
        <f t="shared" si="24"/>
        <v>0</v>
      </c>
      <c r="N38">
        <f t="shared" si="25"/>
        <v>0</v>
      </c>
      <c r="O38">
        <f t="shared" si="26"/>
        <v>2015</v>
      </c>
      <c r="P38">
        <f t="shared" si="27"/>
        <v>0</v>
      </c>
      <c r="Q38">
        <f t="shared" si="28"/>
        <v>0</v>
      </c>
      <c r="R38">
        <f t="shared" si="29"/>
        <v>0</v>
      </c>
      <c r="S38">
        <f t="shared" si="30"/>
        <v>0</v>
      </c>
      <c r="T38">
        <f>COUNTIF('9a'!$K$22:$K$32, "Yes")+COUNTIF('9a'!$O$22:$O$32, "Yes")</f>
        <v>0</v>
      </c>
      <c r="U38" t="str">
        <f t="shared" si="31"/>
        <v>No Expenditures</v>
      </c>
      <c r="V38" t="str">
        <f t="shared" si="32"/>
        <v>No Expenditures</v>
      </c>
      <c r="W38">
        <f t="shared" si="33"/>
        <v>0</v>
      </c>
      <c r="X38" t="str">
        <f>'D-Risk'!$AO$25</f>
        <v>Insufficient Data</v>
      </c>
      <c r="Y38" t="str">
        <f>'D-Risk'!$AO$26</f>
        <v>Insufficient Data</v>
      </c>
      <c r="Z38" t="str">
        <f>'D-Risk'!$AO$27</f>
        <v>Uncalculated</v>
      </c>
      <c r="AA38">
        <v>37</v>
      </c>
      <c r="AB38" t="str">
        <f>IF(AC38&lt;&gt;".",INDEX('PSL for Lists'!$C$2:$C$211,MATCH('D-3bf Consolidated (Pivot)'!$AC38,'PSL for Lists'!$A$2:$A$211,FALSE),1), ".")</f>
        <v>.</v>
      </c>
      <c r="AC38" t="str">
        <f>IF(ISERROR(Lists!AM38), ".", Lists!AM38)</f>
        <v>.</v>
      </c>
      <c r="AD38" t="str">
        <f>IF($AC38&lt;&gt;".",INDEX('PSL for Lists'!D$2:D$211,MATCH('D-3bf Consolidated (Pivot)'!$AC38,'PSL for Lists'!$A$2:$A$211,FALSE),1), ".")</f>
        <v>.</v>
      </c>
      <c r="AE38" t="str">
        <f>IF($AC38&lt;&gt;".",INDEX('PSL for Lists'!E$2:E$211,MATCH('D-3bf Consolidated (Pivot)'!$AC38,'PSL for Lists'!$A$2:$A$211,FALSE),1), ".")</f>
        <v>.</v>
      </c>
    </row>
    <row r="39" spans="1:31" x14ac:dyDescent="0.25">
      <c r="A39">
        <f t="shared" si="17"/>
        <v>0</v>
      </c>
      <c r="B39">
        <f t="shared" si="18"/>
        <v>0</v>
      </c>
      <c r="C39">
        <f t="shared" si="19"/>
        <v>0</v>
      </c>
      <c r="D39">
        <f t="shared" si="20"/>
        <v>0</v>
      </c>
      <c r="E39">
        <f t="shared" si="21"/>
        <v>0</v>
      </c>
      <c r="F39">
        <f>'D-RepLevel'!$F$2</f>
        <v>0</v>
      </c>
      <c r="G39">
        <f>'D-RepLevel'!$G$2</f>
        <v>0</v>
      </c>
      <c r="H39">
        <f t="shared" si="22"/>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23"/>
        <v>0</v>
      </c>
      <c r="M39">
        <f t="shared" si="24"/>
        <v>0</v>
      </c>
      <c r="N39">
        <f t="shared" si="25"/>
        <v>0</v>
      </c>
      <c r="O39">
        <f t="shared" si="26"/>
        <v>2015</v>
      </c>
      <c r="P39">
        <f t="shared" si="27"/>
        <v>0</v>
      </c>
      <c r="Q39">
        <f t="shared" si="28"/>
        <v>0</v>
      </c>
      <c r="R39">
        <f t="shared" si="29"/>
        <v>0</v>
      </c>
      <c r="S39">
        <f t="shared" si="30"/>
        <v>0</v>
      </c>
      <c r="T39">
        <f>COUNTIF('9a'!$K$22:$K$32, "Yes")+COUNTIF('9a'!$O$22:$O$32, "Yes")</f>
        <v>0</v>
      </c>
      <c r="U39" t="str">
        <f t="shared" si="31"/>
        <v>No Expenditures</v>
      </c>
      <c r="V39" t="str">
        <f t="shared" si="32"/>
        <v>No Expenditures</v>
      </c>
      <c r="W39">
        <f t="shared" si="33"/>
        <v>0</v>
      </c>
      <c r="X39" t="str">
        <f>'D-Risk'!$AO$25</f>
        <v>Insufficient Data</v>
      </c>
      <c r="Y39" t="str">
        <f>'D-Risk'!$AO$26</f>
        <v>Insufficient Data</v>
      </c>
      <c r="Z39" t="str">
        <f>'D-Risk'!$AO$27</f>
        <v>Uncalculated</v>
      </c>
      <c r="AA39">
        <v>38</v>
      </c>
      <c r="AB39" t="str">
        <f>IF(AC39&lt;&gt;".",INDEX('PSL for Lists'!$C$2:$C$211,MATCH('D-3bf Consolidated (Pivot)'!$AC39,'PSL for Lists'!$A$2:$A$211,FALSE),1), ".")</f>
        <v>.</v>
      </c>
      <c r="AC39" t="str">
        <f>IF(ISERROR(Lists!AM39), ".", Lists!AM39)</f>
        <v>.</v>
      </c>
      <c r="AD39" t="str">
        <f>IF($AC39&lt;&gt;".",INDEX('PSL for Lists'!D$2:D$211,MATCH('D-3bf Consolidated (Pivot)'!$AC39,'PSL for Lists'!$A$2:$A$211,FALSE),1), ".")</f>
        <v>.</v>
      </c>
      <c r="AE39" t="str">
        <f>IF($AC39&lt;&gt;".",INDEX('PSL for Lists'!E$2:E$211,MATCH('D-3bf Consolidated (Pivot)'!$AC39,'PSL for Lists'!$A$2:$A$211,FALSE),1), ".")</f>
        <v>.</v>
      </c>
    </row>
    <row r="40" spans="1:31" x14ac:dyDescent="0.25">
      <c r="A40">
        <f t="shared" si="17"/>
        <v>0</v>
      </c>
      <c r="B40">
        <f t="shared" si="18"/>
        <v>0</v>
      </c>
      <c r="C40">
        <f t="shared" si="19"/>
        <v>0</v>
      </c>
      <c r="D40">
        <f t="shared" si="20"/>
        <v>0</v>
      </c>
      <c r="E40">
        <f t="shared" si="21"/>
        <v>0</v>
      </c>
      <c r="F40">
        <f>'D-RepLevel'!$F$2</f>
        <v>0</v>
      </c>
      <c r="G40">
        <f>'D-RepLevel'!$G$2</f>
        <v>0</v>
      </c>
      <c r="H40">
        <f t="shared" si="22"/>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23"/>
        <v>0</v>
      </c>
      <c r="M40">
        <f t="shared" si="24"/>
        <v>0</v>
      </c>
      <c r="N40">
        <f t="shared" si="25"/>
        <v>0</v>
      </c>
      <c r="O40">
        <f t="shared" si="26"/>
        <v>2015</v>
      </c>
      <c r="P40">
        <f t="shared" si="27"/>
        <v>0</v>
      </c>
      <c r="Q40">
        <f t="shared" si="28"/>
        <v>0</v>
      </c>
      <c r="R40">
        <f t="shared" si="29"/>
        <v>0</v>
      </c>
      <c r="S40">
        <f t="shared" si="30"/>
        <v>0</v>
      </c>
      <c r="T40">
        <f>COUNTIF('9a'!$K$22:$K$32, "Yes")+COUNTIF('9a'!$O$22:$O$32, "Yes")</f>
        <v>0</v>
      </c>
      <c r="U40" t="str">
        <f t="shared" si="31"/>
        <v>No Expenditures</v>
      </c>
      <c r="V40" t="str">
        <f t="shared" si="32"/>
        <v>No Expenditures</v>
      </c>
      <c r="W40">
        <f t="shared" si="33"/>
        <v>0</v>
      </c>
      <c r="X40" t="str">
        <f>'D-Risk'!$AO$25</f>
        <v>Insufficient Data</v>
      </c>
      <c r="Y40" t="str">
        <f>'D-Risk'!$AO$26</f>
        <v>Insufficient Data</v>
      </c>
      <c r="Z40" t="str">
        <f>'D-Risk'!$AO$27</f>
        <v>Uncalculated</v>
      </c>
      <c r="AA40">
        <v>39</v>
      </c>
      <c r="AB40" t="str">
        <f>IF(AC40&lt;&gt;".",INDEX('PSL for Lists'!$C$2:$C$211,MATCH('D-3bf Consolidated (Pivot)'!$AC40,'PSL for Lists'!$A$2:$A$211,FALSE),1), ".")</f>
        <v>.</v>
      </c>
      <c r="AC40" t="str">
        <f>IF(ISERROR(Lists!AM40), ".", Lists!AM40)</f>
        <v>.</v>
      </c>
      <c r="AD40" t="str">
        <f>IF($AC40&lt;&gt;".",INDEX('PSL for Lists'!D$2:D$211,MATCH('D-3bf Consolidated (Pivot)'!$AC40,'PSL for Lists'!$A$2:$A$211,FALSE),1), ".")</f>
        <v>.</v>
      </c>
      <c r="AE40" t="str">
        <f>IF($AC40&lt;&gt;".",INDEX('PSL for Lists'!E$2:E$211,MATCH('D-3bf Consolidated (Pivot)'!$AC40,'PSL for Lists'!$A$2:$A$211,FALSE),1), ".")</f>
        <v>.</v>
      </c>
    </row>
    <row r="41" spans="1:31" x14ac:dyDescent="0.25">
      <c r="A41">
        <f t="shared" si="17"/>
        <v>0</v>
      </c>
      <c r="B41">
        <f t="shared" si="18"/>
        <v>0</v>
      </c>
      <c r="C41">
        <f t="shared" si="19"/>
        <v>0</v>
      </c>
      <c r="D41">
        <f t="shared" si="20"/>
        <v>0</v>
      </c>
      <c r="E41">
        <f t="shared" si="21"/>
        <v>0</v>
      </c>
      <c r="F41">
        <f>'D-RepLevel'!$F$2</f>
        <v>0</v>
      </c>
      <c r="G41">
        <f>'D-RepLevel'!$G$2</f>
        <v>0</v>
      </c>
      <c r="H41">
        <f t="shared" si="22"/>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23"/>
        <v>0</v>
      </c>
      <c r="M41">
        <f t="shared" si="24"/>
        <v>0</v>
      </c>
      <c r="N41">
        <f t="shared" si="25"/>
        <v>0</v>
      </c>
      <c r="O41">
        <f t="shared" si="26"/>
        <v>2015</v>
      </c>
      <c r="P41">
        <f t="shared" si="27"/>
        <v>0</v>
      </c>
      <c r="Q41">
        <f t="shared" si="28"/>
        <v>0</v>
      </c>
      <c r="R41">
        <f t="shared" si="29"/>
        <v>0</v>
      </c>
      <c r="S41">
        <f t="shared" si="30"/>
        <v>0</v>
      </c>
      <c r="T41">
        <f>COUNTIF('9a'!$K$22:$K$32, "Yes")+COUNTIF('9a'!$O$22:$O$32, "Yes")</f>
        <v>0</v>
      </c>
      <c r="U41" t="str">
        <f t="shared" si="31"/>
        <v>No Expenditures</v>
      </c>
      <c r="V41" t="str">
        <f t="shared" si="32"/>
        <v>No Expenditures</v>
      </c>
      <c r="W41">
        <f t="shared" si="33"/>
        <v>0</v>
      </c>
      <c r="X41" t="str">
        <f>'D-Risk'!$AO$25</f>
        <v>Insufficient Data</v>
      </c>
      <c r="Y41" t="str">
        <f>'D-Risk'!$AO$26</f>
        <v>Insufficient Data</v>
      </c>
      <c r="Z41" t="str">
        <f>'D-Risk'!$AO$27</f>
        <v>Uncalculated</v>
      </c>
      <c r="AA41">
        <v>40</v>
      </c>
      <c r="AB41" t="str">
        <f>IF(AC41&lt;&gt;".",INDEX('PSL for Lists'!$C$2:$C$211,MATCH('D-3bf Consolidated (Pivot)'!$AC41,'PSL for Lists'!$A$2:$A$211,FALSE),1), ".")</f>
        <v>.</v>
      </c>
      <c r="AC41" t="str">
        <f>IF(ISERROR(Lists!AM41), ".", Lists!AM41)</f>
        <v>.</v>
      </c>
      <c r="AD41" t="str">
        <f>IF($AC41&lt;&gt;".",INDEX('PSL for Lists'!D$2:D$211,MATCH('D-3bf Consolidated (Pivot)'!$AC41,'PSL for Lists'!$A$2:$A$211,FALSE),1), ".")</f>
        <v>.</v>
      </c>
      <c r="AE41" t="str">
        <f>IF($AC41&lt;&gt;".",INDEX('PSL for Lists'!E$2:E$211,MATCH('D-3bf Consolidated (Pivot)'!$AC41,'PSL for Lists'!$A$2:$A$211,FALSE),1), ".")</f>
        <v>.</v>
      </c>
    </row>
    <row r="42" spans="1:31" x14ac:dyDescent="0.25">
      <c r="A42">
        <f t="shared" si="17"/>
        <v>0</v>
      </c>
      <c r="B42">
        <f t="shared" si="18"/>
        <v>0</v>
      </c>
      <c r="C42">
        <f t="shared" si="19"/>
        <v>0</v>
      </c>
      <c r="D42">
        <f t="shared" si="20"/>
        <v>0</v>
      </c>
      <c r="E42">
        <f t="shared" si="21"/>
        <v>0</v>
      </c>
      <c r="F42">
        <f>'D-RepLevel'!$F$2</f>
        <v>0</v>
      </c>
      <c r="G42">
        <f>'D-RepLevel'!$G$2</f>
        <v>0</v>
      </c>
      <c r="H42">
        <f t="shared" si="22"/>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23"/>
        <v>0</v>
      </c>
      <c r="M42">
        <f t="shared" si="24"/>
        <v>0</v>
      </c>
      <c r="N42">
        <f t="shared" si="25"/>
        <v>0</v>
      </c>
      <c r="O42">
        <f t="shared" si="26"/>
        <v>2015</v>
      </c>
      <c r="P42">
        <f t="shared" si="27"/>
        <v>0</v>
      </c>
      <c r="Q42">
        <f t="shared" si="28"/>
        <v>0</v>
      </c>
      <c r="R42">
        <f t="shared" si="29"/>
        <v>0</v>
      </c>
      <c r="S42">
        <f t="shared" si="30"/>
        <v>0</v>
      </c>
      <c r="T42">
        <f>COUNTIF('9a'!$K$22:$K$32, "Yes")+COUNTIF('9a'!$O$22:$O$32, "Yes")</f>
        <v>0</v>
      </c>
      <c r="U42" t="str">
        <f t="shared" si="31"/>
        <v>No Expenditures</v>
      </c>
      <c r="V42" t="str">
        <f t="shared" si="32"/>
        <v>No Expenditures</v>
      </c>
      <c r="W42">
        <f t="shared" si="33"/>
        <v>0</v>
      </c>
      <c r="X42" t="str">
        <f>'D-Risk'!$AO$25</f>
        <v>Insufficient Data</v>
      </c>
      <c r="Y42" t="str">
        <f>'D-Risk'!$AO$26</f>
        <v>Insufficient Data</v>
      </c>
      <c r="Z42" t="str">
        <f>'D-Risk'!$AO$27</f>
        <v>Uncalculated</v>
      </c>
      <c r="AA42">
        <v>41</v>
      </c>
      <c r="AB42" t="str">
        <f>IF(AC42&lt;&gt;".",INDEX('PSL for Lists'!$C$2:$C$211,MATCH('D-3bf Consolidated (Pivot)'!$AC42,'PSL for Lists'!$A$2:$A$211,FALSE),1), ".")</f>
        <v>.</v>
      </c>
      <c r="AC42" t="str">
        <f>IF(ISERROR(Lists!AM42), ".", Lists!AM42)</f>
        <v>.</v>
      </c>
      <c r="AD42" t="str">
        <f>IF($AC42&lt;&gt;".",INDEX('PSL for Lists'!D$2:D$211,MATCH('D-3bf Consolidated (Pivot)'!$AC42,'PSL for Lists'!$A$2:$A$211,FALSE),1), ".")</f>
        <v>.</v>
      </c>
      <c r="AE42" t="str">
        <f>IF($AC42&lt;&gt;".",INDEX('PSL for Lists'!E$2:E$211,MATCH('D-3bf Consolidated (Pivot)'!$AC42,'PSL for Lists'!$A$2:$A$211,FALSE),1), ".")</f>
        <v>.</v>
      </c>
    </row>
    <row r="43" spans="1:31" x14ac:dyDescent="0.25">
      <c r="A43">
        <f t="shared" si="17"/>
        <v>0</v>
      </c>
      <c r="B43">
        <f t="shared" si="18"/>
        <v>0</v>
      </c>
      <c r="C43">
        <f t="shared" si="19"/>
        <v>0</v>
      </c>
      <c r="D43">
        <f t="shared" si="20"/>
        <v>0</v>
      </c>
      <c r="E43">
        <f t="shared" si="21"/>
        <v>0</v>
      </c>
      <c r="F43">
        <f>'D-RepLevel'!$F$2</f>
        <v>0</v>
      </c>
      <c r="G43">
        <f>'D-RepLevel'!$G$2</f>
        <v>0</v>
      </c>
      <c r="H43">
        <f t="shared" si="22"/>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23"/>
        <v>0</v>
      </c>
      <c r="M43">
        <f t="shared" si="24"/>
        <v>0</v>
      </c>
      <c r="N43">
        <f t="shared" si="25"/>
        <v>0</v>
      </c>
      <c r="O43">
        <f t="shared" si="26"/>
        <v>2015</v>
      </c>
      <c r="P43">
        <f t="shared" si="27"/>
        <v>0</v>
      </c>
      <c r="Q43">
        <f t="shared" si="28"/>
        <v>0</v>
      </c>
      <c r="R43">
        <f t="shared" si="29"/>
        <v>0</v>
      </c>
      <c r="S43">
        <f t="shared" si="30"/>
        <v>0</v>
      </c>
      <c r="T43">
        <f>COUNTIF('9a'!$K$22:$K$32, "Yes")+COUNTIF('9a'!$O$22:$O$32, "Yes")</f>
        <v>0</v>
      </c>
      <c r="U43" t="str">
        <f t="shared" si="31"/>
        <v>No Expenditures</v>
      </c>
      <c r="V43" t="str">
        <f t="shared" si="32"/>
        <v>No Expenditures</v>
      </c>
      <c r="W43">
        <f t="shared" si="33"/>
        <v>0</v>
      </c>
      <c r="X43" t="str">
        <f>'D-Risk'!$AO$25</f>
        <v>Insufficient Data</v>
      </c>
      <c r="Y43" t="str">
        <f>'D-Risk'!$AO$26</f>
        <v>Insufficient Data</v>
      </c>
      <c r="Z43" t="str">
        <f>'D-Risk'!$AO$27</f>
        <v>Uncalculated</v>
      </c>
      <c r="AA43">
        <v>42</v>
      </c>
      <c r="AB43" t="str">
        <f>IF(AC43&lt;&gt;".",INDEX('PSL for Lists'!$C$2:$C$211,MATCH('D-3bf Consolidated (Pivot)'!$AC43,'PSL for Lists'!$A$2:$A$211,FALSE),1), ".")</f>
        <v>.</v>
      </c>
      <c r="AC43" t="str">
        <f>IF(ISERROR(Lists!AM43), ".", Lists!AM43)</f>
        <v>.</v>
      </c>
      <c r="AD43" t="str">
        <f>IF($AC43&lt;&gt;".",INDEX('PSL for Lists'!D$2:D$211,MATCH('D-3bf Consolidated (Pivot)'!$AC43,'PSL for Lists'!$A$2:$A$211,FALSE),1), ".")</f>
        <v>.</v>
      </c>
      <c r="AE43" t="str">
        <f>IF($AC43&lt;&gt;".",INDEX('PSL for Lists'!E$2:E$211,MATCH('D-3bf Consolidated (Pivot)'!$AC43,'PSL for Lists'!$A$2:$A$211,FALSE),1), ".")</f>
        <v>.</v>
      </c>
    </row>
    <row r="44" spans="1:31" x14ac:dyDescent="0.25">
      <c r="A44">
        <f t="shared" si="17"/>
        <v>0</v>
      </c>
      <c r="B44">
        <f t="shared" si="18"/>
        <v>0</v>
      </c>
      <c r="C44">
        <f t="shared" si="19"/>
        <v>0</v>
      </c>
      <c r="D44">
        <f t="shared" si="20"/>
        <v>0</v>
      </c>
      <c r="E44">
        <f t="shared" si="21"/>
        <v>0</v>
      </c>
      <c r="F44">
        <f>'D-RepLevel'!$F$2</f>
        <v>0</v>
      </c>
      <c r="G44">
        <f>'D-RepLevel'!$G$2</f>
        <v>0</v>
      </c>
      <c r="H44">
        <f t="shared" si="22"/>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23"/>
        <v>0</v>
      </c>
      <c r="M44">
        <f t="shared" si="24"/>
        <v>0</v>
      </c>
      <c r="N44">
        <f t="shared" si="25"/>
        <v>0</v>
      </c>
      <c r="O44">
        <f t="shared" si="26"/>
        <v>2015</v>
      </c>
      <c r="P44">
        <f t="shared" si="27"/>
        <v>0</v>
      </c>
      <c r="Q44">
        <f t="shared" si="28"/>
        <v>0</v>
      </c>
      <c r="R44">
        <f t="shared" si="29"/>
        <v>0</v>
      </c>
      <c r="S44">
        <f t="shared" si="30"/>
        <v>0</v>
      </c>
      <c r="T44">
        <f>COUNTIF('9a'!$K$22:$K$32, "Yes")+COUNTIF('9a'!$O$22:$O$32, "Yes")</f>
        <v>0</v>
      </c>
      <c r="U44" t="str">
        <f t="shared" si="31"/>
        <v>No Expenditures</v>
      </c>
      <c r="V44" t="str">
        <f t="shared" si="32"/>
        <v>No Expenditures</v>
      </c>
      <c r="W44">
        <f t="shared" si="33"/>
        <v>0</v>
      </c>
      <c r="X44" t="str">
        <f>'D-Risk'!$AO$25</f>
        <v>Insufficient Data</v>
      </c>
      <c r="Y44" t="str">
        <f>'D-Risk'!$AO$26</f>
        <v>Insufficient Data</v>
      </c>
      <c r="Z44" t="str">
        <f>'D-Risk'!$AO$27</f>
        <v>Uncalculated</v>
      </c>
      <c r="AA44">
        <v>43</v>
      </c>
      <c r="AB44" t="str">
        <f>IF(AC44&lt;&gt;".",INDEX('PSL for Lists'!$C$2:$C$211,MATCH('D-3bf Consolidated (Pivot)'!$AC44,'PSL for Lists'!$A$2:$A$211,FALSE),1), ".")</f>
        <v>.</v>
      </c>
      <c r="AC44" t="str">
        <f>IF(ISERROR(Lists!AM44), ".", Lists!AM44)</f>
        <v>.</v>
      </c>
      <c r="AD44" t="str">
        <f>IF($AC44&lt;&gt;".",INDEX('PSL for Lists'!D$2:D$211,MATCH('D-3bf Consolidated (Pivot)'!$AC44,'PSL for Lists'!$A$2:$A$211,FALSE),1), ".")</f>
        <v>.</v>
      </c>
      <c r="AE44" t="str">
        <f>IF($AC44&lt;&gt;".",INDEX('PSL for Lists'!E$2:E$211,MATCH('D-3bf Consolidated (Pivot)'!$AC44,'PSL for Lists'!$A$2:$A$211,FALSE),1), ".")</f>
        <v>.</v>
      </c>
    </row>
    <row r="45" spans="1:31" x14ac:dyDescent="0.25">
      <c r="A45">
        <f t="shared" si="17"/>
        <v>0</v>
      </c>
      <c r="B45">
        <f t="shared" si="18"/>
        <v>0</v>
      </c>
      <c r="C45">
        <f t="shared" si="19"/>
        <v>0</v>
      </c>
      <c r="D45">
        <f t="shared" si="20"/>
        <v>0</v>
      </c>
      <c r="E45">
        <f t="shared" si="21"/>
        <v>0</v>
      </c>
      <c r="F45">
        <f>'D-RepLevel'!$F$2</f>
        <v>0</v>
      </c>
      <c r="G45">
        <f>'D-RepLevel'!$G$2</f>
        <v>0</v>
      </c>
      <c r="H45">
        <f t="shared" si="22"/>
        <v>0</v>
      </c>
      <c r="I45" t="str">
        <f>IF(ISERROR(INDEX('1b'!$C$5:$C$21, MATCH("Primary Business Line", '1b'!$H$5:$H$21, FALSE), 1)), "None Selected", INDEX('1b'!$C$5:$C$21, MATCH("Primary Business Line", '1b'!$H$5:$H$21, FALSE), 1))</f>
        <v>None Selected</v>
      </c>
      <c r="J45">
        <f>'D-3'!$J$2</f>
        <v>0</v>
      </c>
      <c r="K45">
        <f>COUNTIF('4a'!$E$6:$E$29, "Direct")+COUNTIF('4a'!$E$6:$E$29, "Indirect")+COUNTIF('4a'!$E$6:$E$29, "Both")</f>
        <v>0</v>
      </c>
      <c r="L45">
        <f t="shared" si="23"/>
        <v>0</v>
      </c>
      <c r="M45">
        <f t="shared" si="24"/>
        <v>0</v>
      </c>
      <c r="N45">
        <f t="shared" si="25"/>
        <v>0</v>
      </c>
      <c r="O45">
        <f t="shared" si="26"/>
        <v>2015</v>
      </c>
      <c r="P45">
        <f t="shared" si="27"/>
        <v>0</v>
      </c>
      <c r="Q45">
        <f t="shared" si="28"/>
        <v>0</v>
      </c>
      <c r="R45">
        <f t="shared" si="29"/>
        <v>0</v>
      </c>
      <c r="S45">
        <f t="shared" si="30"/>
        <v>0</v>
      </c>
      <c r="T45">
        <f>COUNTIF('9a'!$K$22:$K$32, "Yes")+COUNTIF('9a'!$O$22:$O$32, "Yes")</f>
        <v>0</v>
      </c>
      <c r="U45" t="str">
        <f t="shared" si="31"/>
        <v>No Expenditures</v>
      </c>
      <c r="V45" t="str">
        <f t="shared" si="32"/>
        <v>No Expenditures</v>
      </c>
      <c r="W45">
        <f t="shared" si="33"/>
        <v>0</v>
      </c>
      <c r="X45" t="str">
        <f>'D-Risk'!$AO$25</f>
        <v>Insufficient Data</v>
      </c>
      <c r="Y45" t="str">
        <f>'D-Risk'!$AO$26</f>
        <v>Insufficient Data</v>
      </c>
      <c r="Z45" t="str">
        <f>'D-Risk'!$AO$27</f>
        <v>Uncalculated</v>
      </c>
      <c r="AA45">
        <v>44</v>
      </c>
      <c r="AB45" t="str">
        <f>IF(AC45&lt;&gt;".",INDEX('PSL for Lists'!$C$2:$C$211,MATCH('D-3bf Consolidated (Pivot)'!$AC45,'PSL for Lists'!$A$2:$A$211,FALSE),1), ".")</f>
        <v>.</v>
      </c>
      <c r="AC45" t="str">
        <f>IF(ISERROR(Lists!AM45), ".", Lists!AM45)</f>
        <v>.</v>
      </c>
      <c r="AD45" t="str">
        <f>IF($AC45&lt;&gt;".",INDEX('PSL for Lists'!D$2:D$211,MATCH('D-3bf Consolidated (Pivot)'!$AC45,'PSL for Lists'!$A$2:$A$211,FALSE),1), ".")</f>
        <v>.</v>
      </c>
      <c r="AE45" t="str">
        <f>IF($AC45&lt;&gt;".",INDEX('PSL for Lists'!E$2:E$211,MATCH('D-3bf Consolidated (Pivot)'!$AC45,'PSL for Lists'!$A$2:$A$211,FALSE),1), ".")</f>
        <v>.</v>
      </c>
    </row>
    <row r="46" spans="1:31" x14ac:dyDescent="0.25">
      <c r="A46">
        <f t="shared" si="17"/>
        <v>0</v>
      </c>
      <c r="B46">
        <f t="shared" si="18"/>
        <v>0</v>
      </c>
      <c r="C46">
        <f t="shared" si="19"/>
        <v>0</v>
      </c>
      <c r="D46">
        <f t="shared" si="20"/>
        <v>0</v>
      </c>
      <c r="E46">
        <f t="shared" si="21"/>
        <v>0</v>
      </c>
      <c r="F46">
        <f>'D-RepLevel'!$F$2</f>
        <v>0</v>
      </c>
      <c r="G46">
        <f>'D-RepLevel'!$G$2</f>
        <v>0</v>
      </c>
      <c r="H46">
        <f t="shared" si="22"/>
        <v>0</v>
      </c>
      <c r="I46" t="str">
        <f>IF(ISERROR(INDEX('1b'!$C$5:$C$21, MATCH("Primary Business Line", '1b'!$H$5:$H$21, FALSE), 1)), "None Selected", INDEX('1b'!$C$5:$C$21, MATCH("Primary Business Line", '1b'!$H$5:$H$21, FALSE), 1))</f>
        <v>None Selected</v>
      </c>
      <c r="J46">
        <f>'D-3'!$J$2</f>
        <v>0</v>
      </c>
      <c r="K46">
        <f>COUNTIF('4a'!$E$6:$E$29, "Direct")+COUNTIF('4a'!$E$6:$E$29, "Indirect")+COUNTIF('4a'!$E$6:$E$29, "Both")</f>
        <v>0</v>
      </c>
      <c r="L46">
        <f t="shared" si="23"/>
        <v>0</v>
      </c>
      <c r="M46">
        <f t="shared" si="24"/>
        <v>0</v>
      </c>
      <c r="N46">
        <f t="shared" si="25"/>
        <v>0</v>
      </c>
      <c r="O46">
        <f t="shared" si="26"/>
        <v>2015</v>
      </c>
      <c r="P46">
        <f t="shared" si="27"/>
        <v>0</v>
      </c>
      <c r="Q46">
        <f t="shared" si="28"/>
        <v>0</v>
      </c>
      <c r="R46">
        <f t="shared" si="29"/>
        <v>0</v>
      </c>
      <c r="S46">
        <f t="shared" si="30"/>
        <v>0</v>
      </c>
      <c r="T46">
        <f>COUNTIF('9a'!$K$22:$K$32, "Yes")+COUNTIF('9a'!$O$22:$O$32, "Yes")</f>
        <v>0</v>
      </c>
      <c r="U46" t="str">
        <f t="shared" si="31"/>
        <v>No Expenditures</v>
      </c>
      <c r="V46" t="str">
        <f t="shared" si="32"/>
        <v>No Expenditures</v>
      </c>
      <c r="W46">
        <f t="shared" si="33"/>
        <v>0</v>
      </c>
      <c r="X46" t="str">
        <f>'D-Risk'!$AO$25</f>
        <v>Insufficient Data</v>
      </c>
      <c r="Y46" t="str">
        <f>'D-Risk'!$AO$26</f>
        <v>Insufficient Data</v>
      </c>
      <c r="Z46" t="str">
        <f>'D-Risk'!$AO$27</f>
        <v>Uncalculated</v>
      </c>
      <c r="AA46">
        <v>45</v>
      </c>
      <c r="AB46" t="str">
        <f>IF(AC46&lt;&gt;".",INDEX('PSL for Lists'!$C$2:$C$211,MATCH('D-3bf Consolidated (Pivot)'!$AC46,'PSL for Lists'!$A$2:$A$211,FALSE),1), ".")</f>
        <v>.</v>
      </c>
      <c r="AC46" t="str">
        <f>IF(ISERROR(Lists!AM46), ".", Lists!AM46)</f>
        <v>.</v>
      </c>
      <c r="AD46" t="str">
        <f>IF($AC46&lt;&gt;".",INDEX('PSL for Lists'!D$2:D$211,MATCH('D-3bf Consolidated (Pivot)'!$AC46,'PSL for Lists'!$A$2:$A$211,FALSE),1), ".")</f>
        <v>.</v>
      </c>
      <c r="AE46" t="str">
        <f>IF($AC46&lt;&gt;".",INDEX('PSL for Lists'!E$2:E$211,MATCH('D-3bf Consolidated (Pivot)'!$AC46,'PSL for Lists'!$A$2:$A$211,FALSE),1), ".")</f>
        <v>.</v>
      </c>
    </row>
    <row r="47" spans="1:31" x14ac:dyDescent="0.25">
      <c r="A47">
        <f t="shared" si="17"/>
        <v>0</v>
      </c>
      <c r="B47">
        <f t="shared" si="18"/>
        <v>0</v>
      </c>
      <c r="C47">
        <f t="shared" si="19"/>
        <v>0</v>
      </c>
      <c r="D47">
        <f t="shared" si="20"/>
        <v>0</v>
      </c>
      <c r="E47">
        <f t="shared" si="21"/>
        <v>0</v>
      </c>
      <c r="F47">
        <f>'D-RepLevel'!$F$2</f>
        <v>0</v>
      </c>
      <c r="G47">
        <f>'D-RepLevel'!$G$2</f>
        <v>0</v>
      </c>
      <c r="H47">
        <f t="shared" si="22"/>
        <v>0</v>
      </c>
      <c r="I47" t="str">
        <f>IF(ISERROR(INDEX('1b'!$C$5:$C$21, MATCH("Primary Business Line", '1b'!$H$5:$H$21, FALSE), 1)), "None Selected", INDEX('1b'!$C$5:$C$21, MATCH("Primary Business Line", '1b'!$H$5:$H$21, FALSE), 1))</f>
        <v>None Selected</v>
      </c>
      <c r="J47">
        <f>'D-3'!$J$2</f>
        <v>0</v>
      </c>
      <c r="K47">
        <f>COUNTIF('4a'!$E$6:$E$29, "Direct")+COUNTIF('4a'!$E$6:$E$29, "Indirect")+COUNTIF('4a'!$E$6:$E$29, "Both")</f>
        <v>0</v>
      </c>
      <c r="L47">
        <f t="shared" si="23"/>
        <v>0</v>
      </c>
      <c r="M47">
        <f t="shared" si="24"/>
        <v>0</v>
      </c>
      <c r="N47">
        <f t="shared" si="25"/>
        <v>0</v>
      </c>
      <c r="O47">
        <f t="shared" si="26"/>
        <v>2015</v>
      </c>
      <c r="P47">
        <f t="shared" si="27"/>
        <v>0</v>
      </c>
      <c r="Q47">
        <f t="shared" si="28"/>
        <v>0</v>
      </c>
      <c r="R47">
        <f t="shared" si="29"/>
        <v>0</v>
      </c>
      <c r="S47">
        <f t="shared" si="30"/>
        <v>0</v>
      </c>
      <c r="T47">
        <f>COUNTIF('9a'!$K$22:$K$32, "Yes")+COUNTIF('9a'!$O$22:$O$32, "Yes")</f>
        <v>0</v>
      </c>
      <c r="U47" t="str">
        <f t="shared" si="31"/>
        <v>No Expenditures</v>
      </c>
      <c r="V47" t="str">
        <f t="shared" si="32"/>
        <v>No Expenditures</v>
      </c>
      <c r="W47">
        <f t="shared" si="33"/>
        <v>0</v>
      </c>
      <c r="X47" t="str">
        <f>'D-Risk'!$AO$25</f>
        <v>Insufficient Data</v>
      </c>
      <c r="Y47" t="str">
        <f>'D-Risk'!$AO$26</f>
        <v>Insufficient Data</v>
      </c>
      <c r="Z47" t="str">
        <f>'D-Risk'!$AO$27</f>
        <v>Uncalculated</v>
      </c>
      <c r="AA47">
        <v>46</v>
      </c>
      <c r="AB47" t="str">
        <f>IF(AC47&lt;&gt;".",INDEX('PSL for Lists'!$C$2:$C$211,MATCH('D-3bf Consolidated (Pivot)'!$AC47,'PSL for Lists'!$A$2:$A$211,FALSE),1), ".")</f>
        <v>.</v>
      </c>
      <c r="AC47" t="str">
        <f>IF(ISERROR(Lists!AM47), ".", Lists!AM47)</f>
        <v>.</v>
      </c>
      <c r="AD47" t="str">
        <f>IF($AC47&lt;&gt;".",INDEX('PSL for Lists'!D$2:D$211,MATCH('D-3bf Consolidated (Pivot)'!$AC47,'PSL for Lists'!$A$2:$A$211,FALSE),1), ".")</f>
        <v>.</v>
      </c>
      <c r="AE47" t="str">
        <f>IF($AC47&lt;&gt;".",INDEX('PSL for Lists'!E$2:E$211,MATCH('D-3bf Consolidated (Pivot)'!$AC47,'PSL for Lists'!$A$2:$A$211,FALSE),1), ".")</f>
        <v>.</v>
      </c>
    </row>
    <row r="48" spans="1:31" x14ac:dyDescent="0.25">
      <c r="A48">
        <f t="shared" si="17"/>
        <v>0</v>
      </c>
      <c r="B48">
        <f t="shared" si="18"/>
        <v>0</v>
      </c>
      <c r="C48">
        <f t="shared" si="19"/>
        <v>0</v>
      </c>
      <c r="D48">
        <f t="shared" si="20"/>
        <v>0</v>
      </c>
      <c r="E48">
        <f t="shared" si="21"/>
        <v>0</v>
      </c>
      <c r="F48">
        <f>'D-RepLevel'!$F$2</f>
        <v>0</v>
      </c>
      <c r="G48">
        <f>'D-RepLevel'!$G$2</f>
        <v>0</v>
      </c>
      <c r="H48">
        <f t="shared" si="22"/>
        <v>0</v>
      </c>
      <c r="I48" t="str">
        <f>IF(ISERROR(INDEX('1b'!$C$5:$C$21, MATCH("Primary Business Line", '1b'!$H$5:$H$21, FALSE), 1)), "None Selected", INDEX('1b'!$C$5:$C$21, MATCH("Primary Business Line", '1b'!$H$5:$H$21, FALSE), 1))</f>
        <v>None Selected</v>
      </c>
      <c r="J48">
        <f>'D-3'!$J$2</f>
        <v>0</v>
      </c>
      <c r="K48">
        <f>COUNTIF('4a'!$E$6:$E$29, "Direct")+COUNTIF('4a'!$E$6:$E$29, "Indirect")+COUNTIF('4a'!$E$6:$E$29, "Both")</f>
        <v>0</v>
      </c>
      <c r="L48">
        <f t="shared" si="23"/>
        <v>0</v>
      </c>
      <c r="M48">
        <f t="shared" si="24"/>
        <v>0</v>
      </c>
      <c r="N48">
        <f t="shared" si="25"/>
        <v>0</v>
      </c>
      <c r="O48">
        <f t="shared" si="26"/>
        <v>2015</v>
      </c>
      <c r="P48">
        <f t="shared" si="27"/>
        <v>0</v>
      </c>
      <c r="Q48">
        <f t="shared" si="28"/>
        <v>0</v>
      </c>
      <c r="R48">
        <f t="shared" si="29"/>
        <v>0</v>
      </c>
      <c r="S48">
        <f t="shared" si="30"/>
        <v>0</v>
      </c>
      <c r="T48">
        <f>COUNTIF('9a'!$K$22:$K$32, "Yes")+COUNTIF('9a'!$O$22:$O$32, "Yes")</f>
        <v>0</v>
      </c>
      <c r="U48" t="str">
        <f t="shared" si="31"/>
        <v>No Expenditures</v>
      </c>
      <c r="V48" t="str">
        <f t="shared" si="32"/>
        <v>No Expenditures</v>
      </c>
      <c r="W48">
        <f t="shared" si="33"/>
        <v>0</v>
      </c>
      <c r="X48" t="str">
        <f>'D-Risk'!$AO$25</f>
        <v>Insufficient Data</v>
      </c>
      <c r="Y48" t="str">
        <f>'D-Risk'!$AO$26</f>
        <v>Insufficient Data</v>
      </c>
      <c r="Z48" t="str">
        <f>'D-Risk'!$AO$27</f>
        <v>Uncalculated</v>
      </c>
      <c r="AA48">
        <v>47</v>
      </c>
      <c r="AB48" t="str">
        <f>IF(AC48&lt;&gt;".",INDEX('PSL for Lists'!$C$2:$C$211,MATCH('D-3bf Consolidated (Pivot)'!$AC48,'PSL for Lists'!$A$2:$A$211,FALSE),1), ".")</f>
        <v>.</v>
      </c>
      <c r="AC48" t="str">
        <f>IF(ISERROR(Lists!AM48), ".", Lists!AM48)</f>
        <v>.</v>
      </c>
      <c r="AD48" t="str">
        <f>IF($AC48&lt;&gt;".",INDEX('PSL for Lists'!D$2:D$211,MATCH('D-3bf Consolidated (Pivot)'!$AC48,'PSL for Lists'!$A$2:$A$211,FALSE),1), ".")</f>
        <v>.</v>
      </c>
      <c r="AE48" t="str">
        <f>IF($AC48&lt;&gt;".",INDEX('PSL for Lists'!E$2:E$211,MATCH('D-3bf Consolidated (Pivot)'!$AC48,'PSL for Lists'!$A$2:$A$211,FALSE),1), ".")</f>
        <v>.</v>
      </c>
    </row>
    <row r="49" spans="1:31" x14ac:dyDescent="0.25">
      <c r="A49">
        <f t="shared" si="17"/>
        <v>0</v>
      </c>
      <c r="B49">
        <f t="shared" si="18"/>
        <v>0</v>
      </c>
      <c r="C49">
        <f t="shared" si="19"/>
        <v>0</v>
      </c>
      <c r="D49">
        <f t="shared" si="20"/>
        <v>0</v>
      </c>
      <c r="E49">
        <f t="shared" si="21"/>
        <v>0</v>
      </c>
      <c r="F49">
        <f>'D-RepLevel'!$F$2</f>
        <v>0</v>
      </c>
      <c r="G49">
        <f>'D-RepLevel'!$G$2</f>
        <v>0</v>
      </c>
      <c r="H49">
        <f t="shared" si="22"/>
        <v>0</v>
      </c>
      <c r="I49" t="str">
        <f>IF(ISERROR(INDEX('1b'!$C$5:$C$21, MATCH("Primary Business Line", '1b'!$H$5:$H$21, FALSE), 1)), "None Selected", INDEX('1b'!$C$5:$C$21, MATCH("Primary Business Line", '1b'!$H$5:$H$21, FALSE), 1))</f>
        <v>None Selected</v>
      </c>
      <c r="J49">
        <f>'D-3'!$J$2</f>
        <v>0</v>
      </c>
      <c r="K49">
        <f>COUNTIF('4a'!$E$6:$E$29, "Direct")+COUNTIF('4a'!$E$6:$E$29, "Indirect")+COUNTIF('4a'!$E$6:$E$29, "Both")</f>
        <v>0</v>
      </c>
      <c r="L49">
        <f t="shared" si="23"/>
        <v>0</v>
      </c>
      <c r="M49">
        <f t="shared" si="24"/>
        <v>0</v>
      </c>
      <c r="N49">
        <f t="shared" si="25"/>
        <v>0</v>
      </c>
      <c r="O49">
        <f t="shared" si="26"/>
        <v>2015</v>
      </c>
      <c r="P49">
        <f t="shared" si="27"/>
        <v>0</v>
      </c>
      <c r="Q49">
        <f t="shared" si="28"/>
        <v>0</v>
      </c>
      <c r="R49">
        <f t="shared" si="29"/>
        <v>0</v>
      </c>
      <c r="S49">
        <f t="shared" si="30"/>
        <v>0</v>
      </c>
      <c r="T49">
        <f>COUNTIF('9a'!$K$22:$K$32, "Yes")+COUNTIF('9a'!$O$22:$O$32, "Yes")</f>
        <v>0</v>
      </c>
      <c r="U49" t="str">
        <f t="shared" si="31"/>
        <v>No Expenditures</v>
      </c>
      <c r="V49" t="str">
        <f t="shared" si="32"/>
        <v>No Expenditures</v>
      </c>
      <c r="W49">
        <f t="shared" si="33"/>
        <v>0</v>
      </c>
      <c r="X49" t="str">
        <f>'D-Risk'!$AO$25</f>
        <v>Insufficient Data</v>
      </c>
      <c r="Y49" t="str">
        <f>'D-Risk'!$AO$26</f>
        <v>Insufficient Data</v>
      </c>
      <c r="Z49" t="str">
        <f>'D-Risk'!$AO$27</f>
        <v>Uncalculated</v>
      </c>
      <c r="AA49">
        <v>48</v>
      </c>
      <c r="AB49" t="str">
        <f>IF(AC49&lt;&gt;".",INDEX('PSL for Lists'!$C$2:$C$211,MATCH('D-3bf Consolidated (Pivot)'!$AC49,'PSL for Lists'!$A$2:$A$211,FALSE),1), ".")</f>
        <v>.</v>
      </c>
      <c r="AC49" t="str">
        <f>IF(ISERROR(Lists!AM49), ".", Lists!AM49)</f>
        <v>.</v>
      </c>
      <c r="AD49" t="str">
        <f>IF($AC49&lt;&gt;".",INDEX('PSL for Lists'!D$2:D$211,MATCH('D-3bf Consolidated (Pivot)'!$AC49,'PSL for Lists'!$A$2:$A$211,FALSE),1), ".")</f>
        <v>.</v>
      </c>
      <c r="AE49" t="str">
        <f>IF($AC49&lt;&gt;".",INDEX('PSL for Lists'!E$2:E$211,MATCH('D-3bf Consolidated (Pivot)'!$AC49,'PSL for Lists'!$A$2:$A$211,FALSE),1), ".")</f>
        <v>.</v>
      </c>
    </row>
    <row r="50" spans="1:31" x14ac:dyDescent="0.25">
      <c r="A50">
        <f t="shared" si="17"/>
        <v>0</v>
      </c>
      <c r="B50">
        <f t="shared" si="18"/>
        <v>0</v>
      </c>
      <c r="C50">
        <f t="shared" si="19"/>
        <v>0</v>
      </c>
      <c r="D50">
        <f t="shared" si="20"/>
        <v>0</v>
      </c>
      <c r="E50">
        <f t="shared" si="21"/>
        <v>0</v>
      </c>
      <c r="F50">
        <f>'D-RepLevel'!$F$2</f>
        <v>0</v>
      </c>
      <c r="G50">
        <f>'D-RepLevel'!$G$2</f>
        <v>0</v>
      </c>
      <c r="H50">
        <f t="shared" si="22"/>
        <v>0</v>
      </c>
      <c r="I50" t="str">
        <f>IF(ISERROR(INDEX('1b'!$C$5:$C$21, MATCH("Primary Business Line", '1b'!$H$5:$H$21, FALSE), 1)), "None Selected", INDEX('1b'!$C$5:$C$21, MATCH("Primary Business Line", '1b'!$H$5:$H$21, FALSE), 1))</f>
        <v>None Selected</v>
      </c>
      <c r="J50">
        <f>'D-3'!$J$2</f>
        <v>0</v>
      </c>
      <c r="K50">
        <f>COUNTIF('4a'!$E$6:$E$29, "Direct")+COUNTIF('4a'!$E$6:$E$29, "Indirect")+COUNTIF('4a'!$E$6:$E$29, "Both")</f>
        <v>0</v>
      </c>
      <c r="L50">
        <f t="shared" si="23"/>
        <v>0</v>
      </c>
      <c r="M50">
        <f t="shared" si="24"/>
        <v>0</v>
      </c>
      <c r="N50">
        <f t="shared" si="25"/>
        <v>0</v>
      </c>
      <c r="O50">
        <f t="shared" si="26"/>
        <v>2015</v>
      </c>
      <c r="P50">
        <f t="shared" si="27"/>
        <v>0</v>
      </c>
      <c r="Q50">
        <f t="shared" si="28"/>
        <v>0</v>
      </c>
      <c r="R50">
        <f t="shared" si="29"/>
        <v>0</v>
      </c>
      <c r="S50">
        <f t="shared" si="30"/>
        <v>0</v>
      </c>
      <c r="T50">
        <f>COUNTIF('9a'!$K$22:$K$32, "Yes")+COUNTIF('9a'!$O$22:$O$32, "Yes")</f>
        <v>0</v>
      </c>
      <c r="U50" t="str">
        <f t="shared" si="31"/>
        <v>No Expenditures</v>
      </c>
      <c r="V50" t="str">
        <f t="shared" si="32"/>
        <v>No Expenditures</v>
      </c>
      <c r="W50">
        <f t="shared" si="33"/>
        <v>0</v>
      </c>
      <c r="X50" t="str">
        <f>'D-Risk'!$AO$25</f>
        <v>Insufficient Data</v>
      </c>
      <c r="Y50" t="str">
        <f>'D-Risk'!$AO$26</f>
        <v>Insufficient Data</v>
      </c>
      <c r="Z50" t="str">
        <f>'D-Risk'!$AO$27</f>
        <v>Uncalculated</v>
      </c>
      <c r="AA50">
        <v>49</v>
      </c>
      <c r="AB50" t="str">
        <f>IF(AC50&lt;&gt;".",INDEX('PSL for Lists'!$C$2:$C$211,MATCH('D-3bf Consolidated (Pivot)'!$AC50,'PSL for Lists'!$A$2:$A$211,FALSE),1), ".")</f>
        <v>.</v>
      </c>
      <c r="AC50" t="str">
        <f>IF(ISERROR(Lists!AM50), ".", Lists!AM50)</f>
        <v>.</v>
      </c>
      <c r="AD50" t="str">
        <f>IF($AC50&lt;&gt;".",INDEX('PSL for Lists'!D$2:D$211,MATCH('D-3bf Consolidated (Pivot)'!$AC50,'PSL for Lists'!$A$2:$A$211,FALSE),1), ".")</f>
        <v>.</v>
      </c>
      <c r="AE50" t="str">
        <f>IF($AC50&lt;&gt;".",INDEX('PSL for Lists'!E$2:E$211,MATCH('D-3bf Consolidated (Pivot)'!$AC50,'PSL for Lists'!$A$2:$A$211,FALSE),1), ".")</f>
        <v>.</v>
      </c>
    </row>
    <row r="51" spans="1:31" x14ac:dyDescent="0.25">
      <c r="A51">
        <f t="shared" si="17"/>
        <v>0</v>
      </c>
      <c r="B51">
        <f t="shared" si="18"/>
        <v>0</v>
      </c>
      <c r="C51">
        <f t="shared" si="19"/>
        <v>0</v>
      </c>
      <c r="D51">
        <f t="shared" si="20"/>
        <v>0</v>
      </c>
      <c r="E51">
        <f t="shared" si="21"/>
        <v>0</v>
      </c>
      <c r="F51">
        <f>'D-RepLevel'!$F$2</f>
        <v>0</v>
      </c>
      <c r="G51">
        <f>'D-RepLevel'!$G$2</f>
        <v>0</v>
      </c>
      <c r="H51">
        <f t="shared" si="22"/>
        <v>0</v>
      </c>
      <c r="I51" t="str">
        <f>IF(ISERROR(INDEX('1b'!$C$5:$C$21, MATCH("Primary Business Line", '1b'!$H$5:$H$21, FALSE), 1)), "None Selected", INDEX('1b'!$C$5:$C$21, MATCH("Primary Business Line", '1b'!$H$5:$H$21, FALSE), 1))</f>
        <v>None Selected</v>
      </c>
      <c r="J51">
        <f>'D-3'!$J$2</f>
        <v>0</v>
      </c>
      <c r="K51">
        <f>COUNTIF('4a'!$E$6:$E$29, "Direct")+COUNTIF('4a'!$E$6:$E$29, "Indirect")+COUNTIF('4a'!$E$6:$E$29, "Both")</f>
        <v>0</v>
      </c>
      <c r="L51">
        <f t="shared" si="23"/>
        <v>0</v>
      </c>
      <c r="M51">
        <f t="shared" si="24"/>
        <v>0</v>
      </c>
      <c r="N51">
        <f t="shared" si="25"/>
        <v>0</v>
      </c>
      <c r="O51">
        <f t="shared" si="26"/>
        <v>2015</v>
      </c>
      <c r="P51">
        <f t="shared" si="27"/>
        <v>0</v>
      </c>
      <c r="Q51">
        <f t="shared" si="28"/>
        <v>0</v>
      </c>
      <c r="R51">
        <f t="shared" si="29"/>
        <v>0</v>
      </c>
      <c r="S51">
        <f t="shared" si="30"/>
        <v>0</v>
      </c>
      <c r="T51">
        <f>COUNTIF('9a'!$K$22:$K$32, "Yes")+COUNTIF('9a'!$O$22:$O$32, "Yes")</f>
        <v>0</v>
      </c>
      <c r="U51" t="str">
        <f t="shared" si="31"/>
        <v>No Expenditures</v>
      </c>
      <c r="V51" t="str">
        <f t="shared" si="32"/>
        <v>No Expenditures</v>
      </c>
      <c r="W51">
        <f t="shared" si="33"/>
        <v>0</v>
      </c>
      <c r="X51" t="str">
        <f>'D-Risk'!$AO$25</f>
        <v>Insufficient Data</v>
      </c>
      <c r="Y51" t="str">
        <f>'D-Risk'!$AO$26</f>
        <v>Insufficient Data</v>
      </c>
      <c r="Z51" t="str">
        <f>'D-Risk'!$AO$27</f>
        <v>Uncalculated</v>
      </c>
      <c r="AA51">
        <v>50</v>
      </c>
      <c r="AB51" t="str">
        <f>IF(AC51&lt;&gt;".",INDEX('PSL for Lists'!$C$2:$C$211,MATCH('D-3bf Consolidated (Pivot)'!$AC51,'PSL for Lists'!$A$2:$A$211,FALSE),1), ".")</f>
        <v>.</v>
      </c>
      <c r="AC51" t="str">
        <f>IF(ISERROR(Lists!AM51), ".", Lists!AM51)</f>
        <v>.</v>
      </c>
      <c r="AD51" t="str">
        <f>IF($AC51&lt;&gt;".",INDEX('PSL for Lists'!D$2:D$211,MATCH('D-3bf Consolidated (Pivot)'!$AC51,'PSL for Lists'!$A$2:$A$211,FALSE),1), ".")</f>
        <v>.</v>
      </c>
      <c r="AE51" t="str">
        <f>IF($AC51&lt;&gt;".",INDEX('PSL for Lists'!E$2:E$211,MATCH('D-3bf Consolidated (Pivot)'!$AC51,'PSL for Lists'!$A$2:$A$211,FALSE),1), ".")</f>
        <v>.</v>
      </c>
    </row>
    <row r="52" spans="1:31" x14ac:dyDescent="0.25">
      <c r="A52">
        <f t="shared" si="17"/>
        <v>0</v>
      </c>
      <c r="B52">
        <f t="shared" si="18"/>
        <v>0</v>
      </c>
      <c r="C52">
        <f t="shared" si="19"/>
        <v>0</v>
      </c>
      <c r="D52">
        <f t="shared" si="20"/>
        <v>0</v>
      </c>
      <c r="E52">
        <f t="shared" si="21"/>
        <v>0</v>
      </c>
      <c r="F52">
        <f>'D-RepLevel'!$F$2</f>
        <v>0</v>
      </c>
      <c r="G52">
        <f>'D-RepLevel'!$G$2</f>
        <v>0</v>
      </c>
      <c r="H52">
        <f t="shared" si="22"/>
        <v>0</v>
      </c>
      <c r="I52" t="str">
        <f>IF(ISERROR(INDEX('1b'!$C$5:$C$21, MATCH("Primary Business Line", '1b'!$H$5:$H$21, FALSE), 1)), "None Selected", INDEX('1b'!$C$5:$C$21, MATCH("Primary Business Line", '1b'!$H$5:$H$21, FALSE), 1))</f>
        <v>None Selected</v>
      </c>
      <c r="J52">
        <f>'D-3'!$J$2</f>
        <v>0</v>
      </c>
      <c r="K52">
        <f>COUNTIF('4a'!$E$6:$E$29, "Direct")+COUNTIF('4a'!$E$6:$E$29, "Indirect")+COUNTIF('4a'!$E$6:$E$29, "Both")</f>
        <v>0</v>
      </c>
      <c r="L52">
        <f t="shared" si="23"/>
        <v>0</v>
      </c>
      <c r="M52">
        <f t="shared" si="24"/>
        <v>0</v>
      </c>
      <c r="N52">
        <f t="shared" si="25"/>
        <v>0</v>
      </c>
      <c r="O52">
        <f t="shared" si="26"/>
        <v>2015</v>
      </c>
      <c r="P52">
        <f t="shared" si="27"/>
        <v>0</v>
      </c>
      <c r="Q52">
        <f t="shared" si="28"/>
        <v>0</v>
      </c>
      <c r="R52">
        <f t="shared" si="29"/>
        <v>0</v>
      </c>
      <c r="S52">
        <f t="shared" si="30"/>
        <v>0</v>
      </c>
      <c r="T52">
        <f>COUNTIF('9a'!$K$22:$K$32, "Yes")+COUNTIF('9a'!$O$22:$O$32, "Yes")</f>
        <v>0</v>
      </c>
      <c r="U52" t="str">
        <f t="shared" si="31"/>
        <v>No Expenditures</v>
      </c>
      <c r="V52" t="str">
        <f t="shared" si="32"/>
        <v>No Expenditures</v>
      </c>
      <c r="W52">
        <f t="shared" si="33"/>
        <v>0</v>
      </c>
      <c r="X52" t="str">
        <f>'D-Risk'!$AO$25</f>
        <v>Insufficient Data</v>
      </c>
      <c r="Y52" t="str">
        <f>'D-Risk'!$AO$26</f>
        <v>Insufficient Data</v>
      </c>
      <c r="Z52" t="str">
        <f>'D-Risk'!$AO$27</f>
        <v>Uncalculated</v>
      </c>
      <c r="AA52">
        <v>51</v>
      </c>
      <c r="AB52" t="str">
        <f>IF(AC52&lt;&gt;".",INDEX('PSL for Lists'!$C$2:$C$211,MATCH('D-3bf Consolidated (Pivot)'!$AC52,'PSL for Lists'!$A$2:$A$211,FALSE),1), ".")</f>
        <v>.</v>
      </c>
      <c r="AC52" t="str">
        <f>IF(ISERROR(Lists!AM52), ".", Lists!AM52)</f>
        <v>.</v>
      </c>
      <c r="AD52" t="str">
        <f>IF($AC52&lt;&gt;".",INDEX('PSL for Lists'!D$2:D$211,MATCH('D-3bf Consolidated (Pivot)'!$AC52,'PSL for Lists'!$A$2:$A$211,FALSE),1), ".")</f>
        <v>.</v>
      </c>
      <c r="AE52" t="str">
        <f>IF($AC52&lt;&gt;".",INDEX('PSL for Lists'!E$2:E$211,MATCH('D-3bf Consolidated (Pivot)'!$AC52,'PSL for Lists'!$A$2:$A$211,FALSE),1), ".")</f>
        <v>.</v>
      </c>
    </row>
    <row r="53" spans="1:31" x14ac:dyDescent="0.25">
      <c r="A53">
        <f t="shared" si="17"/>
        <v>0</v>
      </c>
      <c r="B53">
        <f t="shared" si="18"/>
        <v>0</v>
      </c>
      <c r="C53">
        <f t="shared" si="19"/>
        <v>0</v>
      </c>
      <c r="D53">
        <f t="shared" si="20"/>
        <v>0</v>
      </c>
      <c r="E53">
        <f t="shared" si="21"/>
        <v>0</v>
      </c>
      <c r="F53">
        <f>'D-RepLevel'!$F$2</f>
        <v>0</v>
      </c>
      <c r="G53">
        <f>'D-RepLevel'!$G$2</f>
        <v>0</v>
      </c>
      <c r="H53">
        <f t="shared" si="22"/>
        <v>0</v>
      </c>
      <c r="I53" t="str">
        <f>IF(ISERROR(INDEX('1b'!$C$5:$C$21, MATCH("Primary Business Line", '1b'!$H$5:$H$21, FALSE), 1)), "None Selected", INDEX('1b'!$C$5:$C$21, MATCH("Primary Business Line", '1b'!$H$5:$H$21, FALSE), 1))</f>
        <v>None Selected</v>
      </c>
      <c r="J53">
        <f>'D-3'!$J$2</f>
        <v>0</v>
      </c>
      <c r="K53">
        <f>COUNTIF('4a'!$E$6:$E$29, "Direct")+COUNTIF('4a'!$E$6:$E$29, "Indirect")+COUNTIF('4a'!$E$6:$E$29, "Both")</f>
        <v>0</v>
      </c>
      <c r="L53">
        <f t="shared" si="23"/>
        <v>0</v>
      </c>
      <c r="M53">
        <f t="shared" si="24"/>
        <v>0</v>
      </c>
      <c r="N53">
        <f t="shared" si="25"/>
        <v>0</v>
      </c>
      <c r="O53">
        <f t="shared" si="26"/>
        <v>2015</v>
      </c>
      <c r="P53">
        <f t="shared" si="27"/>
        <v>0</v>
      </c>
      <c r="Q53">
        <f t="shared" si="28"/>
        <v>0</v>
      </c>
      <c r="R53">
        <f t="shared" si="29"/>
        <v>0</v>
      </c>
      <c r="S53">
        <f t="shared" si="30"/>
        <v>0</v>
      </c>
      <c r="T53">
        <f>COUNTIF('9a'!$K$22:$K$32, "Yes")+COUNTIF('9a'!$O$22:$O$32, "Yes")</f>
        <v>0</v>
      </c>
      <c r="U53" t="str">
        <f t="shared" si="31"/>
        <v>No Expenditures</v>
      </c>
      <c r="V53" t="str">
        <f t="shared" si="32"/>
        <v>No Expenditures</v>
      </c>
      <c r="W53">
        <f t="shared" si="33"/>
        <v>0</v>
      </c>
      <c r="X53" t="str">
        <f>'D-Risk'!$AO$25</f>
        <v>Insufficient Data</v>
      </c>
      <c r="Y53" t="str">
        <f>'D-Risk'!$AO$26</f>
        <v>Insufficient Data</v>
      </c>
      <c r="Z53" t="str">
        <f>'D-Risk'!$AO$27</f>
        <v>Uncalculated</v>
      </c>
      <c r="AA53">
        <v>52</v>
      </c>
      <c r="AB53" t="str">
        <f>IF(AC53&lt;&gt;".",INDEX('PSL for Lists'!$C$2:$C$211,MATCH('D-3bf Consolidated (Pivot)'!$AC53,'PSL for Lists'!$A$2:$A$211,FALSE),1), ".")</f>
        <v>.</v>
      </c>
      <c r="AC53" t="str">
        <f>IF(ISERROR(Lists!AM53), ".", Lists!AM53)</f>
        <v>.</v>
      </c>
      <c r="AD53" t="str">
        <f>IF($AC53&lt;&gt;".",INDEX('PSL for Lists'!D$2:D$211,MATCH('D-3bf Consolidated (Pivot)'!$AC53,'PSL for Lists'!$A$2:$A$211,FALSE),1), ".")</f>
        <v>.</v>
      </c>
      <c r="AE53" t="str">
        <f>IF($AC53&lt;&gt;".",INDEX('PSL for Lists'!E$2:E$211,MATCH('D-3bf Consolidated (Pivot)'!$AC53,'PSL for Lists'!$A$2:$A$211,FALSE),1), ".")</f>
        <v>.</v>
      </c>
    </row>
    <row r="54" spans="1:31" x14ac:dyDescent="0.25">
      <c r="A54">
        <f t="shared" si="17"/>
        <v>0</v>
      </c>
      <c r="B54">
        <f t="shared" si="18"/>
        <v>0</v>
      </c>
      <c r="C54">
        <f t="shared" si="19"/>
        <v>0</v>
      </c>
      <c r="D54">
        <f t="shared" si="20"/>
        <v>0</v>
      </c>
      <c r="E54">
        <f t="shared" si="21"/>
        <v>0</v>
      </c>
      <c r="F54">
        <f>'D-RepLevel'!$F$2</f>
        <v>0</v>
      </c>
      <c r="G54">
        <f>'D-RepLevel'!$G$2</f>
        <v>0</v>
      </c>
      <c r="H54">
        <f t="shared" si="22"/>
        <v>0</v>
      </c>
      <c r="I54" t="str">
        <f>IF(ISERROR(INDEX('1b'!$C$5:$C$21, MATCH("Primary Business Line", '1b'!$H$5:$H$21, FALSE), 1)), "None Selected", INDEX('1b'!$C$5:$C$21, MATCH("Primary Business Line", '1b'!$H$5:$H$21, FALSE), 1))</f>
        <v>None Selected</v>
      </c>
      <c r="J54">
        <f>'D-3'!$J$2</f>
        <v>0</v>
      </c>
      <c r="K54">
        <f>COUNTIF('4a'!$E$6:$E$29, "Direct")+COUNTIF('4a'!$E$6:$E$29, "Indirect")+COUNTIF('4a'!$E$6:$E$29, "Both")</f>
        <v>0</v>
      </c>
      <c r="L54">
        <f t="shared" si="23"/>
        <v>0</v>
      </c>
      <c r="M54">
        <f t="shared" si="24"/>
        <v>0</v>
      </c>
      <c r="N54">
        <f t="shared" si="25"/>
        <v>0</v>
      </c>
      <c r="O54">
        <f t="shared" si="26"/>
        <v>2015</v>
      </c>
      <c r="P54">
        <f t="shared" si="27"/>
        <v>0</v>
      </c>
      <c r="Q54">
        <f t="shared" si="28"/>
        <v>0</v>
      </c>
      <c r="R54">
        <f t="shared" si="29"/>
        <v>0</v>
      </c>
      <c r="S54">
        <f t="shared" si="30"/>
        <v>0</v>
      </c>
      <c r="T54">
        <f>COUNTIF('9a'!$K$22:$K$32, "Yes")+COUNTIF('9a'!$O$22:$O$32, "Yes")</f>
        <v>0</v>
      </c>
      <c r="U54" t="str">
        <f t="shared" si="31"/>
        <v>No Expenditures</v>
      </c>
      <c r="V54" t="str">
        <f t="shared" si="32"/>
        <v>No Expenditures</v>
      </c>
      <c r="W54">
        <f t="shared" si="33"/>
        <v>0</v>
      </c>
      <c r="X54" t="str">
        <f>'D-Risk'!$AO$25</f>
        <v>Insufficient Data</v>
      </c>
      <c r="Y54" t="str">
        <f>'D-Risk'!$AO$26</f>
        <v>Insufficient Data</v>
      </c>
      <c r="Z54" t="str">
        <f>'D-Risk'!$AO$27</f>
        <v>Uncalculated</v>
      </c>
      <c r="AA54">
        <v>53</v>
      </c>
      <c r="AB54" t="str">
        <f>IF(AC54&lt;&gt;".",INDEX('PSL for Lists'!$C$2:$C$211,MATCH('D-3bf Consolidated (Pivot)'!$AC54,'PSL for Lists'!$A$2:$A$211,FALSE),1), ".")</f>
        <v>.</v>
      </c>
      <c r="AC54" t="str">
        <f>IF(ISERROR(Lists!AM54), ".", Lists!AM54)</f>
        <v>.</v>
      </c>
      <c r="AD54" t="str">
        <f>IF($AC54&lt;&gt;".",INDEX('PSL for Lists'!D$2:D$211,MATCH('D-3bf Consolidated (Pivot)'!$AC54,'PSL for Lists'!$A$2:$A$211,FALSE),1), ".")</f>
        <v>.</v>
      </c>
      <c r="AE54" t="str">
        <f>IF($AC54&lt;&gt;".",INDEX('PSL for Lists'!E$2:E$211,MATCH('D-3bf Consolidated (Pivot)'!$AC54,'PSL for Lists'!$A$2:$A$211,FALSE),1), ".")</f>
        <v>.</v>
      </c>
    </row>
    <row r="55" spans="1:31" x14ac:dyDescent="0.25">
      <c r="A55">
        <f t="shared" si="17"/>
        <v>0</v>
      </c>
      <c r="B55">
        <f t="shared" si="18"/>
        <v>0</v>
      </c>
      <c r="C55">
        <f t="shared" si="19"/>
        <v>0</v>
      </c>
      <c r="D55">
        <f t="shared" si="20"/>
        <v>0</v>
      </c>
      <c r="E55">
        <f t="shared" si="21"/>
        <v>0</v>
      </c>
      <c r="F55">
        <f>'D-RepLevel'!$F$2</f>
        <v>0</v>
      </c>
      <c r="G55">
        <f>'D-RepLevel'!$G$2</f>
        <v>0</v>
      </c>
      <c r="H55">
        <f t="shared" si="22"/>
        <v>0</v>
      </c>
      <c r="I55" t="str">
        <f>IF(ISERROR(INDEX('1b'!$C$5:$C$21, MATCH("Primary Business Line", '1b'!$H$5:$H$21, FALSE), 1)), "None Selected", INDEX('1b'!$C$5:$C$21, MATCH("Primary Business Line", '1b'!$H$5:$H$21, FALSE), 1))</f>
        <v>None Selected</v>
      </c>
      <c r="J55">
        <f>'D-3'!$J$2</f>
        <v>0</v>
      </c>
      <c r="K55">
        <f>COUNTIF('4a'!$E$6:$E$29, "Direct")+COUNTIF('4a'!$E$6:$E$29, "Indirect")+COUNTIF('4a'!$E$6:$E$29, "Both")</f>
        <v>0</v>
      </c>
      <c r="L55">
        <f t="shared" si="23"/>
        <v>0</v>
      </c>
      <c r="M55">
        <f t="shared" si="24"/>
        <v>0</v>
      </c>
      <c r="N55">
        <f t="shared" si="25"/>
        <v>0</v>
      </c>
      <c r="O55">
        <f t="shared" si="26"/>
        <v>2015</v>
      </c>
      <c r="P55">
        <f t="shared" si="27"/>
        <v>0</v>
      </c>
      <c r="Q55">
        <f t="shared" si="28"/>
        <v>0</v>
      </c>
      <c r="R55">
        <f t="shared" si="29"/>
        <v>0</v>
      </c>
      <c r="S55">
        <f t="shared" si="30"/>
        <v>0</v>
      </c>
      <c r="T55">
        <f>COUNTIF('9a'!$K$22:$K$32, "Yes")+COUNTIF('9a'!$O$22:$O$32, "Yes")</f>
        <v>0</v>
      </c>
      <c r="U55" t="str">
        <f t="shared" si="31"/>
        <v>No Expenditures</v>
      </c>
      <c r="V55" t="str">
        <f t="shared" si="32"/>
        <v>No Expenditures</v>
      </c>
      <c r="W55">
        <f t="shared" si="33"/>
        <v>0</v>
      </c>
      <c r="X55" t="str">
        <f>'D-Risk'!$AO$25</f>
        <v>Insufficient Data</v>
      </c>
      <c r="Y55" t="str">
        <f>'D-Risk'!$AO$26</f>
        <v>Insufficient Data</v>
      </c>
      <c r="Z55" t="str">
        <f>'D-Risk'!$AO$27</f>
        <v>Uncalculated</v>
      </c>
      <c r="AA55">
        <v>54</v>
      </c>
      <c r="AB55" t="str">
        <f>IF(AC55&lt;&gt;".",INDEX('PSL for Lists'!$C$2:$C$211,MATCH('D-3bf Consolidated (Pivot)'!$AC55,'PSL for Lists'!$A$2:$A$211,FALSE),1), ".")</f>
        <v>.</v>
      </c>
      <c r="AC55" t="str">
        <f>IF(ISERROR(Lists!AM55), ".", Lists!AM55)</f>
        <v>.</v>
      </c>
      <c r="AD55" t="str">
        <f>IF($AC55&lt;&gt;".",INDEX('PSL for Lists'!D$2:D$211,MATCH('D-3bf Consolidated (Pivot)'!$AC55,'PSL for Lists'!$A$2:$A$211,FALSE),1), ".")</f>
        <v>.</v>
      </c>
      <c r="AE55" t="str">
        <f>IF($AC55&lt;&gt;".",INDEX('PSL for Lists'!E$2:E$211,MATCH('D-3bf Consolidated (Pivot)'!$AC55,'PSL for Lists'!$A$2:$A$211,FALSE),1), ".")</f>
        <v>.</v>
      </c>
    </row>
    <row r="56" spans="1:31" x14ac:dyDescent="0.25">
      <c r="A56">
        <f t="shared" si="17"/>
        <v>0</v>
      </c>
      <c r="B56">
        <f t="shared" si="18"/>
        <v>0</v>
      </c>
      <c r="C56">
        <f t="shared" si="19"/>
        <v>0</v>
      </c>
      <c r="D56">
        <f t="shared" si="20"/>
        <v>0</v>
      </c>
      <c r="E56">
        <f t="shared" si="21"/>
        <v>0</v>
      </c>
      <c r="F56">
        <f>'D-RepLevel'!$F$2</f>
        <v>0</v>
      </c>
      <c r="G56">
        <f>'D-RepLevel'!$G$2</f>
        <v>0</v>
      </c>
      <c r="H56">
        <f t="shared" si="22"/>
        <v>0</v>
      </c>
      <c r="I56" t="str">
        <f>IF(ISERROR(INDEX('1b'!$C$5:$C$21, MATCH("Primary Business Line", '1b'!$H$5:$H$21, FALSE), 1)), "None Selected", INDEX('1b'!$C$5:$C$21, MATCH("Primary Business Line", '1b'!$H$5:$H$21, FALSE), 1))</f>
        <v>None Selected</v>
      </c>
      <c r="J56">
        <f>'D-3'!$J$2</f>
        <v>0</v>
      </c>
      <c r="K56">
        <f>COUNTIF('4a'!$E$6:$E$29, "Direct")+COUNTIF('4a'!$E$6:$E$29, "Indirect")+COUNTIF('4a'!$E$6:$E$29, "Both")</f>
        <v>0</v>
      </c>
      <c r="L56">
        <f t="shared" si="23"/>
        <v>0</v>
      </c>
      <c r="M56">
        <f t="shared" si="24"/>
        <v>0</v>
      </c>
      <c r="N56">
        <f t="shared" si="25"/>
        <v>0</v>
      </c>
      <c r="O56">
        <f t="shared" si="26"/>
        <v>2015</v>
      </c>
      <c r="P56">
        <f t="shared" si="27"/>
        <v>0</v>
      </c>
      <c r="Q56">
        <f t="shared" si="28"/>
        <v>0</v>
      </c>
      <c r="R56">
        <f t="shared" si="29"/>
        <v>0</v>
      </c>
      <c r="S56">
        <f t="shared" si="30"/>
        <v>0</v>
      </c>
      <c r="T56">
        <f>COUNTIF('9a'!$K$22:$K$32, "Yes")+COUNTIF('9a'!$O$22:$O$32, "Yes")</f>
        <v>0</v>
      </c>
      <c r="U56" t="str">
        <f t="shared" si="31"/>
        <v>No Expenditures</v>
      </c>
      <c r="V56" t="str">
        <f t="shared" si="32"/>
        <v>No Expenditures</v>
      </c>
      <c r="W56">
        <f t="shared" si="33"/>
        <v>0</v>
      </c>
      <c r="X56" t="str">
        <f>'D-Risk'!$AO$25</f>
        <v>Insufficient Data</v>
      </c>
      <c r="Y56" t="str">
        <f>'D-Risk'!$AO$26</f>
        <v>Insufficient Data</v>
      </c>
      <c r="Z56" t="str">
        <f>'D-Risk'!$AO$27</f>
        <v>Uncalculated</v>
      </c>
      <c r="AA56">
        <v>55</v>
      </c>
      <c r="AB56" t="str">
        <f>IF(AC56&lt;&gt;".",INDEX('PSL for Lists'!$C$2:$C$211,MATCH('D-3bf Consolidated (Pivot)'!$AC56,'PSL for Lists'!$A$2:$A$211,FALSE),1), ".")</f>
        <v>.</v>
      </c>
      <c r="AC56" t="str">
        <f>IF(ISERROR(Lists!AM56), ".", Lists!AM56)</f>
        <v>.</v>
      </c>
      <c r="AD56" t="str">
        <f>IF($AC56&lt;&gt;".",INDEX('PSL for Lists'!D$2:D$211,MATCH('D-3bf Consolidated (Pivot)'!$AC56,'PSL for Lists'!$A$2:$A$211,FALSE),1), ".")</f>
        <v>.</v>
      </c>
      <c r="AE56" t="str">
        <f>IF($AC56&lt;&gt;".",INDEX('PSL for Lists'!E$2:E$211,MATCH('D-3bf Consolidated (Pivot)'!$AC56,'PSL for Lists'!$A$2:$A$211,FALSE),1), ".")</f>
        <v>.</v>
      </c>
    </row>
    <row r="57" spans="1:31" x14ac:dyDescent="0.25">
      <c r="A57">
        <f t="shared" si="17"/>
        <v>0</v>
      </c>
      <c r="B57">
        <f t="shared" si="18"/>
        <v>0</v>
      </c>
      <c r="C57">
        <f t="shared" si="19"/>
        <v>0</v>
      </c>
      <c r="D57">
        <f t="shared" si="20"/>
        <v>0</v>
      </c>
      <c r="E57">
        <f t="shared" si="21"/>
        <v>0</v>
      </c>
      <c r="F57">
        <f>'D-RepLevel'!$F$2</f>
        <v>0</v>
      </c>
      <c r="G57">
        <f>'D-RepLevel'!$G$2</f>
        <v>0</v>
      </c>
      <c r="H57">
        <f t="shared" si="22"/>
        <v>0</v>
      </c>
      <c r="I57" t="str">
        <f>IF(ISERROR(INDEX('1b'!$C$5:$C$21, MATCH("Primary Business Line", '1b'!$H$5:$H$21, FALSE), 1)), "None Selected", INDEX('1b'!$C$5:$C$21, MATCH("Primary Business Line", '1b'!$H$5:$H$21, FALSE), 1))</f>
        <v>None Selected</v>
      </c>
      <c r="J57">
        <f>'D-3'!$J$2</f>
        <v>0</v>
      </c>
      <c r="K57">
        <f>COUNTIF('4a'!$E$6:$E$29, "Direct")+COUNTIF('4a'!$E$6:$E$29, "Indirect")+COUNTIF('4a'!$E$6:$E$29, "Both")</f>
        <v>0</v>
      </c>
      <c r="L57">
        <f t="shared" si="23"/>
        <v>0</v>
      </c>
      <c r="M57">
        <f t="shared" si="24"/>
        <v>0</v>
      </c>
      <c r="N57">
        <f t="shared" si="25"/>
        <v>0</v>
      </c>
      <c r="O57">
        <f t="shared" si="26"/>
        <v>2015</v>
      </c>
      <c r="P57">
        <f t="shared" si="27"/>
        <v>0</v>
      </c>
      <c r="Q57">
        <f t="shared" si="28"/>
        <v>0</v>
      </c>
      <c r="R57">
        <f t="shared" si="29"/>
        <v>0</v>
      </c>
      <c r="S57">
        <f t="shared" si="30"/>
        <v>0</v>
      </c>
      <c r="T57">
        <f>COUNTIF('9a'!$K$22:$K$32, "Yes")+COUNTIF('9a'!$O$22:$O$32, "Yes")</f>
        <v>0</v>
      </c>
      <c r="U57" t="str">
        <f t="shared" si="31"/>
        <v>No Expenditures</v>
      </c>
      <c r="V57" t="str">
        <f t="shared" si="32"/>
        <v>No Expenditures</v>
      </c>
      <c r="W57">
        <f t="shared" si="33"/>
        <v>0</v>
      </c>
      <c r="X57" t="str">
        <f>'D-Risk'!$AO$25</f>
        <v>Insufficient Data</v>
      </c>
      <c r="Y57" t="str">
        <f>'D-Risk'!$AO$26</f>
        <v>Insufficient Data</v>
      </c>
      <c r="Z57" t="str">
        <f>'D-Risk'!$AO$27</f>
        <v>Uncalculated</v>
      </c>
      <c r="AA57">
        <v>56</v>
      </c>
      <c r="AB57" t="str">
        <f>IF(AC57&lt;&gt;".",INDEX('PSL for Lists'!$C$2:$C$211,MATCH('D-3bf Consolidated (Pivot)'!$AC57,'PSL for Lists'!$A$2:$A$211,FALSE),1), ".")</f>
        <v>.</v>
      </c>
      <c r="AC57" t="str">
        <f>IF(ISERROR(Lists!AM57), ".", Lists!AM57)</f>
        <v>.</v>
      </c>
      <c r="AD57" t="str">
        <f>IF($AC57&lt;&gt;".",INDEX('PSL for Lists'!D$2:D$211,MATCH('D-3bf Consolidated (Pivot)'!$AC57,'PSL for Lists'!$A$2:$A$211,FALSE),1), ".")</f>
        <v>.</v>
      </c>
      <c r="AE57" t="str">
        <f>IF($AC57&lt;&gt;".",INDEX('PSL for Lists'!E$2:E$211,MATCH('D-3bf Consolidated (Pivot)'!$AC57,'PSL for Lists'!$A$2:$A$211,FALSE),1), ".")</f>
        <v>.</v>
      </c>
    </row>
    <row r="58" spans="1:31" x14ac:dyDescent="0.25">
      <c r="A58">
        <f t="shared" si="17"/>
        <v>0</v>
      </c>
      <c r="B58">
        <f t="shared" si="18"/>
        <v>0</v>
      </c>
      <c r="C58">
        <f t="shared" si="19"/>
        <v>0</v>
      </c>
      <c r="D58">
        <f t="shared" si="20"/>
        <v>0</v>
      </c>
      <c r="E58">
        <f t="shared" si="21"/>
        <v>0</v>
      </c>
      <c r="F58">
        <f>'D-RepLevel'!$F$2</f>
        <v>0</v>
      </c>
      <c r="G58">
        <f>'D-RepLevel'!$G$2</f>
        <v>0</v>
      </c>
      <c r="H58">
        <f t="shared" si="22"/>
        <v>0</v>
      </c>
      <c r="I58" t="str">
        <f>IF(ISERROR(INDEX('1b'!$C$5:$C$21, MATCH("Primary Business Line", '1b'!$H$5:$H$21, FALSE), 1)), "None Selected", INDEX('1b'!$C$5:$C$21, MATCH("Primary Business Line", '1b'!$H$5:$H$21, FALSE), 1))</f>
        <v>None Selected</v>
      </c>
      <c r="J58">
        <f>'D-3'!$J$2</f>
        <v>0</v>
      </c>
      <c r="K58">
        <f>COUNTIF('4a'!$E$6:$E$29, "Direct")+COUNTIF('4a'!$E$6:$E$29, "Indirect")+COUNTIF('4a'!$E$6:$E$29, "Both")</f>
        <v>0</v>
      </c>
      <c r="L58">
        <f t="shared" si="23"/>
        <v>0</v>
      </c>
      <c r="M58">
        <f t="shared" si="24"/>
        <v>0</v>
      </c>
      <c r="N58">
        <f t="shared" si="25"/>
        <v>0</v>
      </c>
      <c r="O58">
        <f t="shared" si="26"/>
        <v>2015</v>
      </c>
      <c r="P58">
        <f t="shared" si="27"/>
        <v>0</v>
      </c>
      <c r="Q58">
        <f t="shared" si="28"/>
        <v>0</v>
      </c>
      <c r="R58">
        <f t="shared" si="29"/>
        <v>0</v>
      </c>
      <c r="S58">
        <f t="shared" si="30"/>
        <v>0</v>
      </c>
      <c r="T58">
        <f>COUNTIF('9a'!$K$22:$K$32, "Yes")+COUNTIF('9a'!$O$22:$O$32, "Yes")</f>
        <v>0</v>
      </c>
      <c r="U58" t="str">
        <f t="shared" si="31"/>
        <v>No Expenditures</v>
      </c>
      <c r="V58" t="str">
        <f t="shared" si="32"/>
        <v>No Expenditures</v>
      </c>
      <c r="W58">
        <f t="shared" si="33"/>
        <v>0</v>
      </c>
      <c r="X58" t="str">
        <f>'D-Risk'!$AO$25</f>
        <v>Insufficient Data</v>
      </c>
      <c r="Y58" t="str">
        <f>'D-Risk'!$AO$26</f>
        <v>Insufficient Data</v>
      </c>
      <c r="Z58" t="str">
        <f>'D-Risk'!$AO$27</f>
        <v>Uncalculated</v>
      </c>
      <c r="AA58">
        <v>57</v>
      </c>
      <c r="AB58" t="str">
        <f>IF(AC58&lt;&gt;".",INDEX('PSL for Lists'!$C$2:$C$211,MATCH('D-3bf Consolidated (Pivot)'!$AC58,'PSL for Lists'!$A$2:$A$211,FALSE),1), ".")</f>
        <v>.</v>
      </c>
      <c r="AC58" t="str">
        <f>IF(ISERROR(Lists!AM58), ".", Lists!AM58)</f>
        <v>.</v>
      </c>
      <c r="AD58" t="str">
        <f>IF($AC58&lt;&gt;".",INDEX('PSL for Lists'!D$2:D$211,MATCH('D-3bf Consolidated (Pivot)'!$AC58,'PSL for Lists'!$A$2:$A$211,FALSE),1), ".")</f>
        <v>.</v>
      </c>
      <c r="AE58" t="str">
        <f>IF($AC58&lt;&gt;".",INDEX('PSL for Lists'!E$2:E$211,MATCH('D-3bf Consolidated (Pivot)'!$AC58,'PSL for Lists'!$A$2:$A$211,FALSE),1), ".")</f>
        <v>.</v>
      </c>
    </row>
    <row r="59" spans="1:31" x14ac:dyDescent="0.25">
      <c r="A59">
        <f t="shared" si="17"/>
        <v>0</v>
      </c>
      <c r="B59">
        <f t="shared" si="18"/>
        <v>0</v>
      </c>
      <c r="C59">
        <f t="shared" si="19"/>
        <v>0</v>
      </c>
      <c r="D59">
        <f t="shared" si="20"/>
        <v>0</v>
      </c>
      <c r="E59">
        <f t="shared" si="21"/>
        <v>0</v>
      </c>
      <c r="F59">
        <f>'D-RepLevel'!$F$2</f>
        <v>0</v>
      </c>
      <c r="G59">
        <f>'D-RepLevel'!$G$2</f>
        <v>0</v>
      </c>
      <c r="H59">
        <f t="shared" si="22"/>
        <v>0</v>
      </c>
      <c r="I59" t="str">
        <f>IF(ISERROR(INDEX('1b'!$C$5:$C$21, MATCH("Primary Business Line", '1b'!$H$5:$H$21, FALSE), 1)), "None Selected", INDEX('1b'!$C$5:$C$21, MATCH("Primary Business Line", '1b'!$H$5:$H$21, FALSE), 1))</f>
        <v>None Selected</v>
      </c>
      <c r="J59">
        <f>'D-3'!$J$2</f>
        <v>0</v>
      </c>
      <c r="K59">
        <f>COUNTIF('4a'!$E$6:$E$29, "Direct")+COUNTIF('4a'!$E$6:$E$29, "Indirect")+COUNTIF('4a'!$E$6:$E$29, "Both")</f>
        <v>0</v>
      </c>
      <c r="L59">
        <f t="shared" si="23"/>
        <v>0</v>
      </c>
      <c r="M59">
        <f t="shared" si="24"/>
        <v>0</v>
      </c>
      <c r="N59">
        <f t="shared" si="25"/>
        <v>0</v>
      </c>
      <c r="O59">
        <f t="shared" si="26"/>
        <v>2015</v>
      </c>
      <c r="P59">
        <f t="shared" si="27"/>
        <v>0</v>
      </c>
      <c r="Q59">
        <f t="shared" si="28"/>
        <v>0</v>
      </c>
      <c r="R59">
        <f t="shared" si="29"/>
        <v>0</v>
      </c>
      <c r="S59">
        <f t="shared" si="30"/>
        <v>0</v>
      </c>
      <c r="T59">
        <f>COUNTIF('9a'!$K$22:$K$32, "Yes")+COUNTIF('9a'!$O$22:$O$32, "Yes")</f>
        <v>0</v>
      </c>
      <c r="U59" t="str">
        <f t="shared" si="31"/>
        <v>No Expenditures</v>
      </c>
      <c r="V59" t="str">
        <f t="shared" si="32"/>
        <v>No Expenditures</v>
      </c>
      <c r="W59">
        <f t="shared" si="33"/>
        <v>0</v>
      </c>
      <c r="X59" t="str">
        <f>'D-Risk'!$AO$25</f>
        <v>Insufficient Data</v>
      </c>
      <c r="Y59" t="str">
        <f>'D-Risk'!$AO$26</f>
        <v>Insufficient Data</v>
      </c>
      <c r="Z59" t="str">
        <f>'D-Risk'!$AO$27</f>
        <v>Uncalculated</v>
      </c>
      <c r="AA59">
        <v>58</v>
      </c>
      <c r="AB59" t="str">
        <f>IF(AC59&lt;&gt;".",INDEX('PSL for Lists'!$C$2:$C$211,MATCH('D-3bf Consolidated (Pivot)'!$AC59,'PSL for Lists'!$A$2:$A$211,FALSE),1), ".")</f>
        <v>.</v>
      </c>
      <c r="AC59" t="str">
        <f>IF(ISERROR(Lists!AM59), ".", Lists!AM59)</f>
        <v>.</v>
      </c>
      <c r="AD59" t="str">
        <f>IF($AC59&lt;&gt;".",INDEX('PSL for Lists'!D$2:D$211,MATCH('D-3bf Consolidated (Pivot)'!$AC59,'PSL for Lists'!$A$2:$A$211,FALSE),1), ".")</f>
        <v>.</v>
      </c>
      <c r="AE59" t="str">
        <f>IF($AC59&lt;&gt;".",INDEX('PSL for Lists'!E$2:E$211,MATCH('D-3bf Consolidated (Pivot)'!$AC59,'PSL for Lists'!$A$2:$A$211,FALSE),1), ".")</f>
        <v>.</v>
      </c>
    </row>
    <row r="60" spans="1:31" x14ac:dyDescent="0.25">
      <c r="A60">
        <f t="shared" si="17"/>
        <v>0</v>
      </c>
      <c r="B60">
        <f t="shared" si="18"/>
        <v>0</v>
      </c>
      <c r="C60">
        <f t="shared" si="19"/>
        <v>0</v>
      </c>
      <c r="D60">
        <f t="shared" si="20"/>
        <v>0</v>
      </c>
      <c r="E60">
        <f t="shared" si="21"/>
        <v>0</v>
      </c>
      <c r="F60">
        <f>'D-RepLevel'!$F$2</f>
        <v>0</v>
      </c>
      <c r="G60">
        <f>'D-RepLevel'!$G$2</f>
        <v>0</v>
      </c>
      <c r="H60">
        <f t="shared" si="22"/>
        <v>0</v>
      </c>
      <c r="I60" t="str">
        <f>IF(ISERROR(INDEX('1b'!$C$5:$C$21, MATCH("Primary Business Line", '1b'!$H$5:$H$21, FALSE), 1)), "None Selected", INDEX('1b'!$C$5:$C$21, MATCH("Primary Business Line", '1b'!$H$5:$H$21, FALSE), 1))</f>
        <v>None Selected</v>
      </c>
      <c r="J60">
        <f>'D-3'!$J$2</f>
        <v>0</v>
      </c>
      <c r="K60">
        <f>COUNTIF('4a'!$E$6:$E$29, "Direct")+COUNTIF('4a'!$E$6:$E$29, "Indirect")+COUNTIF('4a'!$E$6:$E$29, "Both")</f>
        <v>0</v>
      </c>
      <c r="L60">
        <f t="shared" si="23"/>
        <v>0</v>
      </c>
      <c r="M60">
        <f t="shared" si="24"/>
        <v>0</v>
      </c>
      <c r="N60">
        <f t="shared" si="25"/>
        <v>0</v>
      </c>
      <c r="O60">
        <f t="shared" si="26"/>
        <v>2015</v>
      </c>
      <c r="P60">
        <f t="shared" si="27"/>
        <v>0</v>
      </c>
      <c r="Q60">
        <f t="shared" si="28"/>
        <v>0</v>
      </c>
      <c r="R60">
        <f t="shared" si="29"/>
        <v>0</v>
      </c>
      <c r="S60">
        <f t="shared" si="30"/>
        <v>0</v>
      </c>
      <c r="T60">
        <f>COUNTIF('9a'!$K$22:$K$32, "Yes")+COUNTIF('9a'!$O$22:$O$32, "Yes")</f>
        <v>0</v>
      </c>
      <c r="U60" t="str">
        <f t="shared" si="31"/>
        <v>No Expenditures</v>
      </c>
      <c r="V60" t="str">
        <f t="shared" si="32"/>
        <v>No Expenditures</v>
      </c>
      <c r="W60">
        <f t="shared" si="33"/>
        <v>0</v>
      </c>
      <c r="X60" t="str">
        <f>'D-Risk'!$AO$25</f>
        <v>Insufficient Data</v>
      </c>
      <c r="Y60" t="str">
        <f>'D-Risk'!$AO$26</f>
        <v>Insufficient Data</v>
      </c>
      <c r="Z60" t="str">
        <f>'D-Risk'!$AO$27</f>
        <v>Uncalculated</v>
      </c>
      <c r="AA60">
        <v>59</v>
      </c>
      <c r="AB60" t="str">
        <f>IF(AC60&lt;&gt;".",INDEX('PSL for Lists'!$C$2:$C$211,MATCH('D-3bf Consolidated (Pivot)'!$AC60,'PSL for Lists'!$A$2:$A$211,FALSE),1), ".")</f>
        <v>.</v>
      </c>
      <c r="AC60" t="str">
        <f>IF(ISERROR(Lists!AM60), ".", Lists!AM60)</f>
        <v>.</v>
      </c>
      <c r="AD60" t="str">
        <f>IF($AC60&lt;&gt;".",INDEX('PSL for Lists'!D$2:D$211,MATCH('D-3bf Consolidated (Pivot)'!$AC60,'PSL for Lists'!$A$2:$A$211,FALSE),1), ".")</f>
        <v>.</v>
      </c>
      <c r="AE60" t="str">
        <f>IF($AC60&lt;&gt;".",INDEX('PSL for Lists'!E$2:E$211,MATCH('D-3bf Consolidated (Pivot)'!$AC60,'PSL for Lists'!$A$2:$A$211,FALSE),1), ".")</f>
        <v>.</v>
      </c>
    </row>
    <row r="61" spans="1:31" x14ac:dyDescent="0.25">
      <c r="A61">
        <f t="shared" si="17"/>
        <v>0</v>
      </c>
      <c r="B61">
        <f t="shared" si="18"/>
        <v>0</v>
      </c>
      <c r="C61">
        <f t="shared" si="19"/>
        <v>0</v>
      </c>
      <c r="D61">
        <f t="shared" si="20"/>
        <v>0</v>
      </c>
      <c r="E61">
        <f t="shared" si="21"/>
        <v>0</v>
      </c>
      <c r="F61">
        <f>'D-RepLevel'!$F$2</f>
        <v>0</v>
      </c>
      <c r="G61">
        <f>'D-RepLevel'!$G$2</f>
        <v>0</v>
      </c>
      <c r="H61">
        <f t="shared" si="22"/>
        <v>0</v>
      </c>
      <c r="I61" t="str">
        <f>IF(ISERROR(INDEX('1b'!$C$5:$C$21, MATCH("Primary Business Line", '1b'!$H$5:$H$21, FALSE), 1)), "None Selected", INDEX('1b'!$C$5:$C$21, MATCH("Primary Business Line", '1b'!$H$5:$H$21, FALSE), 1))</f>
        <v>None Selected</v>
      </c>
      <c r="J61">
        <f>'D-3'!$J$2</f>
        <v>0</v>
      </c>
      <c r="K61">
        <f>COUNTIF('4a'!$E$6:$E$29, "Direct")+COUNTIF('4a'!$E$6:$E$29, "Indirect")+COUNTIF('4a'!$E$6:$E$29, "Both")</f>
        <v>0</v>
      </c>
      <c r="L61">
        <f t="shared" si="23"/>
        <v>0</v>
      </c>
      <c r="M61">
        <f t="shared" si="24"/>
        <v>0</v>
      </c>
      <c r="N61">
        <f t="shared" si="25"/>
        <v>0</v>
      </c>
      <c r="O61">
        <f t="shared" si="26"/>
        <v>2015</v>
      </c>
      <c r="P61">
        <f t="shared" si="27"/>
        <v>0</v>
      </c>
      <c r="Q61">
        <f t="shared" si="28"/>
        <v>0</v>
      </c>
      <c r="R61">
        <f t="shared" si="29"/>
        <v>0</v>
      </c>
      <c r="S61">
        <f t="shared" si="30"/>
        <v>0</v>
      </c>
      <c r="T61">
        <f>COUNTIF('9a'!$K$22:$K$32, "Yes")+COUNTIF('9a'!$O$22:$O$32, "Yes")</f>
        <v>0</v>
      </c>
      <c r="U61" t="str">
        <f t="shared" si="31"/>
        <v>No Expenditures</v>
      </c>
      <c r="V61" t="str">
        <f t="shared" si="32"/>
        <v>No Expenditures</v>
      </c>
      <c r="W61">
        <f t="shared" si="33"/>
        <v>0</v>
      </c>
      <c r="X61" t="str">
        <f>'D-Risk'!$AO$25</f>
        <v>Insufficient Data</v>
      </c>
      <c r="Y61" t="str">
        <f>'D-Risk'!$AO$26</f>
        <v>Insufficient Data</v>
      </c>
      <c r="Z61" t="str">
        <f>'D-Risk'!$AO$27</f>
        <v>Uncalculated</v>
      </c>
      <c r="AA61">
        <v>60</v>
      </c>
      <c r="AB61" t="str">
        <f>IF(AC61&lt;&gt;".",INDEX('PSL for Lists'!$C$2:$C$211,MATCH('D-3bf Consolidated (Pivot)'!$AC61,'PSL for Lists'!$A$2:$A$211,FALSE),1), ".")</f>
        <v>.</v>
      </c>
      <c r="AC61" t="str">
        <f>IF(ISERROR(Lists!AM61), ".", Lists!AM61)</f>
        <v>.</v>
      </c>
      <c r="AD61" t="str">
        <f>IF($AC61&lt;&gt;".",INDEX('PSL for Lists'!D$2:D$211,MATCH('D-3bf Consolidated (Pivot)'!$AC61,'PSL for Lists'!$A$2:$A$211,FALSE),1), ".")</f>
        <v>.</v>
      </c>
      <c r="AE61" t="str">
        <f>IF($AC61&lt;&gt;".",INDEX('PSL for Lists'!E$2:E$211,MATCH('D-3bf Consolidated (Pivot)'!$AC61,'PSL for Lists'!$A$2:$A$211,FALSE),1), ".")</f>
        <v>.</v>
      </c>
    </row>
    <row r="62" spans="1:31" x14ac:dyDescent="0.25">
      <c r="A62">
        <f t="shared" si="17"/>
        <v>0</v>
      </c>
      <c r="B62">
        <f t="shared" si="18"/>
        <v>0</v>
      </c>
      <c r="C62">
        <f t="shared" si="19"/>
        <v>0</v>
      </c>
      <c r="D62">
        <f t="shared" si="20"/>
        <v>0</v>
      </c>
      <c r="E62">
        <f t="shared" si="21"/>
        <v>0</v>
      </c>
      <c r="F62">
        <f>'D-RepLevel'!$F$2</f>
        <v>0</v>
      </c>
      <c r="G62">
        <f>'D-RepLevel'!$G$2</f>
        <v>0</v>
      </c>
      <c r="H62">
        <f t="shared" si="22"/>
        <v>0</v>
      </c>
      <c r="I62" t="str">
        <f>IF(ISERROR(INDEX('1b'!$C$5:$C$21, MATCH("Primary Business Line", '1b'!$H$5:$H$21, FALSE), 1)), "None Selected", INDEX('1b'!$C$5:$C$21, MATCH("Primary Business Line", '1b'!$H$5:$H$21, FALSE), 1))</f>
        <v>None Selected</v>
      </c>
      <c r="J62">
        <f>'D-3'!$J$2</f>
        <v>0</v>
      </c>
      <c r="K62">
        <f>COUNTIF('4a'!$E$6:$E$29, "Direct")+COUNTIF('4a'!$E$6:$E$29, "Indirect")+COUNTIF('4a'!$E$6:$E$29, "Both")</f>
        <v>0</v>
      </c>
      <c r="L62">
        <f t="shared" si="23"/>
        <v>0</v>
      </c>
      <c r="M62">
        <f t="shared" si="24"/>
        <v>0</v>
      </c>
      <c r="N62">
        <f t="shared" si="25"/>
        <v>0</v>
      </c>
      <c r="O62">
        <f t="shared" si="26"/>
        <v>2015</v>
      </c>
      <c r="P62">
        <f t="shared" si="27"/>
        <v>0</v>
      </c>
      <c r="Q62">
        <f t="shared" si="28"/>
        <v>0</v>
      </c>
      <c r="R62">
        <f t="shared" si="29"/>
        <v>0</v>
      </c>
      <c r="S62">
        <f t="shared" si="30"/>
        <v>0</v>
      </c>
      <c r="T62">
        <f>COUNTIF('9a'!$K$22:$K$32, "Yes")+COUNTIF('9a'!$O$22:$O$32, "Yes")</f>
        <v>0</v>
      </c>
      <c r="U62" t="str">
        <f t="shared" si="31"/>
        <v>No Expenditures</v>
      </c>
      <c r="V62" t="str">
        <f t="shared" si="32"/>
        <v>No Expenditures</v>
      </c>
      <c r="W62">
        <f t="shared" si="33"/>
        <v>0</v>
      </c>
      <c r="X62" t="str">
        <f>'D-Risk'!$AO$25</f>
        <v>Insufficient Data</v>
      </c>
      <c r="Y62" t="str">
        <f>'D-Risk'!$AO$26</f>
        <v>Insufficient Data</v>
      </c>
      <c r="Z62" t="str">
        <f>'D-Risk'!$AO$27</f>
        <v>Uncalculated</v>
      </c>
      <c r="AA62">
        <v>61</v>
      </c>
      <c r="AB62" t="str">
        <f>IF(AC62&lt;&gt;".",INDEX('PSL for Lists'!$C$2:$C$211,MATCH('D-3bf Consolidated (Pivot)'!$AC62,'PSL for Lists'!$A$2:$A$211,FALSE),1), ".")</f>
        <v>.</v>
      </c>
      <c r="AC62" t="str">
        <f>IF(ISERROR(Lists!AM62), ".", Lists!AM62)</f>
        <v>.</v>
      </c>
      <c r="AD62" t="str">
        <f>IF($AC62&lt;&gt;".",INDEX('PSL for Lists'!D$2:D$211,MATCH('D-3bf Consolidated (Pivot)'!$AC62,'PSL for Lists'!$A$2:$A$211,FALSE),1), ".")</f>
        <v>.</v>
      </c>
      <c r="AE62" t="str">
        <f>IF($AC62&lt;&gt;".",INDEX('PSL for Lists'!E$2:E$211,MATCH('D-3bf Consolidated (Pivot)'!$AC62,'PSL for Lists'!$A$2:$A$211,FALSE),1), ".")</f>
        <v>.</v>
      </c>
    </row>
    <row r="63" spans="1:31" x14ac:dyDescent="0.25">
      <c r="A63">
        <f t="shared" si="17"/>
        <v>0</v>
      </c>
      <c r="B63">
        <f t="shared" si="18"/>
        <v>0</v>
      </c>
      <c r="C63">
        <f t="shared" si="19"/>
        <v>0</v>
      </c>
      <c r="D63">
        <f t="shared" si="20"/>
        <v>0</v>
      </c>
      <c r="E63">
        <f t="shared" si="21"/>
        <v>0</v>
      </c>
      <c r="F63">
        <f>'D-RepLevel'!$F$2</f>
        <v>0</v>
      </c>
      <c r="G63">
        <f>'D-RepLevel'!$G$2</f>
        <v>0</v>
      </c>
      <c r="H63">
        <f t="shared" si="22"/>
        <v>0</v>
      </c>
      <c r="I63" t="str">
        <f>IF(ISERROR(INDEX('1b'!$C$5:$C$21, MATCH("Primary Business Line", '1b'!$H$5:$H$21, FALSE), 1)), "None Selected", INDEX('1b'!$C$5:$C$21, MATCH("Primary Business Line", '1b'!$H$5:$H$21, FALSE), 1))</f>
        <v>None Selected</v>
      </c>
      <c r="J63">
        <f>'D-3'!$J$2</f>
        <v>0</v>
      </c>
      <c r="K63">
        <f>COUNTIF('4a'!$E$6:$E$29, "Direct")+COUNTIF('4a'!$E$6:$E$29, "Indirect")+COUNTIF('4a'!$E$6:$E$29, "Both")</f>
        <v>0</v>
      </c>
      <c r="L63">
        <f t="shared" si="23"/>
        <v>0</v>
      </c>
      <c r="M63">
        <f t="shared" si="24"/>
        <v>0</v>
      </c>
      <c r="N63">
        <f t="shared" si="25"/>
        <v>0</v>
      </c>
      <c r="O63">
        <f t="shared" si="26"/>
        <v>2015</v>
      </c>
      <c r="P63">
        <f t="shared" si="27"/>
        <v>0</v>
      </c>
      <c r="Q63">
        <f t="shared" si="28"/>
        <v>0</v>
      </c>
      <c r="R63">
        <f t="shared" si="29"/>
        <v>0</v>
      </c>
      <c r="S63">
        <f t="shared" si="30"/>
        <v>0</v>
      </c>
      <c r="T63">
        <f>COUNTIF('9a'!$K$22:$K$32, "Yes")+COUNTIF('9a'!$O$22:$O$32, "Yes")</f>
        <v>0</v>
      </c>
      <c r="U63" t="str">
        <f t="shared" si="31"/>
        <v>No Expenditures</v>
      </c>
      <c r="V63" t="str">
        <f t="shared" si="32"/>
        <v>No Expenditures</v>
      </c>
      <c r="W63">
        <f t="shared" si="33"/>
        <v>0</v>
      </c>
      <c r="X63" t="str">
        <f>'D-Risk'!$AO$25</f>
        <v>Insufficient Data</v>
      </c>
      <c r="Y63" t="str">
        <f>'D-Risk'!$AO$26</f>
        <v>Insufficient Data</v>
      </c>
      <c r="Z63" t="str">
        <f>'D-Risk'!$AO$27</f>
        <v>Uncalculated</v>
      </c>
      <c r="AA63">
        <v>62</v>
      </c>
      <c r="AB63" t="str">
        <f>IF(AC63&lt;&gt;".",INDEX('PSL for Lists'!$C$2:$C$211,MATCH('D-3bf Consolidated (Pivot)'!$AC63,'PSL for Lists'!$A$2:$A$211,FALSE),1), ".")</f>
        <v>.</v>
      </c>
      <c r="AC63" t="str">
        <f>IF(ISERROR(Lists!AM63), ".", Lists!AM63)</f>
        <v>.</v>
      </c>
      <c r="AD63" t="str">
        <f>IF($AC63&lt;&gt;".",INDEX('PSL for Lists'!D$2:D$211,MATCH('D-3bf Consolidated (Pivot)'!$AC63,'PSL for Lists'!$A$2:$A$211,FALSE),1), ".")</f>
        <v>.</v>
      </c>
      <c r="AE63" t="str">
        <f>IF($AC63&lt;&gt;".",INDEX('PSL for Lists'!E$2:E$211,MATCH('D-3bf Consolidated (Pivot)'!$AC63,'PSL for Lists'!$A$2:$A$211,FALSE),1), ".")</f>
        <v>.</v>
      </c>
    </row>
    <row r="64" spans="1:31" x14ac:dyDescent="0.25">
      <c r="A64">
        <f t="shared" si="17"/>
        <v>0</v>
      </c>
      <c r="B64">
        <f t="shared" si="18"/>
        <v>0</v>
      </c>
      <c r="C64">
        <f t="shared" si="19"/>
        <v>0</v>
      </c>
      <c r="D64">
        <f t="shared" si="20"/>
        <v>0</v>
      </c>
      <c r="E64">
        <f t="shared" si="21"/>
        <v>0</v>
      </c>
      <c r="F64">
        <f>'D-RepLevel'!$F$2</f>
        <v>0</v>
      </c>
      <c r="G64">
        <f>'D-RepLevel'!$G$2</f>
        <v>0</v>
      </c>
      <c r="H64">
        <f t="shared" si="22"/>
        <v>0</v>
      </c>
      <c r="I64" t="str">
        <f>IF(ISERROR(INDEX('1b'!$C$5:$C$21, MATCH("Primary Business Line", '1b'!$H$5:$H$21, FALSE), 1)), "None Selected", INDEX('1b'!$C$5:$C$21, MATCH("Primary Business Line", '1b'!$H$5:$H$21, FALSE), 1))</f>
        <v>None Selected</v>
      </c>
      <c r="J64">
        <f>'D-3'!$J$2</f>
        <v>0</v>
      </c>
      <c r="K64">
        <f>COUNTIF('4a'!$E$6:$E$29, "Direct")+COUNTIF('4a'!$E$6:$E$29, "Indirect")+COUNTIF('4a'!$E$6:$E$29, "Both")</f>
        <v>0</v>
      </c>
      <c r="L64">
        <f t="shared" si="23"/>
        <v>0</v>
      </c>
      <c r="M64">
        <f t="shared" si="24"/>
        <v>0</v>
      </c>
      <c r="N64">
        <f t="shared" si="25"/>
        <v>0</v>
      </c>
      <c r="O64">
        <f t="shared" si="26"/>
        <v>2015</v>
      </c>
      <c r="P64">
        <f t="shared" si="27"/>
        <v>0</v>
      </c>
      <c r="Q64">
        <f t="shared" si="28"/>
        <v>0</v>
      </c>
      <c r="R64">
        <f t="shared" si="29"/>
        <v>0</v>
      </c>
      <c r="S64">
        <f t="shared" si="30"/>
        <v>0</v>
      </c>
      <c r="T64">
        <f>COUNTIF('9a'!$K$22:$K$32, "Yes")+COUNTIF('9a'!$O$22:$O$32, "Yes")</f>
        <v>0</v>
      </c>
      <c r="U64" t="str">
        <f t="shared" si="31"/>
        <v>No Expenditures</v>
      </c>
      <c r="V64" t="str">
        <f t="shared" si="32"/>
        <v>No Expenditures</v>
      </c>
      <c r="W64">
        <f t="shared" si="33"/>
        <v>0</v>
      </c>
      <c r="X64" t="str">
        <f>'D-Risk'!$AO$25</f>
        <v>Insufficient Data</v>
      </c>
      <c r="Y64" t="str">
        <f>'D-Risk'!$AO$26</f>
        <v>Insufficient Data</v>
      </c>
      <c r="Z64" t="str">
        <f>'D-Risk'!$AO$27</f>
        <v>Uncalculated</v>
      </c>
      <c r="AA64">
        <v>63</v>
      </c>
      <c r="AB64" t="str">
        <f>IF(AC64&lt;&gt;".",INDEX('PSL for Lists'!$C$2:$C$211,MATCH('D-3bf Consolidated (Pivot)'!$AC64,'PSL for Lists'!$A$2:$A$211,FALSE),1), ".")</f>
        <v>.</v>
      </c>
      <c r="AC64" t="str">
        <f>IF(ISERROR(Lists!AM64), ".", Lists!AM64)</f>
        <v>.</v>
      </c>
      <c r="AD64" t="str">
        <f>IF($AC64&lt;&gt;".",INDEX('PSL for Lists'!D$2:D$211,MATCH('D-3bf Consolidated (Pivot)'!$AC64,'PSL for Lists'!$A$2:$A$211,FALSE),1), ".")</f>
        <v>.</v>
      </c>
      <c r="AE64" t="str">
        <f>IF($AC64&lt;&gt;".",INDEX('PSL for Lists'!E$2:E$211,MATCH('D-3bf Consolidated (Pivot)'!$AC64,'PSL for Lists'!$A$2:$A$211,FALSE),1), ".")</f>
        <v>.</v>
      </c>
    </row>
    <row r="65" spans="1:31" x14ac:dyDescent="0.25">
      <c r="A65">
        <f t="shared" si="17"/>
        <v>0</v>
      </c>
      <c r="B65">
        <f t="shared" si="18"/>
        <v>0</v>
      </c>
      <c r="C65">
        <f t="shared" si="19"/>
        <v>0</v>
      </c>
      <c r="D65">
        <f t="shared" si="20"/>
        <v>0</v>
      </c>
      <c r="E65">
        <f t="shared" si="21"/>
        <v>0</v>
      </c>
      <c r="F65">
        <f>'D-RepLevel'!$F$2</f>
        <v>0</v>
      </c>
      <c r="G65">
        <f>'D-RepLevel'!$G$2</f>
        <v>0</v>
      </c>
      <c r="H65">
        <f t="shared" si="22"/>
        <v>0</v>
      </c>
      <c r="I65" t="str">
        <f>IF(ISERROR(INDEX('1b'!$C$5:$C$21, MATCH("Primary Business Line", '1b'!$H$5:$H$21, FALSE), 1)), "None Selected", INDEX('1b'!$C$5:$C$21, MATCH("Primary Business Line", '1b'!$H$5:$H$21, FALSE), 1))</f>
        <v>None Selected</v>
      </c>
      <c r="J65">
        <f>'D-3'!$J$2</f>
        <v>0</v>
      </c>
      <c r="K65">
        <f>COUNTIF('4a'!$E$6:$E$29, "Direct")+COUNTIF('4a'!$E$6:$E$29, "Indirect")+COUNTIF('4a'!$E$6:$E$29, "Both")</f>
        <v>0</v>
      </c>
      <c r="L65">
        <f t="shared" si="23"/>
        <v>0</v>
      </c>
      <c r="M65">
        <f t="shared" si="24"/>
        <v>0</v>
      </c>
      <c r="N65">
        <f t="shared" si="25"/>
        <v>0</v>
      </c>
      <c r="O65">
        <f t="shared" si="26"/>
        <v>2015</v>
      </c>
      <c r="P65">
        <f t="shared" si="27"/>
        <v>0</v>
      </c>
      <c r="Q65">
        <f t="shared" si="28"/>
        <v>0</v>
      </c>
      <c r="R65">
        <f t="shared" si="29"/>
        <v>0</v>
      </c>
      <c r="S65">
        <f t="shared" si="30"/>
        <v>0</v>
      </c>
      <c r="T65">
        <f>COUNTIF('9a'!$K$22:$K$32, "Yes")+COUNTIF('9a'!$O$22:$O$32, "Yes")</f>
        <v>0</v>
      </c>
      <c r="U65" t="str">
        <f t="shared" si="31"/>
        <v>No Expenditures</v>
      </c>
      <c r="V65" t="str">
        <f t="shared" si="32"/>
        <v>No Expenditures</v>
      </c>
      <c r="W65">
        <f t="shared" si="33"/>
        <v>0</v>
      </c>
      <c r="X65" t="str">
        <f>'D-Risk'!$AO$25</f>
        <v>Insufficient Data</v>
      </c>
      <c r="Y65" t="str">
        <f>'D-Risk'!$AO$26</f>
        <v>Insufficient Data</v>
      </c>
      <c r="Z65" t="str">
        <f>'D-Risk'!$AO$27</f>
        <v>Uncalculated</v>
      </c>
      <c r="AA65">
        <v>64</v>
      </c>
      <c r="AB65" t="str">
        <f>IF(AC65&lt;&gt;".",INDEX('PSL for Lists'!$C$2:$C$211,MATCH('D-3bf Consolidated (Pivot)'!$AC65,'PSL for Lists'!$A$2:$A$211,FALSE),1), ".")</f>
        <v>.</v>
      </c>
      <c r="AC65" t="str">
        <f>IF(ISERROR(Lists!AM65), ".", Lists!AM65)</f>
        <v>.</v>
      </c>
      <c r="AD65" t="str">
        <f>IF($AC65&lt;&gt;".",INDEX('PSL for Lists'!D$2:D$211,MATCH('D-3bf Consolidated (Pivot)'!$AC65,'PSL for Lists'!$A$2:$A$211,FALSE),1), ".")</f>
        <v>.</v>
      </c>
      <c r="AE65" t="str">
        <f>IF($AC65&lt;&gt;".",INDEX('PSL for Lists'!E$2:E$211,MATCH('D-3bf Consolidated (Pivot)'!$AC65,'PSL for Lists'!$A$2:$A$211,FALSE),1), ".")</f>
        <v>.</v>
      </c>
    </row>
    <row r="66" spans="1:31" x14ac:dyDescent="0.25">
      <c r="A66">
        <f t="shared" ref="A66:A76" si="34">Q_RP_B_DSSCAGE_01</f>
        <v>0</v>
      </c>
      <c r="B66">
        <f t="shared" ref="B66:B76" si="35">Q1a_A_LocationName</f>
        <v>0</v>
      </c>
      <c r="C66">
        <f t="shared" ref="C66:C76" si="36">Q1a_A_LocOrgName</f>
        <v>0</v>
      </c>
      <c r="D66">
        <f t="shared" ref="D66:D76" si="37">Q1a_B_Parent1_Name</f>
        <v>0</v>
      </c>
      <c r="E66">
        <f t="shared" ref="E66:E76" si="38">Q_RP_A_MultiResponse</f>
        <v>0</v>
      </c>
      <c r="F66">
        <f>'D-RepLevel'!$F$2</f>
        <v>0</v>
      </c>
      <c r="G66">
        <f>'D-RepLevel'!$G$2</f>
        <v>0</v>
      </c>
      <c r="H66">
        <f t="shared" ref="H66:H76" si="39">Q1a_A_OnlyLoc_YN</f>
        <v>0</v>
      </c>
      <c r="I66" t="str">
        <f>IF(ISERROR(INDEX('1b'!$C$5:$C$21, MATCH("Primary Business Line", '1b'!$H$5:$H$21, FALSE), 1)), "None Selected", INDEX('1b'!$C$5:$C$21, MATCH("Primary Business Line", '1b'!$H$5:$H$21, FALSE), 1))</f>
        <v>None Selected</v>
      </c>
      <c r="J66">
        <f>'D-3'!$J$2</f>
        <v>0</v>
      </c>
      <c r="K66">
        <f>COUNTIF('4a'!$E$6:$E$29, "Direct")+COUNTIF('4a'!$E$6:$E$29, "Indirect")+COUNTIF('4a'!$E$6:$E$29, "Both")</f>
        <v>0</v>
      </c>
      <c r="L66">
        <f t="shared" ref="L66:L76" si="40">Q4b_A_NumUSGPrograms</f>
        <v>0</v>
      </c>
      <c r="M66">
        <f t="shared" ref="M66:M76" si="41">Q6_A_Employees_Year3</f>
        <v>0</v>
      </c>
      <c r="N66">
        <f t="shared" ref="N66:N76" si="42">Q6_B_Employee_H1B_Total+Q6_B_Employee_H2B_Total+Q6_B_Employee_F1_Total+Q6_B_Employee_GreenCard_Total+Q6_B_Employee_Other_Total</f>
        <v>0</v>
      </c>
      <c r="O66">
        <f t="shared" ref="O66:O76" si="43">Year3</f>
        <v>2015</v>
      </c>
      <c r="P66">
        <f t="shared" ref="P66:P76" si="44">Q7_A_TotalSales_US_Year3+Q7_A_TotalSales_NonUS_Year3</f>
        <v>0</v>
      </c>
      <c r="Q66">
        <f t="shared" ref="Q66:Q76" si="45">Q7_B_DefSales_US_Year3_Pct*Q7_A_TotalSales_US_Year3+Q7_B_DefSales_NonUS_Year3_Pct*Q7_A_TotalSales_NonUS_Year3</f>
        <v>0</v>
      </c>
      <c r="R66">
        <f t="shared" ref="R66:R76" si="46">Q9a_B_Physical_Year3</f>
        <v>0</v>
      </c>
      <c r="S66">
        <f t="shared" ref="S66:S76" si="47">Q9a_B_Cyber_Year3</f>
        <v>0</v>
      </c>
      <c r="T66">
        <f>COUNTIF('9a'!$K$22:$K$32, "Yes")+COUNTIF('9a'!$O$22:$O$32, "Yes")</f>
        <v>0</v>
      </c>
      <c r="U66" t="str">
        <f t="shared" ref="U66:U76" si="48">IF(Q12_OpEx_Year3=0, "No Expenditures", Q9b_A_PhysicalSpending_Year3/(Q12_OpEx_Year3))</f>
        <v>No Expenditures</v>
      </c>
      <c r="V66" t="str">
        <f t="shared" ref="V66:V76" si="49">IF(Q12_OpEx_Year3=0, "No Expenditures", Q9b_A_CyberSpending_Year3/(Q12_OpEx_Year3))</f>
        <v>No Expenditures</v>
      </c>
      <c r="W66">
        <f t="shared" ref="W66:W76" si="50">Q9b_C_Pct_CSI_External</f>
        <v>0</v>
      </c>
      <c r="X66" t="str">
        <f>'D-Risk'!$AO$25</f>
        <v>Insufficient Data</v>
      </c>
      <c r="Y66" t="str">
        <f>'D-Risk'!$AO$26</f>
        <v>Insufficient Data</v>
      </c>
      <c r="Z66" t="str">
        <f>'D-Risk'!$AO$27</f>
        <v>Uncalculated</v>
      </c>
      <c r="AA66">
        <v>65</v>
      </c>
      <c r="AB66" t="str">
        <f>IF(AC66&lt;&gt;".",INDEX('PSL for Lists'!$C$2:$C$211,MATCH('D-3bf Consolidated (Pivot)'!$AC66,'PSL for Lists'!$A$2:$A$211,FALSE),1), ".")</f>
        <v>.</v>
      </c>
      <c r="AC66" t="str">
        <f>IF(ISERROR(Lists!AM66), ".", Lists!AM66)</f>
        <v>.</v>
      </c>
      <c r="AD66" t="str">
        <f>IF($AC66&lt;&gt;".",INDEX('PSL for Lists'!D$2:D$211,MATCH('D-3bf Consolidated (Pivot)'!$AC66,'PSL for Lists'!$A$2:$A$211,FALSE),1), ".")</f>
        <v>.</v>
      </c>
      <c r="AE66" t="str">
        <f>IF($AC66&lt;&gt;".",INDEX('PSL for Lists'!E$2:E$211,MATCH('D-3bf Consolidated (Pivot)'!$AC66,'PSL for Lists'!$A$2:$A$211,FALSE),1), ".")</f>
        <v>.</v>
      </c>
    </row>
    <row r="67" spans="1:31" x14ac:dyDescent="0.25">
      <c r="A67">
        <f t="shared" si="34"/>
        <v>0</v>
      </c>
      <c r="B67">
        <f t="shared" si="35"/>
        <v>0</v>
      </c>
      <c r="C67">
        <f t="shared" si="36"/>
        <v>0</v>
      </c>
      <c r="D67">
        <f t="shared" si="37"/>
        <v>0</v>
      </c>
      <c r="E67">
        <f t="shared" si="38"/>
        <v>0</v>
      </c>
      <c r="F67">
        <f>'D-RepLevel'!$F$2</f>
        <v>0</v>
      </c>
      <c r="G67">
        <f>'D-RepLevel'!$G$2</f>
        <v>0</v>
      </c>
      <c r="H67">
        <f t="shared" si="39"/>
        <v>0</v>
      </c>
      <c r="I67" t="str">
        <f>IF(ISERROR(INDEX('1b'!$C$5:$C$21, MATCH("Primary Business Line", '1b'!$H$5:$H$21, FALSE), 1)), "None Selected", INDEX('1b'!$C$5:$C$21, MATCH("Primary Business Line", '1b'!$H$5:$H$21, FALSE), 1))</f>
        <v>None Selected</v>
      </c>
      <c r="J67">
        <f>'D-3'!$J$2</f>
        <v>0</v>
      </c>
      <c r="K67">
        <f>COUNTIF('4a'!$E$6:$E$29, "Direct")+COUNTIF('4a'!$E$6:$E$29, "Indirect")+COUNTIF('4a'!$E$6:$E$29, "Both")</f>
        <v>0</v>
      </c>
      <c r="L67">
        <f t="shared" si="40"/>
        <v>0</v>
      </c>
      <c r="M67">
        <f t="shared" si="41"/>
        <v>0</v>
      </c>
      <c r="N67">
        <f t="shared" si="42"/>
        <v>0</v>
      </c>
      <c r="O67">
        <f t="shared" si="43"/>
        <v>2015</v>
      </c>
      <c r="P67">
        <f t="shared" si="44"/>
        <v>0</v>
      </c>
      <c r="Q67">
        <f t="shared" si="45"/>
        <v>0</v>
      </c>
      <c r="R67">
        <f t="shared" si="46"/>
        <v>0</v>
      </c>
      <c r="S67">
        <f t="shared" si="47"/>
        <v>0</v>
      </c>
      <c r="T67">
        <f>COUNTIF('9a'!$K$22:$K$32, "Yes")+COUNTIF('9a'!$O$22:$O$32, "Yes")</f>
        <v>0</v>
      </c>
      <c r="U67" t="str">
        <f t="shared" si="48"/>
        <v>No Expenditures</v>
      </c>
      <c r="V67" t="str">
        <f t="shared" si="49"/>
        <v>No Expenditures</v>
      </c>
      <c r="W67">
        <f t="shared" si="50"/>
        <v>0</v>
      </c>
      <c r="X67" t="str">
        <f>'D-Risk'!$AO$25</f>
        <v>Insufficient Data</v>
      </c>
      <c r="Y67" t="str">
        <f>'D-Risk'!$AO$26</f>
        <v>Insufficient Data</v>
      </c>
      <c r="Z67" t="str">
        <f>'D-Risk'!$AO$27</f>
        <v>Uncalculated</v>
      </c>
      <c r="AA67">
        <v>66</v>
      </c>
      <c r="AB67" t="str">
        <f>IF(AC67&lt;&gt;".",INDEX('PSL for Lists'!$C$2:$C$211,MATCH('D-3bf Consolidated (Pivot)'!$AC67,'PSL for Lists'!$A$2:$A$211,FALSE),1), ".")</f>
        <v>.</v>
      </c>
      <c r="AC67" t="str">
        <f>IF(ISERROR(Lists!AM67), ".", Lists!AM67)</f>
        <v>.</v>
      </c>
      <c r="AD67" t="str">
        <f>IF($AC67&lt;&gt;".",INDEX('PSL for Lists'!D$2:D$211,MATCH('D-3bf Consolidated (Pivot)'!$AC67,'PSL for Lists'!$A$2:$A$211,FALSE),1), ".")</f>
        <v>.</v>
      </c>
      <c r="AE67" t="str">
        <f>IF($AC67&lt;&gt;".",INDEX('PSL for Lists'!E$2:E$211,MATCH('D-3bf Consolidated (Pivot)'!$AC67,'PSL for Lists'!$A$2:$A$211,FALSE),1), ".")</f>
        <v>.</v>
      </c>
    </row>
    <row r="68" spans="1:31" x14ac:dyDescent="0.25">
      <c r="A68">
        <f t="shared" si="34"/>
        <v>0</v>
      </c>
      <c r="B68">
        <f t="shared" si="35"/>
        <v>0</v>
      </c>
      <c r="C68">
        <f t="shared" si="36"/>
        <v>0</v>
      </c>
      <c r="D68">
        <f t="shared" si="37"/>
        <v>0</v>
      </c>
      <c r="E68">
        <f t="shared" si="38"/>
        <v>0</v>
      </c>
      <c r="F68">
        <f>'D-RepLevel'!$F$2</f>
        <v>0</v>
      </c>
      <c r="G68">
        <f>'D-RepLevel'!$G$2</f>
        <v>0</v>
      </c>
      <c r="H68">
        <f t="shared" si="39"/>
        <v>0</v>
      </c>
      <c r="I68" t="str">
        <f>IF(ISERROR(INDEX('1b'!$C$5:$C$21, MATCH("Primary Business Line", '1b'!$H$5:$H$21, FALSE), 1)), "None Selected", INDEX('1b'!$C$5:$C$21, MATCH("Primary Business Line", '1b'!$H$5:$H$21, FALSE), 1))</f>
        <v>None Selected</v>
      </c>
      <c r="J68">
        <f>'D-3'!$J$2</f>
        <v>0</v>
      </c>
      <c r="K68">
        <f>COUNTIF('4a'!$E$6:$E$29, "Direct")+COUNTIF('4a'!$E$6:$E$29, "Indirect")+COUNTIF('4a'!$E$6:$E$29, "Both")</f>
        <v>0</v>
      </c>
      <c r="L68">
        <f t="shared" si="40"/>
        <v>0</v>
      </c>
      <c r="M68">
        <f t="shared" si="41"/>
        <v>0</v>
      </c>
      <c r="N68">
        <f t="shared" si="42"/>
        <v>0</v>
      </c>
      <c r="O68">
        <f t="shared" si="43"/>
        <v>2015</v>
      </c>
      <c r="P68">
        <f t="shared" si="44"/>
        <v>0</v>
      </c>
      <c r="Q68">
        <f t="shared" si="45"/>
        <v>0</v>
      </c>
      <c r="R68">
        <f t="shared" si="46"/>
        <v>0</v>
      </c>
      <c r="S68">
        <f t="shared" si="47"/>
        <v>0</v>
      </c>
      <c r="T68">
        <f>COUNTIF('9a'!$K$22:$K$32, "Yes")+COUNTIF('9a'!$O$22:$O$32, "Yes")</f>
        <v>0</v>
      </c>
      <c r="U68" t="str">
        <f t="shared" si="48"/>
        <v>No Expenditures</v>
      </c>
      <c r="V68" t="str">
        <f t="shared" si="49"/>
        <v>No Expenditures</v>
      </c>
      <c r="W68">
        <f t="shared" si="50"/>
        <v>0</v>
      </c>
      <c r="X68" t="str">
        <f>'D-Risk'!$AO$25</f>
        <v>Insufficient Data</v>
      </c>
      <c r="Y68" t="str">
        <f>'D-Risk'!$AO$26</f>
        <v>Insufficient Data</v>
      </c>
      <c r="Z68" t="str">
        <f>'D-Risk'!$AO$27</f>
        <v>Uncalculated</v>
      </c>
      <c r="AA68">
        <v>67</v>
      </c>
      <c r="AB68" t="str">
        <f>IF(AC68&lt;&gt;".",INDEX('PSL for Lists'!$C$2:$C$211,MATCH('D-3bf Consolidated (Pivot)'!$AC68,'PSL for Lists'!$A$2:$A$211,FALSE),1), ".")</f>
        <v>.</v>
      </c>
      <c r="AC68" t="str">
        <f>IF(ISERROR(Lists!AM68), ".", Lists!AM68)</f>
        <v>.</v>
      </c>
      <c r="AD68" t="str">
        <f>IF($AC68&lt;&gt;".",INDEX('PSL for Lists'!D$2:D$211,MATCH('D-3bf Consolidated (Pivot)'!$AC68,'PSL for Lists'!$A$2:$A$211,FALSE),1), ".")</f>
        <v>.</v>
      </c>
      <c r="AE68" t="str">
        <f>IF($AC68&lt;&gt;".",INDEX('PSL for Lists'!E$2:E$211,MATCH('D-3bf Consolidated (Pivot)'!$AC68,'PSL for Lists'!$A$2:$A$211,FALSE),1), ".")</f>
        <v>.</v>
      </c>
    </row>
    <row r="69" spans="1:31" x14ac:dyDescent="0.25">
      <c r="A69">
        <f t="shared" si="34"/>
        <v>0</v>
      </c>
      <c r="B69">
        <f t="shared" si="35"/>
        <v>0</v>
      </c>
      <c r="C69">
        <f t="shared" si="36"/>
        <v>0</v>
      </c>
      <c r="D69">
        <f t="shared" si="37"/>
        <v>0</v>
      </c>
      <c r="E69">
        <f t="shared" si="38"/>
        <v>0</v>
      </c>
      <c r="F69">
        <f>'D-RepLevel'!$F$2</f>
        <v>0</v>
      </c>
      <c r="G69">
        <f>'D-RepLevel'!$G$2</f>
        <v>0</v>
      </c>
      <c r="H69">
        <f t="shared" si="39"/>
        <v>0</v>
      </c>
      <c r="I69" t="str">
        <f>IF(ISERROR(INDEX('1b'!$C$5:$C$21, MATCH("Primary Business Line", '1b'!$H$5:$H$21, FALSE), 1)), "None Selected", INDEX('1b'!$C$5:$C$21, MATCH("Primary Business Line", '1b'!$H$5:$H$21, FALSE), 1))</f>
        <v>None Selected</v>
      </c>
      <c r="J69">
        <f>'D-3'!$J$2</f>
        <v>0</v>
      </c>
      <c r="K69">
        <f>COUNTIF('4a'!$E$6:$E$29, "Direct")+COUNTIF('4a'!$E$6:$E$29, "Indirect")+COUNTIF('4a'!$E$6:$E$29, "Both")</f>
        <v>0</v>
      </c>
      <c r="L69">
        <f t="shared" si="40"/>
        <v>0</v>
      </c>
      <c r="M69">
        <f t="shared" si="41"/>
        <v>0</v>
      </c>
      <c r="N69">
        <f t="shared" si="42"/>
        <v>0</v>
      </c>
      <c r="O69">
        <f t="shared" si="43"/>
        <v>2015</v>
      </c>
      <c r="P69">
        <f t="shared" si="44"/>
        <v>0</v>
      </c>
      <c r="Q69">
        <f t="shared" si="45"/>
        <v>0</v>
      </c>
      <c r="R69">
        <f t="shared" si="46"/>
        <v>0</v>
      </c>
      <c r="S69">
        <f t="shared" si="47"/>
        <v>0</v>
      </c>
      <c r="T69">
        <f>COUNTIF('9a'!$K$22:$K$32, "Yes")+COUNTIF('9a'!$O$22:$O$32, "Yes")</f>
        <v>0</v>
      </c>
      <c r="U69" t="str">
        <f t="shared" si="48"/>
        <v>No Expenditures</v>
      </c>
      <c r="V69" t="str">
        <f t="shared" si="49"/>
        <v>No Expenditures</v>
      </c>
      <c r="W69">
        <f t="shared" si="50"/>
        <v>0</v>
      </c>
      <c r="X69" t="str">
        <f>'D-Risk'!$AO$25</f>
        <v>Insufficient Data</v>
      </c>
      <c r="Y69" t="str">
        <f>'D-Risk'!$AO$26</f>
        <v>Insufficient Data</v>
      </c>
      <c r="Z69" t="str">
        <f>'D-Risk'!$AO$27</f>
        <v>Uncalculated</v>
      </c>
      <c r="AA69">
        <v>68</v>
      </c>
      <c r="AB69" t="str">
        <f>IF(AC69&lt;&gt;".",INDEX('PSL for Lists'!$C$2:$C$211,MATCH('D-3bf Consolidated (Pivot)'!$AC69,'PSL for Lists'!$A$2:$A$211,FALSE),1), ".")</f>
        <v>.</v>
      </c>
      <c r="AC69" t="str">
        <f>IF(ISERROR(Lists!AM69), ".", Lists!AM69)</f>
        <v>.</v>
      </c>
      <c r="AD69" t="str">
        <f>IF($AC69&lt;&gt;".",INDEX('PSL for Lists'!D$2:D$211,MATCH('D-3bf Consolidated (Pivot)'!$AC69,'PSL for Lists'!$A$2:$A$211,FALSE),1), ".")</f>
        <v>.</v>
      </c>
      <c r="AE69" t="str">
        <f>IF($AC69&lt;&gt;".",INDEX('PSL for Lists'!E$2:E$211,MATCH('D-3bf Consolidated (Pivot)'!$AC69,'PSL for Lists'!$A$2:$A$211,FALSE),1), ".")</f>
        <v>.</v>
      </c>
    </row>
    <row r="70" spans="1:31" x14ac:dyDescent="0.25">
      <c r="A70">
        <f t="shared" si="34"/>
        <v>0</v>
      </c>
      <c r="B70">
        <f t="shared" si="35"/>
        <v>0</v>
      </c>
      <c r="C70">
        <f t="shared" si="36"/>
        <v>0</v>
      </c>
      <c r="D70">
        <f t="shared" si="37"/>
        <v>0</v>
      </c>
      <c r="E70">
        <f t="shared" si="38"/>
        <v>0</v>
      </c>
      <c r="F70">
        <f>'D-RepLevel'!$F$2</f>
        <v>0</v>
      </c>
      <c r="G70">
        <f>'D-RepLevel'!$G$2</f>
        <v>0</v>
      </c>
      <c r="H70">
        <f t="shared" si="39"/>
        <v>0</v>
      </c>
      <c r="I70" t="str">
        <f>IF(ISERROR(INDEX('1b'!$C$5:$C$21, MATCH("Primary Business Line", '1b'!$H$5:$H$21, FALSE), 1)), "None Selected", INDEX('1b'!$C$5:$C$21, MATCH("Primary Business Line", '1b'!$H$5:$H$21, FALSE), 1))</f>
        <v>None Selected</v>
      </c>
      <c r="J70">
        <f>'D-3'!$J$2</f>
        <v>0</v>
      </c>
      <c r="K70">
        <f>COUNTIF('4a'!$E$6:$E$29, "Direct")+COUNTIF('4a'!$E$6:$E$29, "Indirect")+COUNTIF('4a'!$E$6:$E$29, "Both")</f>
        <v>0</v>
      </c>
      <c r="L70">
        <f t="shared" si="40"/>
        <v>0</v>
      </c>
      <c r="M70">
        <f t="shared" si="41"/>
        <v>0</v>
      </c>
      <c r="N70">
        <f t="shared" si="42"/>
        <v>0</v>
      </c>
      <c r="O70">
        <f t="shared" si="43"/>
        <v>2015</v>
      </c>
      <c r="P70">
        <f t="shared" si="44"/>
        <v>0</v>
      </c>
      <c r="Q70">
        <f t="shared" si="45"/>
        <v>0</v>
      </c>
      <c r="R70">
        <f t="shared" si="46"/>
        <v>0</v>
      </c>
      <c r="S70">
        <f t="shared" si="47"/>
        <v>0</v>
      </c>
      <c r="T70">
        <f>COUNTIF('9a'!$K$22:$K$32, "Yes")+COUNTIF('9a'!$O$22:$O$32, "Yes")</f>
        <v>0</v>
      </c>
      <c r="U70" t="str">
        <f t="shared" si="48"/>
        <v>No Expenditures</v>
      </c>
      <c r="V70" t="str">
        <f t="shared" si="49"/>
        <v>No Expenditures</v>
      </c>
      <c r="W70">
        <f t="shared" si="50"/>
        <v>0</v>
      </c>
      <c r="X70" t="str">
        <f>'D-Risk'!$AO$25</f>
        <v>Insufficient Data</v>
      </c>
      <c r="Y70" t="str">
        <f>'D-Risk'!$AO$26</f>
        <v>Insufficient Data</v>
      </c>
      <c r="Z70" t="str">
        <f>'D-Risk'!$AO$27</f>
        <v>Uncalculated</v>
      </c>
      <c r="AA70">
        <v>69</v>
      </c>
      <c r="AB70" t="str">
        <f>IF(AC70&lt;&gt;".",INDEX('PSL for Lists'!$C$2:$C$211,MATCH('D-3bf Consolidated (Pivot)'!$AC70,'PSL for Lists'!$A$2:$A$211,FALSE),1), ".")</f>
        <v>.</v>
      </c>
      <c r="AC70" t="str">
        <f>IF(ISERROR(Lists!AM70), ".", Lists!AM70)</f>
        <v>.</v>
      </c>
      <c r="AD70" t="str">
        <f>IF($AC70&lt;&gt;".",INDEX('PSL for Lists'!D$2:D$211,MATCH('D-3bf Consolidated (Pivot)'!$AC70,'PSL for Lists'!$A$2:$A$211,FALSE),1), ".")</f>
        <v>.</v>
      </c>
      <c r="AE70" t="str">
        <f>IF($AC70&lt;&gt;".",INDEX('PSL for Lists'!E$2:E$211,MATCH('D-3bf Consolidated (Pivot)'!$AC70,'PSL for Lists'!$A$2:$A$211,FALSE),1), ".")</f>
        <v>.</v>
      </c>
    </row>
    <row r="71" spans="1:31" x14ac:dyDescent="0.25">
      <c r="A71">
        <f t="shared" si="34"/>
        <v>0</v>
      </c>
      <c r="B71">
        <f t="shared" si="35"/>
        <v>0</v>
      </c>
      <c r="C71">
        <f t="shared" si="36"/>
        <v>0</v>
      </c>
      <c r="D71">
        <f t="shared" si="37"/>
        <v>0</v>
      </c>
      <c r="E71">
        <f t="shared" si="38"/>
        <v>0</v>
      </c>
      <c r="F71">
        <f>'D-RepLevel'!$F$2</f>
        <v>0</v>
      </c>
      <c r="G71">
        <f>'D-RepLevel'!$G$2</f>
        <v>0</v>
      </c>
      <c r="H71">
        <f t="shared" si="39"/>
        <v>0</v>
      </c>
      <c r="I71" t="str">
        <f>IF(ISERROR(INDEX('1b'!$C$5:$C$21, MATCH("Primary Business Line", '1b'!$H$5:$H$21, FALSE), 1)), "None Selected", INDEX('1b'!$C$5:$C$21, MATCH("Primary Business Line", '1b'!$H$5:$H$21, FALSE), 1))</f>
        <v>None Selected</v>
      </c>
      <c r="J71">
        <f>'D-3'!$J$2</f>
        <v>0</v>
      </c>
      <c r="K71">
        <f>COUNTIF('4a'!$E$6:$E$29, "Direct")+COUNTIF('4a'!$E$6:$E$29, "Indirect")+COUNTIF('4a'!$E$6:$E$29, "Both")</f>
        <v>0</v>
      </c>
      <c r="L71">
        <f t="shared" si="40"/>
        <v>0</v>
      </c>
      <c r="M71">
        <f t="shared" si="41"/>
        <v>0</v>
      </c>
      <c r="N71">
        <f t="shared" si="42"/>
        <v>0</v>
      </c>
      <c r="O71">
        <f t="shared" si="43"/>
        <v>2015</v>
      </c>
      <c r="P71">
        <f t="shared" si="44"/>
        <v>0</v>
      </c>
      <c r="Q71">
        <f t="shared" si="45"/>
        <v>0</v>
      </c>
      <c r="R71">
        <f t="shared" si="46"/>
        <v>0</v>
      </c>
      <c r="S71">
        <f t="shared" si="47"/>
        <v>0</v>
      </c>
      <c r="T71">
        <f>COUNTIF('9a'!$K$22:$K$32, "Yes")+COUNTIF('9a'!$O$22:$O$32, "Yes")</f>
        <v>0</v>
      </c>
      <c r="U71" t="str">
        <f t="shared" si="48"/>
        <v>No Expenditures</v>
      </c>
      <c r="V71" t="str">
        <f t="shared" si="49"/>
        <v>No Expenditures</v>
      </c>
      <c r="W71">
        <f t="shared" si="50"/>
        <v>0</v>
      </c>
      <c r="X71" t="str">
        <f>'D-Risk'!$AO$25</f>
        <v>Insufficient Data</v>
      </c>
      <c r="Y71" t="str">
        <f>'D-Risk'!$AO$26</f>
        <v>Insufficient Data</v>
      </c>
      <c r="Z71" t="str">
        <f>'D-Risk'!$AO$27</f>
        <v>Uncalculated</v>
      </c>
      <c r="AA71">
        <v>70</v>
      </c>
      <c r="AB71" t="str">
        <f>IF(AC71&lt;&gt;".",INDEX('PSL for Lists'!$C$2:$C$211,MATCH('D-3bf Consolidated (Pivot)'!$AC71,'PSL for Lists'!$A$2:$A$211,FALSE),1), ".")</f>
        <v>.</v>
      </c>
      <c r="AC71" t="str">
        <f>IF(ISERROR(Lists!AM71), ".", Lists!AM71)</f>
        <v>.</v>
      </c>
      <c r="AD71" t="str">
        <f>IF($AC71&lt;&gt;".",INDEX('PSL for Lists'!D$2:D$211,MATCH('D-3bf Consolidated (Pivot)'!$AC71,'PSL for Lists'!$A$2:$A$211,FALSE),1), ".")</f>
        <v>.</v>
      </c>
      <c r="AE71" t="str">
        <f>IF($AC71&lt;&gt;".",INDEX('PSL for Lists'!E$2:E$211,MATCH('D-3bf Consolidated (Pivot)'!$AC71,'PSL for Lists'!$A$2:$A$211,FALSE),1), ".")</f>
        <v>.</v>
      </c>
    </row>
    <row r="72" spans="1:31" x14ac:dyDescent="0.25">
      <c r="A72">
        <f t="shared" si="34"/>
        <v>0</v>
      </c>
      <c r="B72">
        <f t="shared" si="35"/>
        <v>0</v>
      </c>
      <c r="C72">
        <f t="shared" si="36"/>
        <v>0</v>
      </c>
      <c r="D72">
        <f t="shared" si="37"/>
        <v>0</v>
      </c>
      <c r="E72">
        <f t="shared" si="38"/>
        <v>0</v>
      </c>
      <c r="F72">
        <f>'D-RepLevel'!$F$2</f>
        <v>0</v>
      </c>
      <c r="G72">
        <f>'D-RepLevel'!$G$2</f>
        <v>0</v>
      </c>
      <c r="H72">
        <f t="shared" si="39"/>
        <v>0</v>
      </c>
      <c r="I72" t="str">
        <f>IF(ISERROR(INDEX('1b'!$C$5:$C$21, MATCH("Primary Business Line", '1b'!$H$5:$H$21, FALSE), 1)), "None Selected", INDEX('1b'!$C$5:$C$21, MATCH("Primary Business Line", '1b'!$H$5:$H$21, FALSE), 1))</f>
        <v>None Selected</v>
      </c>
      <c r="J72">
        <f>'D-3'!$J$2</f>
        <v>0</v>
      </c>
      <c r="K72">
        <f>COUNTIF('4a'!$E$6:$E$29, "Direct")+COUNTIF('4a'!$E$6:$E$29, "Indirect")+COUNTIF('4a'!$E$6:$E$29, "Both")</f>
        <v>0</v>
      </c>
      <c r="L72">
        <f t="shared" si="40"/>
        <v>0</v>
      </c>
      <c r="M72">
        <f t="shared" si="41"/>
        <v>0</v>
      </c>
      <c r="N72">
        <f t="shared" si="42"/>
        <v>0</v>
      </c>
      <c r="O72">
        <f t="shared" si="43"/>
        <v>2015</v>
      </c>
      <c r="P72">
        <f t="shared" si="44"/>
        <v>0</v>
      </c>
      <c r="Q72">
        <f t="shared" si="45"/>
        <v>0</v>
      </c>
      <c r="R72">
        <f t="shared" si="46"/>
        <v>0</v>
      </c>
      <c r="S72">
        <f t="shared" si="47"/>
        <v>0</v>
      </c>
      <c r="T72">
        <f>COUNTIF('9a'!$K$22:$K$32, "Yes")+COUNTIF('9a'!$O$22:$O$32, "Yes")</f>
        <v>0</v>
      </c>
      <c r="U72" t="str">
        <f t="shared" si="48"/>
        <v>No Expenditures</v>
      </c>
      <c r="V72" t="str">
        <f t="shared" si="49"/>
        <v>No Expenditures</v>
      </c>
      <c r="W72">
        <f t="shared" si="50"/>
        <v>0</v>
      </c>
      <c r="X72" t="str">
        <f>'D-Risk'!$AO$25</f>
        <v>Insufficient Data</v>
      </c>
      <c r="Y72" t="str">
        <f>'D-Risk'!$AO$26</f>
        <v>Insufficient Data</v>
      </c>
      <c r="Z72" t="str">
        <f>'D-Risk'!$AO$27</f>
        <v>Uncalculated</v>
      </c>
      <c r="AA72">
        <v>71</v>
      </c>
      <c r="AB72" t="str">
        <f>IF(AC72&lt;&gt;".",INDEX('PSL for Lists'!$C$2:$C$211,MATCH('D-3bf Consolidated (Pivot)'!$AC72,'PSL for Lists'!$A$2:$A$211,FALSE),1), ".")</f>
        <v>.</v>
      </c>
      <c r="AC72" t="str">
        <f>IF(ISERROR(Lists!AM72), ".", Lists!AM72)</f>
        <v>.</v>
      </c>
      <c r="AD72" t="str">
        <f>IF($AC72&lt;&gt;".",INDEX('PSL for Lists'!D$2:D$211,MATCH('D-3bf Consolidated (Pivot)'!$AC72,'PSL for Lists'!$A$2:$A$211,FALSE),1), ".")</f>
        <v>.</v>
      </c>
      <c r="AE72" t="str">
        <f>IF($AC72&lt;&gt;".",INDEX('PSL for Lists'!E$2:E$211,MATCH('D-3bf Consolidated (Pivot)'!$AC72,'PSL for Lists'!$A$2:$A$211,FALSE),1), ".")</f>
        <v>.</v>
      </c>
    </row>
    <row r="73" spans="1:31" x14ac:dyDescent="0.25">
      <c r="A73">
        <f t="shared" si="34"/>
        <v>0</v>
      </c>
      <c r="B73">
        <f t="shared" si="35"/>
        <v>0</v>
      </c>
      <c r="C73">
        <f t="shared" si="36"/>
        <v>0</v>
      </c>
      <c r="D73">
        <f t="shared" si="37"/>
        <v>0</v>
      </c>
      <c r="E73">
        <f t="shared" si="38"/>
        <v>0</v>
      </c>
      <c r="F73">
        <f>'D-RepLevel'!$F$2</f>
        <v>0</v>
      </c>
      <c r="G73">
        <f>'D-RepLevel'!$G$2</f>
        <v>0</v>
      </c>
      <c r="H73">
        <f t="shared" si="39"/>
        <v>0</v>
      </c>
      <c r="I73" t="str">
        <f>IF(ISERROR(INDEX('1b'!$C$5:$C$21, MATCH("Primary Business Line", '1b'!$H$5:$H$21, FALSE), 1)), "None Selected", INDEX('1b'!$C$5:$C$21, MATCH("Primary Business Line", '1b'!$H$5:$H$21, FALSE), 1))</f>
        <v>None Selected</v>
      </c>
      <c r="J73">
        <f>'D-3'!$J$2</f>
        <v>0</v>
      </c>
      <c r="K73">
        <f>COUNTIF('4a'!$E$6:$E$29, "Direct")+COUNTIF('4a'!$E$6:$E$29, "Indirect")+COUNTIF('4a'!$E$6:$E$29, "Both")</f>
        <v>0</v>
      </c>
      <c r="L73">
        <f t="shared" si="40"/>
        <v>0</v>
      </c>
      <c r="M73">
        <f t="shared" si="41"/>
        <v>0</v>
      </c>
      <c r="N73">
        <f t="shared" si="42"/>
        <v>0</v>
      </c>
      <c r="O73">
        <f t="shared" si="43"/>
        <v>2015</v>
      </c>
      <c r="P73">
        <f t="shared" si="44"/>
        <v>0</v>
      </c>
      <c r="Q73">
        <f t="shared" si="45"/>
        <v>0</v>
      </c>
      <c r="R73">
        <f t="shared" si="46"/>
        <v>0</v>
      </c>
      <c r="S73">
        <f t="shared" si="47"/>
        <v>0</v>
      </c>
      <c r="T73">
        <f>COUNTIF('9a'!$K$22:$K$32, "Yes")+COUNTIF('9a'!$O$22:$O$32, "Yes")</f>
        <v>0</v>
      </c>
      <c r="U73" t="str">
        <f t="shared" si="48"/>
        <v>No Expenditures</v>
      </c>
      <c r="V73" t="str">
        <f t="shared" si="49"/>
        <v>No Expenditures</v>
      </c>
      <c r="W73">
        <f t="shared" si="50"/>
        <v>0</v>
      </c>
      <c r="X73" t="str">
        <f>'D-Risk'!$AO$25</f>
        <v>Insufficient Data</v>
      </c>
      <c r="Y73" t="str">
        <f>'D-Risk'!$AO$26</f>
        <v>Insufficient Data</v>
      </c>
      <c r="Z73" t="str">
        <f>'D-Risk'!$AO$27</f>
        <v>Uncalculated</v>
      </c>
      <c r="AA73">
        <v>72</v>
      </c>
      <c r="AB73" t="str">
        <f>IF(AC73&lt;&gt;".",INDEX('PSL for Lists'!$C$2:$C$211,MATCH('D-3bf Consolidated (Pivot)'!$AC73,'PSL for Lists'!$A$2:$A$211,FALSE),1), ".")</f>
        <v>.</v>
      </c>
      <c r="AC73" t="str">
        <f>IF(ISERROR(Lists!AM73), ".", Lists!AM73)</f>
        <v>.</v>
      </c>
      <c r="AD73" t="str">
        <f>IF($AC73&lt;&gt;".",INDEX('PSL for Lists'!D$2:D$211,MATCH('D-3bf Consolidated (Pivot)'!$AC73,'PSL for Lists'!$A$2:$A$211,FALSE),1), ".")</f>
        <v>.</v>
      </c>
      <c r="AE73" t="str">
        <f>IF($AC73&lt;&gt;".",INDEX('PSL for Lists'!E$2:E$211,MATCH('D-3bf Consolidated (Pivot)'!$AC73,'PSL for Lists'!$A$2:$A$211,FALSE),1), ".")</f>
        <v>.</v>
      </c>
    </row>
    <row r="74" spans="1:31" x14ac:dyDescent="0.25">
      <c r="A74">
        <f t="shared" si="34"/>
        <v>0</v>
      </c>
      <c r="B74">
        <f t="shared" si="35"/>
        <v>0</v>
      </c>
      <c r="C74">
        <f t="shared" si="36"/>
        <v>0</v>
      </c>
      <c r="D74">
        <f t="shared" si="37"/>
        <v>0</v>
      </c>
      <c r="E74">
        <f t="shared" si="38"/>
        <v>0</v>
      </c>
      <c r="F74">
        <f>'D-RepLevel'!$F$2</f>
        <v>0</v>
      </c>
      <c r="G74">
        <f>'D-RepLevel'!$G$2</f>
        <v>0</v>
      </c>
      <c r="H74">
        <f t="shared" si="39"/>
        <v>0</v>
      </c>
      <c r="I74" t="str">
        <f>IF(ISERROR(INDEX('1b'!$C$5:$C$21, MATCH("Primary Business Line", '1b'!$H$5:$H$21, FALSE), 1)), "None Selected", INDEX('1b'!$C$5:$C$21, MATCH("Primary Business Line", '1b'!$H$5:$H$21, FALSE), 1))</f>
        <v>None Selected</v>
      </c>
      <c r="J74">
        <f>'D-3'!$J$2</f>
        <v>0</v>
      </c>
      <c r="K74">
        <f>COUNTIF('4a'!$E$6:$E$29, "Direct")+COUNTIF('4a'!$E$6:$E$29, "Indirect")+COUNTIF('4a'!$E$6:$E$29, "Both")</f>
        <v>0</v>
      </c>
      <c r="L74">
        <f t="shared" si="40"/>
        <v>0</v>
      </c>
      <c r="M74">
        <f t="shared" si="41"/>
        <v>0</v>
      </c>
      <c r="N74">
        <f t="shared" si="42"/>
        <v>0</v>
      </c>
      <c r="O74">
        <f t="shared" si="43"/>
        <v>2015</v>
      </c>
      <c r="P74">
        <f t="shared" si="44"/>
        <v>0</v>
      </c>
      <c r="Q74">
        <f t="shared" si="45"/>
        <v>0</v>
      </c>
      <c r="R74">
        <f t="shared" si="46"/>
        <v>0</v>
      </c>
      <c r="S74">
        <f t="shared" si="47"/>
        <v>0</v>
      </c>
      <c r="T74">
        <f>COUNTIF('9a'!$K$22:$K$32, "Yes")+COUNTIF('9a'!$O$22:$O$32, "Yes")</f>
        <v>0</v>
      </c>
      <c r="U74" t="str">
        <f t="shared" si="48"/>
        <v>No Expenditures</v>
      </c>
      <c r="V74" t="str">
        <f t="shared" si="49"/>
        <v>No Expenditures</v>
      </c>
      <c r="W74">
        <f t="shared" si="50"/>
        <v>0</v>
      </c>
      <c r="X74" t="str">
        <f>'D-Risk'!$AO$25</f>
        <v>Insufficient Data</v>
      </c>
      <c r="Y74" t="str">
        <f>'D-Risk'!$AO$26</f>
        <v>Insufficient Data</v>
      </c>
      <c r="Z74" t="str">
        <f>'D-Risk'!$AO$27</f>
        <v>Uncalculated</v>
      </c>
      <c r="AA74">
        <v>73</v>
      </c>
      <c r="AB74" t="str">
        <f>IF(AC74&lt;&gt;".",INDEX('PSL for Lists'!$C$2:$C$211,MATCH('D-3bf Consolidated (Pivot)'!$AC74,'PSL for Lists'!$A$2:$A$211,FALSE),1), ".")</f>
        <v>.</v>
      </c>
      <c r="AC74" t="str">
        <f>IF(ISERROR(Lists!AM74), ".", Lists!AM74)</f>
        <v>.</v>
      </c>
      <c r="AD74" t="str">
        <f>IF($AC74&lt;&gt;".",INDEX('PSL for Lists'!D$2:D$211,MATCH('D-3bf Consolidated (Pivot)'!$AC74,'PSL for Lists'!$A$2:$A$211,FALSE),1), ".")</f>
        <v>.</v>
      </c>
      <c r="AE74" t="str">
        <f>IF($AC74&lt;&gt;".",INDEX('PSL for Lists'!E$2:E$211,MATCH('D-3bf Consolidated (Pivot)'!$AC74,'PSL for Lists'!$A$2:$A$211,FALSE),1), ".")</f>
        <v>.</v>
      </c>
    </row>
    <row r="75" spans="1:31" x14ac:dyDescent="0.25">
      <c r="A75">
        <f t="shared" si="34"/>
        <v>0</v>
      </c>
      <c r="B75">
        <f t="shared" si="35"/>
        <v>0</v>
      </c>
      <c r="C75">
        <f t="shared" si="36"/>
        <v>0</v>
      </c>
      <c r="D75">
        <f t="shared" si="37"/>
        <v>0</v>
      </c>
      <c r="E75">
        <f t="shared" si="38"/>
        <v>0</v>
      </c>
      <c r="F75">
        <f>'D-RepLevel'!$F$2</f>
        <v>0</v>
      </c>
      <c r="G75">
        <f>'D-RepLevel'!$G$2</f>
        <v>0</v>
      </c>
      <c r="H75">
        <f t="shared" si="39"/>
        <v>0</v>
      </c>
      <c r="I75" t="str">
        <f>IF(ISERROR(INDEX('1b'!$C$5:$C$21, MATCH("Primary Business Line", '1b'!$H$5:$H$21, FALSE), 1)), "None Selected", INDEX('1b'!$C$5:$C$21, MATCH("Primary Business Line", '1b'!$H$5:$H$21, FALSE), 1))</f>
        <v>None Selected</v>
      </c>
      <c r="J75">
        <f>'D-3'!$J$2</f>
        <v>0</v>
      </c>
      <c r="K75">
        <f>COUNTIF('4a'!$E$6:$E$29, "Direct")+COUNTIF('4a'!$E$6:$E$29, "Indirect")+COUNTIF('4a'!$E$6:$E$29, "Both")</f>
        <v>0</v>
      </c>
      <c r="L75">
        <f t="shared" si="40"/>
        <v>0</v>
      </c>
      <c r="M75">
        <f t="shared" si="41"/>
        <v>0</v>
      </c>
      <c r="N75">
        <f t="shared" si="42"/>
        <v>0</v>
      </c>
      <c r="O75">
        <f t="shared" si="43"/>
        <v>2015</v>
      </c>
      <c r="P75">
        <f t="shared" si="44"/>
        <v>0</v>
      </c>
      <c r="Q75">
        <f t="shared" si="45"/>
        <v>0</v>
      </c>
      <c r="R75">
        <f t="shared" si="46"/>
        <v>0</v>
      </c>
      <c r="S75">
        <f t="shared" si="47"/>
        <v>0</v>
      </c>
      <c r="T75">
        <f>COUNTIF('9a'!$K$22:$K$32, "Yes")+COUNTIF('9a'!$O$22:$O$32, "Yes")</f>
        <v>0</v>
      </c>
      <c r="U75" t="str">
        <f t="shared" si="48"/>
        <v>No Expenditures</v>
      </c>
      <c r="V75" t="str">
        <f t="shared" si="49"/>
        <v>No Expenditures</v>
      </c>
      <c r="W75">
        <f t="shared" si="50"/>
        <v>0</v>
      </c>
      <c r="X75" t="str">
        <f>'D-Risk'!$AO$25</f>
        <v>Insufficient Data</v>
      </c>
      <c r="Y75" t="str">
        <f>'D-Risk'!$AO$26</f>
        <v>Insufficient Data</v>
      </c>
      <c r="Z75" t="str">
        <f>'D-Risk'!$AO$27</f>
        <v>Uncalculated</v>
      </c>
      <c r="AA75">
        <v>74</v>
      </c>
      <c r="AB75" t="str">
        <f>IF(AC75&lt;&gt;".",INDEX('PSL for Lists'!$C$2:$C$211,MATCH('D-3bf Consolidated (Pivot)'!$AC75,'PSL for Lists'!$A$2:$A$211,FALSE),1), ".")</f>
        <v>.</v>
      </c>
      <c r="AC75" t="str">
        <f>IF(ISERROR(Lists!AM75), ".", Lists!AM75)</f>
        <v>.</v>
      </c>
      <c r="AD75" t="str">
        <f>IF($AC75&lt;&gt;".",INDEX('PSL for Lists'!D$2:D$211,MATCH('D-3bf Consolidated (Pivot)'!$AC75,'PSL for Lists'!$A$2:$A$211,FALSE),1), ".")</f>
        <v>.</v>
      </c>
      <c r="AE75" t="str">
        <f>IF($AC75&lt;&gt;".",INDEX('PSL for Lists'!E$2:E$211,MATCH('D-3bf Consolidated (Pivot)'!$AC75,'PSL for Lists'!$A$2:$A$211,FALSE),1), ".")</f>
        <v>.</v>
      </c>
    </row>
    <row r="76" spans="1:31" x14ac:dyDescent="0.25">
      <c r="A76">
        <f t="shared" si="34"/>
        <v>0</v>
      </c>
      <c r="B76">
        <f t="shared" si="35"/>
        <v>0</v>
      </c>
      <c r="C76">
        <f t="shared" si="36"/>
        <v>0</v>
      </c>
      <c r="D76">
        <f t="shared" si="37"/>
        <v>0</v>
      </c>
      <c r="E76">
        <f t="shared" si="38"/>
        <v>0</v>
      </c>
      <c r="F76">
        <f>'D-RepLevel'!$F$2</f>
        <v>0</v>
      </c>
      <c r="G76">
        <f>'D-RepLevel'!$G$2</f>
        <v>0</v>
      </c>
      <c r="H76">
        <f t="shared" si="39"/>
        <v>0</v>
      </c>
      <c r="I76" t="str">
        <f>IF(ISERROR(INDEX('1b'!$C$5:$C$21, MATCH("Primary Business Line", '1b'!$H$5:$H$21, FALSE), 1)), "None Selected", INDEX('1b'!$C$5:$C$21, MATCH("Primary Business Line", '1b'!$H$5:$H$21, FALSE), 1))</f>
        <v>None Selected</v>
      </c>
      <c r="J76">
        <f>'D-3'!$J$2</f>
        <v>0</v>
      </c>
      <c r="K76">
        <f>COUNTIF('4a'!$E$6:$E$29, "Direct")+COUNTIF('4a'!$E$6:$E$29, "Indirect")+COUNTIF('4a'!$E$6:$E$29, "Both")</f>
        <v>0</v>
      </c>
      <c r="L76">
        <f t="shared" si="40"/>
        <v>0</v>
      </c>
      <c r="M76">
        <f t="shared" si="41"/>
        <v>0</v>
      </c>
      <c r="N76">
        <f t="shared" si="42"/>
        <v>0</v>
      </c>
      <c r="O76">
        <f t="shared" si="43"/>
        <v>2015</v>
      </c>
      <c r="P76">
        <f t="shared" si="44"/>
        <v>0</v>
      </c>
      <c r="Q76">
        <f t="shared" si="45"/>
        <v>0</v>
      </c>
      <c r="R76">
        <f t="shared" si="46"/>
        <v>0</v>
      </c>
      <c r="S76">
        <f t="shared" si="47"/>
        <v>0</v>
      </c>
      <c r="T76">
        <f>COUNTIF('9a'!$K$22:$K$32, "Yes")+COUNTIF('9a'!$O$22:$O$32, "Yes")</f>
        <v>0</v>
      </c>
      <c r="U76" t="str">
        <f t="shared" si="48"/>
        <v>No Expenditures</v>
      </c>
      <c r="V76" t="str">
        <f t="shared" si="49"/>
        <v>No Expenditures</v>
      </c>
      <c r="W76">
        <f t="shared" si="50"/>
        <v>0</v>
      </c>
      <c r="X76" t="str">
        <f>'D-Risk'!$AO$25</f>
        <v>Insufficient Data</v>
      </c>
      <c r="Y76" t="str">
        <f>'D-Risk'!$AO$26</f>
        <v>Insufficient Data</v>
      </c>
      <c r="Z76" t="str">
        <f>'D-Risk'!$AO$27</f>
        <v>Uncalculated</v>
      </c>
      <c r="AA76">
        <v>75</v>
      </c>
      <c r="AB76" t="str">
        <f>IF(AC76&lt;&gt;".",INDEX('PSL for Lists'!$C$2:$C$211,MATCH('D-3bf Consolidated (Pivot)'!$AC76,'PSL for Lists'!$A$2:$A$211,FALSE),1), ".")</f>
        <v>.</v>
      </c>
      <c r="AC76" t="str">
        <f>IF(ISERROR(Lists!AM76), ".", Lists!AM76)</f>
        <v>.</v>
      </c>
      <c r="AD76" t="str">
        <f>IF($AC76&lt;&gt;".",INDEX('PSL for Lists'!D$2:D$211,MATCH('D-3bf Consolidated (Pivot)'!$AC76,'PSL for Lists'!$A$2:$A$211,FALSE),1), ".")</f>
        <v>.</v>
      </c>
      <c r="AE76" t="str">
        <f>IF($AC76&lt;&gt;".",INDEX('PSL for Lists'!E$2:E$211,MATCH('D-3bf Consolidated (Pivot)'!$AC76,'PSL for Lists'!$A$2:$A$211,FALSE),1), ".")</f>
        <v>.</v>
      </c>
    </row>
  </sheetData>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L2"/>
  <sheetViews>
    <sheetView topLeftCell="AZ1" zoomScale="70" zoomScaleNormal="70" workbookViewId="0">
      <selection activeCell="C7" sqref="C7:D7"/>
    </sheetView>
  </sheetViews>
  <sheetFormatPr defaultRowHeight="15" x14ac:dyDescent="0.25"/>
  <sheetData>
    <row r="1" spans="1:90"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2187</v>
      </c>
      <c r="AB1" t="s">
        <v>2188</v>
      </c>
      <c r="AC1" t="s">
        <v>2189</v>
      </c>
      <c r="AD1" t="s">
        <v>2190</v>
      </c>
      <c r="AE1" t="s">
        <v>2191</v>
      </c>
      <c r="AF1" t="s">
        <v>2192</v>
      </c>
      <c r="AG1" t="s">
        <v>2193</v>
      </c>
      <c r="AH1" t="s">
        <v>2194</v>
      </c>
      <c r="AI1" t="s">
        <v>2195</v>
      </c>
      <c r="AJ1" t="s">
        <v>2196</v>
      </c>
      <c r="AK1" t="s">
        <v>2197</v>
      </c>
      <c r="AL1" t="s">
        <v>2198</v>
      </c>
      <c r="AM1" t="s">
        <v>2199</v>
      </c>
      <c r="AN1" t="s">
        <v>2200</v>
      </c>
      <c r="AO1" t="s">
        <v>2201</v>
      </c>
      <c r="AP1" t="s">
        <v>2202</v>
      </c>
      <c r="AQ1" t="s">
        <v>2203</v>
      </c>
      <c r="AR1" t="s">
        <v>2204</v>
      </c>
      <c r="AS1" t="s">
        <v>2205</v>
      </c>
      <c r="AT1" t="s">
        <v>2206</v>
      </c>
      <c r="AU1" t="s">
        <v>2207</v>
      </c>
      <c r="AV1" t="s">
        <v>2208</v>
      </c>
      <c r="AW1" t="s">
        <v>2209</v>
      </c>
      <c r="AX1" t="s">
        <v>2210</v>
      </c>
      <c r="AY1" t="s">
        <v>2211</v>
      </c>
      <c r="AZ1" t="s">
        <v>2212</v>
      </c>
      <c r="BA1" t="s">
        <v>2213</v>
      </c>
      <c r="BB1" t="s">
        <v>2214</v>
      </c>
      <c r="BC1" t="s">
        <v>2215</v>
      </c>
      <c r="BD1" t="s">
        <v>2216</v>
      </c>
      <c r="BE1" t="s">
        <v>2217</v>
      </c>
      <c r="BF1" t="s">
        <v>2218</v>
      </c>
      <c r="BG1" t="s">
        <v>2219</v>
      </c>
      <c r="BH1" t="s">
        <v>2220</v>
      </c>
      <c r="BI1" t="s">
        <v>2221</v>
      </c>
      <c r="BJ1" t="s">
        <v>2222</v>
      </c>
      <c r="BK1" t="s">
        <v>2223</v>
      </c>
      <c r="BL1" t="s">
        <v>2224</v>
      </c>
      <c r="BM1" t="s">
        <v>2225</v>
      </c>
      <c r="BN1" t="s">
        <v>2226</v>
      </c>
      <c r="BO1" t="s">
        <v>2227</v>
      </c>
      <c r="BP1" t="s">
        <v>2228</v>
      </c>
      <c r="BQ1" t="s">
        <v>2229</v>
      </c>
      <c r="BR1" t="s">
        <v>2230</v>
      </c>
      <c r="BS1" t="s">
        <v>2231</v>
      </c>
      <c r="BT1" t="s">
        <v>2232</v>
      </c>
      <c r="BU1" t="s">
        <v>2233</v>
      </c>
      <c r="BV1" t="s">
        <v>2234</v>
      </c>
      <c r="BW1" t="s">
        <v>2235</v>
      </c>
      <c r="BX1" t="s">
        <v>2236</v>
      </c>
      <c r="BY1" t="s">
        <v>2237</v>
      </c>
      <c r="BZ1" t="s">
        <v>2238</v>
      </c>
      <c r="CA1" t="s">
        <v>2239</v>
      </c>
      <c r="CB1" t="s">
        <v>2240</v>
      </c>
      <c r="CC1" t="s">
        <v>2241</v>
      </c>
      <c r="CD1" t="s">
        <v>2242</v>
      </c>
      <c r="CE1" t="s">
        <v>2243</v>
      </c>
      <c r="CF1" t="s">
        <v>2244</v>
      </c>
      <c r="CG1" t="s">
        <v>2245</v>
      </c>
      <c r="CH1" t="s">
        <v>2246</v>
      </c>
      <c r="CI1" t="s">
        <v>2247</v>
      </c>
      <c r="CJ1" t="s">
        <v>2248</v>
      </c>
      <c r="CK1" t="s">
        <v>1938</v>
      </c>
      <c r="CL1" t="s">
        <v>2249</v>
      </c>
    </row>
    <row r="2" spans="1:90" x14ac:dyDescent="0.25">
      <c r="A2">
        <f>Q_RP_B_DSSCAGE_01</f>
        <v>0</v>
      </c>
      <c r="B2">
        <f>Q1a_A_LocationName</f>
        <v>0</v>
      </c>
      <c r="C2">
        <f>Q1a_A_LocOrgName</f>
        <v>0</v>
      </c>
      <c r="D2">
        <f>Q1a_B_Parent1_Name</f>
        <v>0</v>
      </c>
      <c r="E2">
        <f>Q_RP_A_MultiResponse</f>
        <v>0</v>
      </c>
      <c r="F2">
        <f>'D-RepLevel'!$F$2</f>
        <v>0</v>
      </c>
      <c r="G2">
        <f>'D-RepLevel'!$G$2</f>
        <v>0</v>
      </c>
      <c r="H2">
        <f>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Q4b_A_NumUSGPrograms</f>
        <v>0</v>
      </c>
      <c r="M2">
        <f>Q6_A_Employees_Year3</f>
        <v>0</v>
      </c>
      <c r="N2">
        <f>Q6_B_Employee_H1B_Total+Q6_B_Employee_H2B_Total+Q6_B_Employee_F1_Total+Q6_B_Employee_GreenCard_Total+Q6_B_Employee_Other_Total</f>
        <v>0</v>
      </c>
      <c r="O2">
        <f>Year3</f>
        <v>2015</v>
      </c>
      <c r="P2">
        <f>Q7_A_TotalSales_US_Year3+Q7_A_TotalSales_NonUS_Year3</f>
        <v>0</v>
      </c>
      <c r="Q2">
        <f>Q7_B_DefSales_US_Year3_Pct*Q7_A_TotalSales_US_Year3+Q7_B_DefSales_NonUS_Year3_Pct*Q7_A_TotalSales_NonUS_Year3</f>
        <v>0</v>
      </c>
      <c r="R2">
        <f>Q9a_B_Physical_Year3</f>
        <v>0</v>
      </c>
      <c r="S2">
        <f>Q9a_B_Cyber_Year3</f>
        <v>0</v>
      </c>
      <c r="T2">
        <f>COUNTIF('9a'!$K$22:$K$32, "Yes")+COUNTIF('9a'!$O$22:$O$32, "Yes")</f>
        <v>0</v>
      </c>
      <c r="U2" t="str">
        <f>IF(Q12_OpEx_Year3=0, "No Expenditures", Q9b_A_PhysicalSpending_Year3/(Q12_OpEx_Year3))</f>
        <v>No Expenditures</v>
      </c>
      <c r="V2" t="str">
        <f>IF(Q12_OpEx_Year3=0, "No Expenditures", Q9b_A_CyberSpending_Year3/(Q12_OpEx_Year3))</f>
        <v>No Expenditures</v>
      </c>
      <c r="W2">
        <f>Q9b_C_Pct_CSI_External</f>
        <v>0</v>
      </c>
      <c r="X2" t="str">
        <f>'D-Risk'!$AO$25</f>
        <v>Insufficient Data</v>
      </c>
      <c r="Y2" t="str">
        <f>'D-Risk'!$AO$26</f>
        <v>Insufficient Data</v>
      </c>
      <c r="Z2" t="str">
        <f>'D-Risk'!$AO$27</f>
        <v>Uncalculated</v>
      </c>
      <c r="AA2">
        <f>Q4a_Navy_Support</f>
        <v>0</v>
      </c>
      <c r="AB2">
        <f>Q4a_Army_Support</f>
        <v>0</v>
      </c>
      <c r="AC2">
        <f>Q4a_USAF_Support</f>
        <v>0</v>
      </c>
      <c r="AD2">
        <f>Q4a_USMC_Support</f>
        <v>0</v>
      </c>
      <c r="AE2">
        <f>Q4a_DARPA_Support</f>
        <v>0</v>
      </c>
      <c r="AF2">
        <f>Q4a_MDA_Support</f>
        <v>0</v>
      </c>
      <c r="AG2">
        <f>Q4a_DHS_Support</f>
        <v>0</v>
      </c>
      <c r="AH2">
        <f>Q4a_NASA_Support</f>
        <v>0</v>
      </c>
      <c r="AI2">
        <f>Q4a_Intel_Support</f>
        <v>0</v>
      </c>
      <c r="AJ2">
        <f>Q4a_DOE_Support</f>
        <v>0</v>
      </c>
      <c r="AK2">
        <f>Q4a_State_Support</f>
        <v>0</v>
      </c>
      <c r="AL2">
        <f>Q4a_Other1_Support</f>
        <v>0</v>
      </c>
      <c r="AM2">
        <f>Q4a_Other2_Support</f>
        <v>0</v>
      </c>
      <c r="AN2">
        <f>Q4a_Other3_Support</f>
        <v>0</v>
      </c>
      <c r="AO2">
        <f>Q4a_Other4_Support</f>
        <v>0</v>
      </c>
      <c r="AP2">
        <f>Q4a_Other5_Support</f>
        <v>0</v>
      </c>
      <c r="AQ2">
        <f>Q4a_Other6_Support</f>
        <v>0</v>
      </c>
      <c r="AR2">
        <f>Q4a_Other7_Support</f>
        <v>0</v>
      </c>
      <c r="AS2">
        <f>Q4a_Other8_Support</f>
        <v>0</v>
      </c>
      <c r="AT2">
        <f>Q4a_Other9_Support</f>
        <v>0</v>
      </c>
      <c r="AU2">
        <f>Q4a_Other10_Support</f>
        <v>0</v>
      </c>
      <c r="AV2">
        <f>Q4a_OtherWrite1_Support</f>
        <v>0</v>
      </c>
      <c r="AW2">
        <f>Q4a_OtherWrite2_Support</f>
        <v>0</v>
      </c>
      <c r="AX2">
        <f>Q4a_OtherWrite3_Support</f>
        <v>0</v>
      </c>
      <c r="AY2" t="str">
        <f>Q4a_Other1_Select</f>
        <v>(Select from list)</v>
      </c>
      <c r="AZ2" t="str">
        <f>Q4a_Other2_Select</f>
        <v>(Select from list)</v>
      </c>
      <c r="BA2" t="str">
        <f>Q4a_Other3_Select</f>
        <v>(Select from list)</v>
      </c>
      <c r="BB2" t="str">
        <f>Q4a_Other4_Select</f>
        <v>(Select from list)</v>
      </c>
      <c r="BC2" t="str">
        <f>Q4a_Other5_Select</f>
        <v>(Select from list)</v>
      </c>
      <c r="BD2" t="str">
        <f>Q4a_Other6_Select</f>
        <v>(Select from list)</v>
      </c>
      <c r="BE2" t="str">
        <f>Q4a_Other7_Select</f>
        <v>(Select from list)</v>
      </c>
      <c r="BF2" t="str">
        <f>Q4a_Other8_Select</f>
        <v>(Select from list)</v>
      </c>
      <c r="BG2" t="str">
        <f>Q4a_Other9_Select</f>
        <v>(Select from list)</v>
      </c>
      <c r="BH2" t="str">
        <f>Q4a_Other10_Select</f>
        <v>(Select from list)</v>
      </c>
      <c r="BI2" t="str">
        <f>Q4a_OtherWrite1_Select</f>
        <v>(Write-in)</v>
      </c>
      <c r="BJ2" t="str">
        <f>Q4a_OtherWrite2_Select</f>
        <v>(Write-in)</v>
      </c>
      <c r="BK2" t="str">
        <f>Q4a_OtherWrite3_Select</f>
        <v>(Write-in)</v>
      </c>
      <c r="BL2">
        <f>Q4a_Navy_Pct</f>
        <v>0</v>
      </c>
      <c r="BM2">
        <f>Q4a_Army_Pct</f>
        <v>0</v>
      </c>
      <c r="BN2">
        <f>Q4a_USAF_Pct</f>
        <v>0</v>
      </c>
      <c r="BO2">
        <f>Q4a_USMC_Pct</f>
        <v>0</v>
      </c>
      <c r="BP2">
        <f>Q4a_DARPA_Pct</f>
        <v>0</v>
      </c>
      <c r="BQ2">
        <f>Q4a_MDA_Pct</f>
        <v>0</v>
      </c>
      <c r="BR2">
        <f>Q4a_DHS_Pct</f>
        <v>0</v>
      </c>
      <c r="BS2">
        <f>Q4a_NASA_Pct</f>
        <v>0</v>
      </c>
      <c r="BT2">
        <f>Q4a_Intel_Pct</f>
        <v>0</v>
      </c>
      <c r="BU2">
        <f>Q4a_DOE_Pct</f>
        <v>0</v>
      </c>
      <c r="BV2">
        <f>Q4a_State_Pct</f>
        <v>0</v>
      </c>
      <c r="BW2">
        <f>Q4a_Other1_Pct</f>
        <v>0</v>
      </c>
      <c r="BX2">
        <f>Q4a_Other2_Pct</f>
        <v>0</v>
      </c>
      <c r="BY2">
        <f>Q4a_Other3_Pct</f>
        <v>0</v>
      </c>
      <c r="BZ2">
        <f>Q4a_Other4_Pct</f>
        <v>0</v>
      </c>
      <c r="CA2">
        <f>Q4a_Other5_Pct</f>
        <v>0</v>
      </c>
      <c r="CB2">
        <f>Q4a_Other6_Pct</f>
        <v>0</v>
      </c>
      <c r="CC2">
        <f>Q4a_Other7_Pct</f>
        <v>0</v>
      </c>
      <c r="CD2">
        <f>Q4a_Other8_Pct</f>
        <v>0</v>
      </c>
      <c r="CE2">
        <f>Q4a_Other9_Pct</f>
        <v>0</v>
      </c>
      <c r="CF2">
        <f>Q4a_Other10_Pct</f>
        <v>0</v>
      </c>
      <c r="CG2">
        <f>Q4a_OtherWrite1_Pct</f>
        <v>0</v>
      </c>
      <c r="CH2">
        <f>Q4a_OtherWrite2_Pct</f>
        <v>0</v>
      </c>
      <c r="CI2">
        <f>Q4a_OtherWrite3_Pct</f>
        <v>0</v>
      </c>
      <c r="CJ2">
        <f>Q4a_Comments</f>
        <v>0</v>
      </c>
      <c r="CK2">
        <f>Q4b_A_NumUSGPrograms</f>
        <v>0</v>
      </c>
      <c r="CL2">
        <f>Q4b_Applicability</f>
        <v>0</v>
      </c>
    </row>
  </sheetData>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5"/>
  <sheetViews>
    <sheetView zoomScale="70" zoomScaleNormal="70" workbookViewId="0">
      <selection activeCell="C7" sqref="C7:D7"/>
    </sheetView>
  </sheetViews>
  <sheetFormatPr defaultRowHeight="15" x14ac:dyDescent="0.25"/>
  <sheetData>
    <row r="1" spans="1:3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2250</v>
      </c>
      <c r="AB1" t="s">
        <v>2251</v>
      </c>
      <c r="AC1" t="s">
        <v>2252</v>
      </c>
      <c r="AD1" t="s">
        <v>184</v>
      </c>
      <c r="AE1" t="s">
        <v>2253</v>
      </c>
      <c r="AF1" t="s">
        <v>2254</v>
      </c>
      <c r="AG1" t="s">
        <v>2255</v>
      </c>
      <c r="AH1" t="s">
        <v>2256</v>
      </c>
      <c r="AI1" t="s">
        <v>2257</v>
      </c>
    </row>
    <row r="2" spans="1:35" x14ac:dyDescent="0.25">
      <c r="A2">
        <f t="shared" ref="A2:A33" si="0">Q_RP_B_DSSCAGE_01</f>
        <v>0</v>
      </c>
      <c r="B2">
        <f t="shared" ref="B2:B33" si="1">Q1a_A_LocationName</f>
        <v>0</v>
      </c>
      <c r="C2">
        <f t="shared" ref="C2:C33" si="2">Q1a_A_LocOrgName</f>
        <v>0</v>
      </c>
      <c r="D2">
        <f t="shared" ref="D2:D33" si="3">Q1a_B_Parent1_Name</f>
        <v>0</v>
      </c>
      <c r="E2">
        <f t="shared" ref="E2:E33" si="4">Q_RP_A_MultiResponse</f>
        <v>0</v>
      </c>
      <c r="F2">
        <f>'D-RepLevel'!$F$2</f>
        <v>0</v>
      </c>
      <c r="G2">
        <f>'D-RepLevel'!$G$2</f>
        <v>0</v>
      </c>
      <c r="H2">
        <f t="shared" ref="H2:H33"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3" si="6">Q4b_A_NumUSGPrograms</f>
        <v>0</v>
      </c>
      <c r="M2">
        <f t="shared" ref="M2:M33" si="7">Q6_A_Employees_Year3</f>
        <v>0</v>
      </c>
      <c r="N2">
        <f t="shared" ref="N2:N33" si="8">Q6_B_Employee_H1B_Total+Q6_B_Employee_H2B_Total+Q6_B_Employee_F1_Total+Q6_B_Employee_GreenCard_Total+Q6_B_Employee_Other_Total</f>
        <v>0</v>
      </c>
      <c r="O2">
        <f t="shared" ref="O2:O33" si="9">Year3</f>
        <v>2015</v>
      </c>
      <c r="P2">
        <f t="shared" ref="P2:P33" si="10">Q7_A_TotalSales_US_Year3+Q7_A_TotalSales_NonUS_Year3</f>
        <v>0</v>
      </c>
      <c r="Q2">
        <f t="shared" ref="Q2:Q33" si="11">Q7_B_DefSales_US_Year3_Pct*Q7_A_TotalSales_US_Year3+Q7_B_DefSales_NonUS_Year3_Pct*Q7_A_TotalSales_NonUS_Year3</f>
        <v>0</v>
      </c>
      <c r="R2">
        <f t="shared" ref="R2:R33" si="12">Q9a_B_Physical_Year3</f>
        <v>0</v>
      </c>
      <c r="S2">
        <f t="shared" ref="S2:S33" si="13">Q9a_B_Cyber_Year3</f>
        <v>0</v>
      </c>
      <c r="T2">
        <f>COUNTIF('9a'!$K$22:$K$32, "Yes")+COUNTIF('9a'!$O$22:$O$32, "Yes")</f>
        <v>0</v>
      </c>
      <c r="U2" t="str">
        <f t="shared" ref="U2:U33" si="14">IF(Q12_OpEx_Year3=0, "No Expenditures", Q9b_A_PhysicalSpending_Year3/(Q12_OpEx_Year3))</f>
        <v>No Expenditures</v>
      </c>
      <c r="V2" t="str">
        <f t="shared" ref="V2:V33" si="15">IF(Q12_OpEx_Year3=0, "No Expenditures", Q9b_A_CyberSpending_Year3/(Q12_OpEx_Year3))</f>
        <v>No Expenditures</v>
      </c>
      <c r="W2">
        <f t="shared" ref="W2:W33" si="16">Q9b_C_Pct_CSI_External</f>
        <v>0</v>
      </c>
      <c r="X2" t="str">
        <f>'D-Risk'!$AO$25</f>
        <v>Insufficient Data</v>
      </c>
      <c r="Y2" t="str">
        <f>'D-Risk'!$AO$26</f>
        <v>Insufficient Data</v>
      </c>
      <c r="Z2" t="str">
        <f>'D-Risk'!$AO$27</f>
        <v>Uncalculated</v>
      </c>
      <c r="AA2">
        <v>1</v>
      </c>
      <c r="AB2" t="s">
        <v>519</v>
      </c>
      <c r="AC2" t="s">
        <v>520</v>
      </c>
      <c r="AD2">
        <f>Q4b_001_Participation</f>
        <v>0</v>
      </c>
      <c r="AE2">
        <f>'4b'!F11</f>
        <v>0</v>
      </c>
      <c r="AF2">
        <f>'4b'!G11</f>
        <v>0</v>
      </c>
      <c r="AG2">
        <f>'4b'!H11</f>
        <v>0</v>
      </c>
      <c r="AH2">
        <f>'4b'!I11</f>
        <v>0</v>
      </c>
      <c r="AI2">
        <f>'4b'!J11</f>
        <v>0</v>
      </c>
    </row>
    <row r="3" spans="1:35"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v>2</v>
      </c>
      <c r="AB3" t="s">
        <v>519</v>
      </c>
      <c r="AC3" t="s">
        <v>521</v>
      </c>
      <c r="AD3">
        <f>Q4b_002_Participation</f>
        <v>0</v>
      </c>
      <c r="AE3">
        <f>'4b'!F12</f>
        <v>0</v>
      </c>
      <c r="AF3">
        <f>'4b'!G12</f>
        <v>0</v>
      </c>
      <c r="AG3">
        <f>'4b'!H12</f>
        <v>0</v>
      </c>
      <c r="AH3">
        <f>'4b'!I12</f>
        <v>0</v>
      </c>
      <c r="AI3">
        <f>'4b'!J12</f>
        <v>0</v>
      </c>
    </row>
    <row r="4" spans="1:35"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v>3</v>
      </c>
      <c r="AB4" t="s">
        <v>519</v>
      </c>
      <c r="AC4" t="s">
        <v>522</v>
      </c>
      <c r="AD4">
        <f>Q4b_003_Participation</f>
        <v>0</v>
      </c>
      <c r="AE4">
        <f>'4b'!F13</f>
        <v>0</v>
      </c>
      <c r="AF4">
        <f>'4b'!G13</f>
        <v>0</v>
      </c>
      <c r="AG4">
        <f>'4b'!H13</f>
        <v>0</v>
      </c>
      <c r="AH4">
        <f>'4b'!I13</f>
        <v>0</v>
      </c>
      <c r="AI4">
        <f>'4b'!J13</f>
        <v>0</v>
      </c>
    </row>
    <row r="5" spans="1:35"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v>4</v>
      </c>
      <c r="AB5" t="s">
        <v>519</v>
      </c>
      <c r="AC5" t="s">
        <v>523</v>
      </c>
      <c r="AD5">
        <f>Q4b_004_Participation</f>
        <v>0</v>
      </c>
      <c r="AE5">
        <f>'4b'!F14</f>
        <v>0</v>
      </c>
      <c r="AF5">
        <f>'4b'!G14</f>
        <v>0</v>
      </c>
      <c r="AG5">
        <f>'4b'!H14</f>
        <v>0</v>
      </c>
      <c r="AH5">
        <f>'4b'!I14</f>
        <v>0</v>
      </c>
      <c r="AI5">
        <f>'4b'!J14</f>
        <v>0</v>
      </c>
    </row>
    <row r="6" spans="1:35"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v>5</v>
      </c>
      <c r="AB6" t="s">
        <v>519</v>
      </c>
      <c r="AC6" t="s">
        <v>524</v>
      </c>
      <c r="AD6">
        <f>Q4b_005_Participation</f>
        <v>0</v>
      </c>
      <c r="AE6">
        <f>'4b'!F15</f>
        <v>0</v>
      </c>
      <c r="AF6">
        <f>'4b'!G15</f>
        <v>0</v>
      </c>
      <c r="AG6">
        <f>'4b'!H15</f>
        <v>0</v>
      </c>
      <c r="AH6">
        <f>'4b'!I15</f>
        <v>0</v>
      </c>
      <c r="AI6">
        <f>'4b'!J15</f>
        <v>0</v>
      </c>
    </row>
    <row r="7" spans="1:35"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v>6</v>
      </c>
      <c r="AB7" t="s">
        <v>519</v>
      </c>
      <c r="AC7" t="s">
        <v>525</v>
      </c>
      <c r="AD7">
        <f>Q4b_006_Participation</f>
        <v>0</v>
      </c>
      <c r="AE7">
        <f>'4b'!F16</f>
        <v>0</v>
      </c>
      <c r="AF7">
        <f>'4b'!G16</f>
        <v>0</v>
      </c>
      <c r="AG7">
        <f>'4b'!H16</f>
        <v>0</v>
      </c>
      <c r="AH7">
        <f>'4b'!I16</f>
        <v>0</v>
      </c>
      <c r="AI7">
        <f>'4b'!J16</f>
        <v>0</v>
      </c>
    </row>
    <row r="8" spans="1:35"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v>7</v>
      </c>
      <c r="AB8" t="s">
        <v>519</v>
      </c>
      <c r="AC8" t="s">
        <v>526</v>
      </c>
      <c r="AD8">
        <f>Q4b_007_Participation</f>
        <v>0</v>
      </c>
      <c r="AE8">
        <f>'4b'!F17</f>
        <v>0</v>
      </c>
      <c r="AF8">
        <f>'4b'!G17</f>
        <v>0</v>
      </c>
      <c r="AG8">
        <f>'4b'!H17</f>
        <v>0</v>
      </c>
      <c r="AH8">
        <f>'4b'!I17</f>
        <v>0</v>
      </c>
      <c r="AI8">
        <f>'4b'!J17</f>
        <v>0</v>
      </c>
    </row>
    <row r="9" spans="1:35"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v>8</v>
      </c>
      <c r="AB9" t="s">
        <v>519</v>
      </c>
      <c r="AC9" t="s">
        <v>527</v>
      </c>
      <c r="AD9">
        <f>Q4b_008_Participation</f>
        <v>0</v>
      </c>
      <c r="AE9">
        <f>'4b'!F18</f>
        <v>0</v>
      </c>
      <c r="AF9">
        <f>'4b'!G18</f>
        <v>0</v>
      </c>
      <c r="AG9">
        <f>'4b'!H18</f>
        <v>0</v>
      </c>
      <c r="AH9">
        <f>'4b'!I18</f>
        <v>0</v>
      </c>
      <c r="AI9">
        <f>'4b'!J18</f>
        <v>0</v>
      </c>
    </row>
    <row r="10" spans="1:35"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v>9</v>
      </c>
      <c r="AB10" t="s">
        <v>519</v>
      </c>
      <c r="AC10" t="s">
        <v>528</v>
      </c>
      <c r="AD10">
        <f>Q4b_009_Participation</f>
        <v>0</v>
      </c>
      <c r="AE10">
        <f>'4b'!F19</f>
        <v>0</v>
      </c>
      <c r="AF10">
        <f>'4b'!G19</f>
        <v>0</v>
      </c>
      <c r="AG10">
        <f>'4b'!H19</f>
        <v>0</v>
      </c>
      <c r="AH10">
        <f>'4b'!I19</f>
        <v>0</v>
      </c>
      <c r="AI10">
        <f>'4b'!J19</f>
        <v>0</v>
      </c>
    </row>
    <row r="11" spans="1:35"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v>10</v>
      </c>
      <c r="AB11" t="s">
        <v>519</v>
      </c>
      <c r="AC11" t="s">
        <v>529</v>
      </c>
      <c r="AD11">
        <f>Q4b_010_Participation</f>
        <v>0</v>
      </c>
      <c r="AE11">
        <f>'4b'!F20</f>
        <v>0</v>
      </c>
      <c r="AF11">
        <f>'4b'!G20</f>
        <v>0</v>
      </c>
      <c r="AG11">
        <f>'4b'!H20</f>
        <v>0</v>
      </c>
      <c r="AH11">
        <f>'4b'!I20</f>
        <v>0</v>
      </c>
      <c r="AI11">
        <f>'4b'!J20</f>
        <v>0</v>
      </c>
    </row>
    <row r="12" spans="1:35"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v>11</v>
      </c>
      <c r="AB12" t="s">
        <v>519</v>
      </c>
      <c r="AC12" t="s">
        <v>530</v>
      </c>
      <c r="AD12">
        <f>Q4b_011_Participation</f>
        <v>0</v>
      </c>
      <c r="AE12">
        <f>'4b'!F21</f>
        <v>0</v>
      </c>
      <c r="AF12">
        <f>'4b'!G21</f>
        <v>0</v>
      </c>
      <c r="AG12">
        <f>'4b'!H21</f>
        <v>0</v>
      </c>
      <c r="AH12">
        <f>'4b'!I21</f>
        <v>0</v>
      </c>
      <c r="AI12">
        <f>'4b'!J21</f>
        <v>0</v>
      </c>
    </row>
    <row r="13" spans="1:35"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v>12</v>
      </c>
      <c r="AB13" t="s">
        <v>519</v>
      </c>
      <c r="AC13" t="s">
        <v>531</v>
      </c>
      <c r="AD13">
        <f>Q4b_012_Participation</f>
        <v>0</v>
      </c>
      <c r="AE13">
        <f>'4b'!F22</f>
        <v>0</v>
      </c>
      <c r="AF13">
        <f>'4b'!G22</f>
        <v>0</v>
      </c>
      <c r="AG13">
        <f>'4b'!H22</f>
        <v>0</v>
      </c>
      <c r="AH13">
        <f>'4b'!I22</f>
        <v>0</v>
      </c>
      <c r="AI13">
        <f>'4b'!J22</f>
        <v>0</v>
      </c>
    </row>
    <row r="14" spans="1:35"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v>13</v>
      </c>
      <c r="AB14" t="s">
        <v>519</v>
      </c>
      <c r="AC14" t="s">
        <v>532</v>
      </c>
      <c r="AD14">
        <f>Q4b_013_Participation</f>
        <v>0</v>
      </c>
      <c r="AE14">
        <f>'4b'!F23</f>
        <v>0</v>
      </c>
      <c r="AF14">
        <f>'4b'!G23</f>
        <v>0</v>
      </c>
      <c r="AG14">
        <f>'4b'!H23</f>
        <v>0</v>
      </c>
      <c r="AH14">
        <f>'4b'!I23</f>
        <v>0</v>
      </c>
      <c r="AI14">
        <f>'4b'!J23</f>
        <v>0</v>
      </c>
    </row>
    <row r="15" spans="1:35"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v>14</v>
      </c>
      <c r="AB15" t="s">
        <v>519</v>
      </c>
      <c r="AC15" t="s">
        <v>533</v>
      </c>
      <c r="AD15">
        <f>Q4b_014_Participation</f>
        <v>0</v>
      </c>
      <c r="AE15">
        <f>'4b'!F24</f>
        <v>0</v>
      </c>
      <c r="AF15">
        <f>'4b'!G24</f>
        <v>0</v>
      </c>
      <c r="AG15">
        <f>'4b'!H24</f>
        <v>0</v>
      </c>
      <c r="AH15">
        <f>'4b'!I24</f>
        <v>0</v>
      </c>
      <c r="AI15">
        <f>'4b'!J24</f>
        <v>0</v>
      </c>
    </row>
    <row r="16" spans="1:35"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v>15</v>
      </c>
      <c r="AB16" t="s">
        <v>519</v>
      </c>
      <c r="AC16" t="s">
        <v>534</v>
      </c>
      <c r="AD16">
        <f>Q4b_015_Participation</f>
        <v>0</v>
      </c>
      <c r="AE16">
        <f>'4b'!F25</f>
        <v>0</v>
      </c>
      <c r="AF16">
        <f>'4b'!G25</f>
        <v>0</v>
      </c>
      <c r="AG16">
        <f>'4b'!H25</f>
        <v>0</v>
      </c>
      <c r="AH16">
        <f>'4b'!I25</f>
        <v>0</v>
      </c>
      <c r="AI16">
        <f>'4b'!J25</f>
        <v>0</v>
      </c>
    </row>
    <row r="17" spans="1:35"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v>16</v>
      </c>
      <c r="AB17" t="s">
        <v>519</v>
      </c>
      <c r="AC17" t="s">
        <v>535</v>
      </c>
      <c r="AD17">
        <f>Q4b_016_Participation</f>
        <v>0</v>
      </c>
      <c r="AE17">
        <f>'4b'!F26</f>
        <v>0</v>
      </c>
      <c r="AF17">
        <f>'4b'!G26</f>
        <v>0</v>
      </c>
      <c r="AG17">
        <f>'4b'!H26</f>
        <v>0</v>
      </c>
      <c r="AH17">
        <f>'4b'!I26</f>
        <v>0</v>
      </c>
      <c r="AI17">
        <f>'4b'!J26</f>
        <v>0</v>
      </c>
    </row>
    <row r="18" spans="1:35"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v>17</v>
      </c>
      <c r="AB18" t="s">
        <v>519</v>
      </c>
      <c r="AC18" t="s">
        <v>536</v>
      </c>
      <c r="AD18">
        <f>Q4b_017_Participation</f>
        <v>0</v>
      </c>
      <c r="AE18">
        <f>'4b'!F27</f>
        <v>0</v>
      </c>
      <c r="AF18">
        <f>'4b'!G27</f>
        <v>0</v>
      </c>
      <c r="AG18">
        <f>'4b'!H27</f>
        <v>0</v>
      </c>
      <c r="AH18">
        <f>'4b'!I27</f>
        <v>0</v>
      </c>
      <c r="AI18">
        <f>'4b'!J27</f>
        <v>0</v>
      </c>
    </row>
    <row r="19" spans="1:35"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v>18</v>
      </c>
      <c r="AB19" t="s">
        <v>519</v>
      </c>
      <c r="AC19" t="s">
        <v>537</v>
      </c>
      <c r="AD19">
        <f>Q4b_018_Participation</f>
        <v>0</v>
      </c>
      <c r="AE19">
        <f>'4b'!F28</f>
        <v>0</v>
      </c>
      <c r="AF19">
        <f>'4b'!G28</f>
        <v>0</v>
      </c>
      <c r="AG19">
        <f>'4b'!H28</f>
        <v>0</v>
      </c>
      <c r="AH19">
        <f>'4b'!I28</f>
        <v>0</v>
      </c>
      <c r="AI19">
        <f>'4b'!J28</f>
        <v>0</v>
      </c>
    </row>
    <row r="20" spans="1:35"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v>19</v>
      </c>
      <c r="AB20" t="s">
        <v>519</v>
      </c>
      <c r="AC20" t="s">
        <v>538</v>
      </c>
      <c r="AD20">
        <f>Q4b_019_Participation</f>
        <v>0</v>
      </c>
      <c r="AE20">
        <f>'4b'!F29</f>
        <v>0</v>
      </c>
      <c r="AF20">
        <f>'4b'!G29</f>
        <v>0</v>
      </c>
      <c r="AG20">
        <f>'4b'!H29</f>
        <v>0</v>
      </c>
      <c r="AH20">
        <f>'4b'!I29</f>
        <v>0</v>
      </c>
      <c r="AI20">
        <f>'4b'!J29</f>
        <v>0</v>
      </c>
    </row>
    <row r="21" spans="1:35"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v>20</v>
      </c>
      <c r="AB21" t="s">
        <v>519</v>
      </c>
      <c r="AC21" t="s">
        <v>539</v>
      </c>
      <c r="AD21">
        <f>Q4b_020_Participation</f>
        <v>0</v>
      </c>
      <c r="AE21">
        <f>'4b'!F30</f>
        <v>0</v>
      </c>
      <c r="AF21">
        <f>'4b'!G30</f>
        <v>0</v>
      </c>
      <c r="AG21">
        <f>'4b'!H30</f>
        <v>0</v>
      </c>
      <c r="AH21">
        <f>'4b'!I30</f>
        <v>0</v>
      </c>
      <c r="AI21">
        <f>'4b'!J30</f>
        <v>0</v>
      </c>
    </row>
    <row r="22" spans="1:35"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v>21</v>
      </c>
      <c r="AB22" t="s">
        <v>519</v>
      </c>
      <c r="AC22" t="s">
        <v>540</v>
      </c>
      <c r="AD22">
        <f>Q4b_021_Participation</f>
        <v>0</v>
      </c>
      <c r="AE22">
        <f>'4b'!F31</f>
        <v>0</v>
      </c>
      <c r="AF22">
        <f>'4b'!G31</f>
        <v>0</v>
      </c>
      <c r="AG22">
        <f>'4b'!H31</f>
        <v>0</v>
      </c>
      <c r="AH22">
        <f>'4b'!I31</f>
        <v>0</v>
      </c>
      <c r="AI22">
        <f>'4b'!J31</f>
        <v>0</v>
      </c>
    </row>
    <row r="23" spans="1:35"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v>22</v>
      </c>
      <c r="AB23" t="s">
        <v>519</v>
      </c>
      <c r="AC23" t="s">
        <v>541</v>
      </c>
      <c r="AD23">
        <f>Q4b_022_Participation</f>
        <v>0</v>
      </c>
      <c r="AE23">
        <f>'4b'!F32</f>
        <v>0</v>
      </c>
      <c r="AF23">
        <f>'4b'!G32</f>
        <v>0</v>
      </c>
      <c r="AG23">
        <f>'4b'!H32</f>
        <v>0</v>
      </c>
      <c r="AH23">
        <f>'4b'!I32</f>
        <v>0</v>
      </c>
      <c r="AI23">
        <f>'4b'!J32</f>
        <v>0</v>
      </c>
    </row>
    <row r="24" spans="1:35"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v>23</v>
      </c>
      <c r="AB24" t="s">
        <v>519</v>
      </c>
      <c r="AC24" t="s">
        <v>542</v>
      </c>
      <c r="AD24">
        <f>Q4b_023_Participation</f>
        <v>0</v>
      </c>
      <c r="AE24">
        <f>'4b'!F33</f>
        <v>0</v>
      </c>
      <c r="AF24">
        <f>'4b'!G33</f>
        <v>0</v>
      </c>
      <c r="AG24">
        <f>'4b'!H33</f>
        <v>0</v>
      </c>
      <c r="AH24">
        <f>'4b'!I33</f>
        <v>0</v>
      </c>
      <c r="AI24">
        <f>'4b'!J33</f>
        <v>0</v>
      </c>
    </row>
    <row r="25" spans="1:35"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v>24</v>
      </c>
      <c r="AB25" t="s">
        <v>519</v>
      </c>
      <c r="AC25" t="s">
        <v>543</v>
      </c>
      <c r="AD25">
        <f>Q4b_024_Participation</f>
        <v>0</v>
      </c>
      <c r="AE25">
        <f>'4b'!F34</f>
        <v>0</v>
      </c>
      <c r="AF25">
        <f>'4b'!G34</f>
        <v>0</v>
      </c>
      <c r="AG25">
        <f>'4b'!H34</f>
        <v>0</v>
      </c>
      <c r="AH25">
        <f>'4b'!I34</f>
        <v>0</v>
      </c>
      <c r="AI25">
        <f>'4b'!J34</f>
        <v>0</v>
      </c>
    </row>
    <row r="26" spans="1:35"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v>25</v>
      </c>
      <c r="AB26" t="s">
        <v>519</v>
      </c>
      <c r="AC26" t="s">
        <v>2258</v>
      </c>
      <c r="AD26">
        <f>Q4b_025_Participation</f>
        <v>0</v>
      </c>
      <c r="AE26">
        <f>'4b'!F35</f>
        <v>0</v>
      </c>
      <c r="AF26">
        <f>'4b'!G35</f>
        <v>0</v>
      </c>
      <c r="AG26">
        <f>'4b'!H35</f>
        <v>0</v>
      </c>
      <c r="AH26">
        <f>'4b'!I35</f>
        <v>0</v>
      </c>
      <c r="AI26">
        <f>'4b'!J35</f>
        <v>0</v>
      </c>
    </row>
    <row r="27" spans="1:35"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v>26</v>
      </c>
      <c r="AB27" t="s">
        <v>519</v>
      </c>
      <c r="AC27" t="s">
        <v>545</v>
      </c>
      <c r="AD27">
        <f>Q4b_026_Participation</f>
        <v>0</v>
      </c>
      <c r="AE27">
        <f>'4b'!F36</f>
        <v>0</v>
      </c>
      <c r="AF27">
        <f>'4b'!G36</f>
        <v>0</v>
      </c>
      <c r="AG27">
        <f>'4b'!H36</f>
        <v>0</v>
      </c>
      <c r="AH27">
        <f>'4b'!I36</f>
        <v>0</v>
      </c>
      <c r="AI27">
        <f>'4b'!J36</f>
        <v>0</v>
      </c>
    </row>
    <row r="28" spans="1:35"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v>27</v>
      </c>
      <c r="AB28" t="s">
        <v>519</v>
      </c>
      <c r="AC28" t="s">
        <v>546</v>
      </c>
      <c r="AD28">
        <f>Q4b_027_Participation</f>
        <v>0</v>
      </c>
      <c r="AE28">
        <f>'4b'!F37</f>
        <v>0</v>
      </c>
      <c r="AF28">
        <f>'4b'!G37</f>
        <v>0</v>
      </c>
      <c r="AG28">
        <f>'4b'!H37</f>
        <v>0</v>
      </c>
      <c r="AH28">
        <f>'4b'!I37</f>
        <v>0</v>
      </c>
      <c r="AI28">
        <f>'4b'!J37</f>
        <v>0</v>
      </c>
    </row>
    <row r="29" spans="1:35"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v>28</v>
      </c>
      <c r="AB29" t="s">
        <v>519</v>
      </c>
      <c r="AC29" t="s">
        <v>547</v>
      </c>
      <c r="AD29">
        <f>Q4b_028_Participation</f>
        <v>0</v>
      </c>
      <c r="AE29">
        <f>'4b'!F38</f>
        <v>0</v>
      </c>
      <c r="AF29">
        <f>'4b'!G38</f>
        <v>0</v>
      </c>
      <c r="AG29">
        <f>'4b'!H38</f>
        <v>0</v>
      </c>
      <c r="AH29">
        <f>'4b'!I38</f>
        <v>0</v>
      </c>
      <c r="AI29">
        <f>'4b'!J38</f>
        <v>0</v>
      </c>
    </row>
    <row r="30" spans="1:35"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v>29</v>
      </c>
      <c r="AB30" t="s">
        <v>519</v>
      </c>
      <c r="AC30" t="s">
        <v>548</v>
      </c>
      <c r="AD30">
        <f>Q4b_029_Participation</f>
        <v>0</v>
      </c>
      <c r="AE30">
        <f>'4b'!F39</f>
        <v>0</v>
      </c>
      <c r="AF30">
        <f>'4b'!G39</f>
        <v>0</v>
      </c>
      <c r="AG30">
        <f>'4b'!H39</f>
        <v>0</v>
      </c>
      <c r="AH30">
        <f>'4b'!I39</f>
        <v>0</v>
      </c>
      <c r="AI30">
        <f>'4b'!J39</f>
        <v>0</v>
      </c>
    </row>
    <row r="31" spans="1:35"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v>30</v>
      </c>
      <c r="AB31" t="s">
        <v>519</v>
      </c>
      <c r="AC31" t="s">
        <v>549</v>
      </c>
      <c r="AD31">
        <f>Q4b_030_Participation</f>
        <v>0</v>
      </c>
      <c r="AE31">
        <f>'4b'!F40</f>
        <v>0</v>
      </c>
      <c r="AF31">
        <f>'4b'!G40</f>
        <v>0</v>
      </c>
      <c r="AG31">
        <f>'4b'!H40</f>
        <v>0</v>
      </c>
      <c r="AH31">
        <f>'4b'!I40</f>
        <v>0</v>
      </c>
      <c r="AI31">
        <f>'4b'!J40</f>
        <v>0</v>
      </c>
    </row>
    <row r="32" spans="1:35"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v>31</v>
      </c>
      <c r="AB32" t="s">
        <v>519</v>
      </c>
      <c r="AC32" t="s">
        <v>550</v>
      </c>
      <c r="AD32">
        <f>Q4b_031_Participation</f>
        <v>0</v>
      </c>
      <c r="AE32">
        <f>'4b'!F41</f>
        <v>0</v>
      </c>
      <c r="AF32">
        <f>'4b'!G41</f>
        <v>0</v>
      </c>
      <c r="AG32">
        <f>'4b'!H41</f>
        <v>0</v>
      </c>
      <c r="AH32">
        <f>'4b'!I41</f>
        <v>0</v>
      </c>
      <c r="AI32">
        <f>'4b'!J41</f>
        <v>0</v>
      </c>
    </row>
    <row r="33" spans="1:35"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v>32</v>
      </c>
      <c r="AB33" t="s">
        <v>519</v>
      </c>
      <c r="AC33" t="s">
        <v>551</v>
      </c>
      <c r="AD33">
        <f>Q4b_032_Participation</f>
        <v>0</v>
      </c>
      <c r="AE33">
        <f>'4b'!F42</f>
        <v>0</v>
      </c>
      <c r="AF33">
        <f>'4b'!G42</f>
        <v>0</v>
      </c>
      <c r="AG33">
        <f>'4b'!H42</f>
        <v>0</v>
      </c>
      <c r="AH33">
        <f>'4b'!I42</f>
        <v>0</v>
      </c>
      <c r="AI33">
        <f>'4b'!J42</f>
        <v>0</v>
      </c>
    </row>
    <row r="34" spans="1:35" x14ac:dyDescent="0.25">
      <c r="A34">
        <f t="shared" ref="A34:A55" si="17">Q_RP_B_DSSCAGE_01</f>
        <v>0</v>
      </c>
      <c r="B34">
        <f t="shared" ref="B34:B55" si="18">Q1a_A_LocationName</f>
        <v>0</v>
      </c>
      <c r="C34">
        <f t="shared" ref="C34:C55" si="19">Q1a_A_LocOrgName</f>
        <v>0</v>
      </c>
      <c r="D34">
        <f t="shared" ref="D34:D55" si="20">Q1a_B_Parent1_Name</f>
        <v>0</v>
      </c>
      <c r="E34">
        <f t="shared" ref="E34:E55" si="21">Q_RP_A_MultiResponse</f>
        <v>0</v>
      </c>
      <c r="F34">
        <f>'D-RepLevel'!$F$2</f>
        <v>0</v>
      </c>
      <c r="G34">
        <f>'D-RepLevel'!$G$2</f>
        <v>0</v>
      </c>
      <c r="H34">
        <f t="shared" ref="H34:H55" si="22">Q1a_A_OnlyLoc_YN</f>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ref="L34:L55" si="23">Q4b_A_NumUSGPrograms</f>
        <v>0</v>
      </c>
      <c r="M34">
        <f t="shared" ref="M34:M55" si="24">Q6_A_Employees_Year3</f>
        <v>0</v>
      </c>
      <c r="N34">
        <f t="shared" ref="N34:N55" si="25">Q6_B_Employee_H1B_Total+Q6_B_Employee_H2B_Total+Q6_B_Employee_F1_Total+Q6_B_Employee_GreenCard_Total+Q6_B_Employee_Other_Total</f>
        <v>0</v>
      </c>
      <c r="O34">
        <f t="shared" ref="O34:O55" si="26">Year3</f>
        <v>2015</v>
      </c>
      <c r="P34">
        <f t="shared" ref="P34:P55" si="27">Q7_A_TotalSales_US_Year3+Q7_A_TotalSales_NonUS_Year3</f>
        <v>0</v>
      </c>
      <c r="Q34">
        <f t="shared" ref="Q34:Q55" si="28">Q7_B_DefSales_US_Year3_Pct*Q7_A_TotalSales_US_Year3+Q7_B_DefSales_NonUS_Year3_Pct*Q7_A_TotalSales_NonUS_Year3</f>
        <v>0</v>
      </c>
      <c r="R34">
        <f t="shared" ref="R34:R55" si="29">Q9a_B_Physical_Year3</f>
        <v>0</v>
      </c>
      <c r="S34">
        <f t="shared" ref="S34:S55" si="30">Q9a_B_Cyber_Year3</f>
        <v>0</v>
      </c>
      <c r="T34">
        <f>COUNTIF('9a'!$K$22:$K$32, "Yes")+COUNTIF('9a'!$O$22:$O$32, "Yes")</f>
        <v>0</v>
      </c>
      <c r="U34" t="str">
        <f t="shared" ref="U34:U55" si="31">IF(Q12_OpEx_Year3=0, "No Expenditures", Q9b_A_PhysicalSpending_Year3/(Q12_OpEx_Year3))</f>
        <v>No Expenditures</v>
      </c>
      <c r="V34" t="str">
        <f t="shared" ref="V34:V55" si="32">IF(Q12_OpEx_Year3=0, "No Expenditures", Q9b_A_CyberSpending_Year3/(Q12_OpEx_Year3))</f>
        <v>No Expenditures</v>
      </c>
      <c r="W34">
        <f t="shared" ref="W34:W55" si="33">Q9b_C_Pct_CSI_External</f>
        <v>0</v>
      </c>
      <c r="X34" t="str">
        <f>'D-Risk'!$AO$25</f>
        <v>Insufficient Data</v>
      </c>
      <c r="Y34" t="str">
        <f>'D-Risk'!$AO$26</f>
        <v>Insufficient Data</v>
      </c>
      <c r="Z34" t="str">
        <f>'D-Risk'!$AO$27</f>
        <v>Uncalculated</v>
      </c>
      <c r="AA34">
        <v>33</v>
      </c>
      <c r="AB34" t="s">
        <v>519</v>
      </c>
      <c r="AC34" t="s">
        <v>552</v>
      </c>
      <c r="AD34">
        <f>Q4b_033_Participation</f>
        <v>0</v>
      </c>
      <c r="AE34">
        <f>'4b'!F43</f>
        <v>0</v>
      </c>
      <c r="AF34">
        <f>'4b'!G43</f>
        <v>0</v>
      </c>
      <c r="AG34">
        <f>'4b'!H43</f>
        <v>0</v>
      </c>
      <c r="AH34">
        <f>'4b'!I43</f>
        <v>0</v>
      </c>
      <c r="AI34">
        <f>'4b'!J43</f>
        <v>0</v>
      </c>
    </row>
    <row r="35" spans="1:35" x14ac:dyDescent="0.25">
      <c r="A35">
        <f t="shared" si="17"/>
        <v>0</v>
      </c>
      <c r="B35">
        <f t="shared" si="18"/>
        <v>0</v>
      </c>
      <c r="C35">
        <f t="shared" si="19"/>
        <v>0</v>
      </c>
      <c r="D35">
        <f t="shared" si="20"/>
        <v>0</v>
      </c>
      <c r="E35">
        <f t="shared" si="21"/>
        <v>0</v>
      </c>
      <c r="F35">
        <f>'D-RepLevel'!$F$2</f>
        <v>0</v>
      </c>
      <c r="G35">
        <f>'D-RepLevel'!$G$2</f>
        <v>0</v>
      </c>
      <c r="H35">
        <f t="shared" si="22"/>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23"/>
        <v>0</v>
      </c>
      <c r="M35">
        <f t="shared" si="24"/>
        <v>0</v>
      </c>
      <c r="N35">
        <f t="shared" si="25"/>
        <v>0</v>
      </c>
      <c r="O35">
        <f t="shared" si="26"/>
        <v>2015</v>
      </c>
      <c r="P35">
        <f t="shared" si="27"/>
        <v>0</v>
      </c>
      <c r="Q35">
        <f t="shared" si="28"/>
        <v>0</v>
      </c>
      <c r="R35">
        <f t="shared" si="29"/>
        <v>0</v>
      </c>
      <c r="S35">
        <f t="shared" si="30"/>
        <v>0</v>
      </c>
      <c r="T35">
        <f>COUNTIF('9a'!$K$22:$K$32, "Yes")+COUNTIF('9a'!$O$22:$O$32, "Yes")</f>
        <v>0</v>
      </c>
      <c r="U35" t="str">
        <f t="shared" si="31"/>
        <v>No Expenditures</v>
      </c>
      <c r="V35" t="str">
        <f t="shared" si="32"/>
        <v>No Expenditures</v>
      </c>
      <c r="W35">
        <f t="shared" si="33"/>
        <v>0</v>
      </c>
      <c r="X35" t="str">
        <f>'D-Risk'!$AO$25</f>
        <v>Insufficient Data</v>
      </c>
      <c r="Y35" t="str">
        <f>'D-Risk'!$AO$26</f>
        <v>Insufficient Data</v>
      </c>
      <c r="Z35" t="str">
        <f>'D-Risk'!$AO$27</f>
        <v>Uncalculated</v>
      </c>
      <c r="AA35">
        <v>34</v>
      </c>
      <c r="AB35" t="s">
        <v>519</v>
      </c>
      <c r="AC35" t="s">
        <v>553</v>
      </c>
      <c r="AD35">
        <f>Q4b_034_Participation</f>
        <v>0</v>
      </c>
      <c r="AE35">
        <f>'4b'!F44</f>
        <v>0</v>
      </c>
      <c r="AF35">
        <f>'4b'!G44</f>
        <v>0</v>
      </c>
      <c r="AG35">
        <f>'4b'!H44</f>
        <v>0</v>
      </c>
      <c r="AH35">
        <f>'4b'!I44</f>
        <v>0</v>
      </c>
      <c r="AI35">
        <f>'4b'!J44</f>
        <v>0</v>
      </c>
    </row>
    <row r="36" spans="1:35" x14ac:dyDescent="0.25">
      <c r="A36">
        <f t="shared" si="17"/>
        <v>0</v>
      </c>
      <c r="B36">
        <f t="shared" si="18"/>
        <v>0</v>
      </c>
      <c r="C36">
        <f t="shared" si="19"/>
        <v>0</v>
      </c>
      <c r="D36">
        <f t="shared" si="20"/>
        <v>0</v>
      </c>
      <c r="E36">
        <f t="shared" si="21"/>
        <v>0</v>
      </c>
      <c r="F36">
        <f>'D-RepLevel'!$F$2</f>
        <v>0</v>
      </c>
      <c r="G36">
        <f>'D-RepLevel'!$G$2</f>
        <v>0</v>
      </c>
      <c r="H36">
        <f t="shared" si="22"/>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23"/>
        <v>0</v>
      </c>
      <c r="M36">
        <f t="shared" si="24"/>
        <v>0</v>
      </c>
      <c r="N36">
        <f t="shared" si="25"/>
        <v>0</v>
      </c>
      <c r="O36">
        <f t="shared" si="26"/>
        <v>2015</v>
      </c>
      <c r="P36">
        <f t="shared" si="27"/>
        <v>0</v>
      </c>
      <c r="Q36">
        <f t="shared" si="28"/>
        <v>0</v>
      </c>
      <c r="R36">
        <f t="shared" si="29"/>
        <v>0</v>
      </c>
      <c r="S36">
        <f t="shared" si="30"/>
        <v>0</v>
      </c>
      <c r="T36">
        <f>COUNTIF('9a'!$K$22:$K$32, "Yes")+COUNTIF('9a'!$O$22:$O$32, "Yes")</f>
        <v>0</v>
      </c>
      <c r="U36" t="str">
        <f t="shared" si="31"/>
        <v>No Expenditures</v>
      </c>
      <c r="V36" t="str">
        <f t="shared" si="32"/>
        <v>No Expenditures</v>
      </c>
      <c r="W36">
        <f t="shared" si="33"/>
        <v>0</v>
      </c>
      <c r="X36" t="str">
        <f>'D-Risk'!$AO$25</f>
        <v>Insufficient Data</v>
      </c>
      <c r="Y36" t="str">
        <f>'D-Risk'!$AO$26</f>
        <v>Insufficient Data</v>
      </c>
      <c r="Z36" t="str">
        <f>'D-Risk'!$AO$27</f>
        <v>Uncalculated</v>
      </c>
      <c r="AA36">
        <v>35</v>
      </c>
      <c r="AB36" t="s">
        <v>519</v>
      </c>
      <c r="AC36" t="s">
        <v>554</v>
      </c>
      <c r="AD36">
        <f>Q4b_035_Participation</f>
        <v>0</v>
      </c>
      <c r="AE36">
        <f>'4b'!F45</f>
        <v>0</v>
      </c>
      <c r="AF36">
        <f>'4b'!G45</f>
        <v>0</v>
      </c>
      <c r="AG36">
        <f>'4b'!H45</f>
        <v>0</v>
      </c>
      <c r="AH36">
        <f>'4b'!I45</f>
        <v>0</v>
      </c>
      <c r="AI36">
        <f>'4b'!J45</f>
        <v>0</v>
      </c>
    </row>
    <row r="37" spans="1:35" x14ac:dyDescent="0.25">
      <c r="A37">
        <f t="shared" si="17"/>
        <v>0</v>
      </c>
      <c r="B37">
        <f t="shared" si="18"/>
        <v>0</v>
      </c>
      <c r="C37">
        <f t="shared" si="19"/>
        <v>0</v>
      </c>
      <c r="D37">
        <f t="shared" si="20"/>
        <v>0</v>
      </c>
      <c r="E37">
        <f t="shared" si="21"/>
        <v>0</v>
      </c>
      <c r="F37">
        <f>'D-RepLevel'!$F$2</f>
        <v>0</v>
      </c>
      <c r="G37">
        <f>'D-RepLevel'!$G$2</f>
        <v>0</v>
      </c>
      <c r="H37">
        <f t="shared" si="22"/>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23"/>
        <v>0</v>
      </c>
      <c r="M37">
        <f t="shared" si="24"/>
        <v>0</v>
      </c>
      <c r="N37">
        <f t="shared" si="25"/>
        <v>0</v>
      </c>
      <c r="O37">
        <f t="shared" si="26"/>
        <v>2015</v>
      </c>
      <c r="P37">
        <f t="shared" si="27"/>
        <v>0</v>
      </c>
      <c r="Q37">
        <f t="shared" si="28"/>
        <v>0</v>
      </c>
      <c r="R37">
        <f t="shared" si="29"/>
        <v>0</v>
      </c>
      <c r="S37">
        <f t="shared" si="30"/>
        <v>0</v>
      </c>
      <c r="T37">
        <f>COUNTIF('9a'!$K$22:$K$32, "Yes")+COUNTIF('9a'!$O$22:$O$32, "Yes")</f>
        <v>0</v>
      </c>
      <c r="U37" t="str">
        <f t="shared" si="31"/>
        <v>No Expenditures</v>
      </c>
      <c r="V37" t="str">
        <f t="shared" si="32"/>
        <v>No Expenditures</v>
      </c>
      <c r="W37">
        <f t="shared" si="33"/>
        <v>0</v>
      </c>
      <c r="X37" t="str">
        <f>'D-Risk'!$AO$25</f>
        <v>Insufficient Data</v>
      </c>
      <c r="Y37" t="str">
        <f>'D-Risk'!$AO$26</f>
        <v>Insufficient Data</v>
      </c>
      <c r="Z37" t="str">
        <f>'D-Risk'!$AO$27</f>
        <v>Uncalculated</v>
      </c>
      <c r="AA37">
        <v>36</v>
      </c>
      <c r="AB37" t="s">
        <v>519</v>
      </c>
      <c r="AC37" t="s">
        <v>555</v>
      </c>
      <c r="AD37">
        <f>Q4b_036_Participation</f>
        <v>0</v>
      </c>
      <c r="AE37">
        <f>'4b'!F46</f>
        <v>0</v>
      </c>
      <c r="AF37">
        <f>'4b'!G46</f>
        <v>0</v>
      </c>
      <c r="AG37">
        <f>'4b'!H46</f>
        <v>0</v>
      </c>
      <c r="AH37">
        <f>'4b'!I46</f>
        <v>0</v>
      </c>
      <c r="AI37">
        <f>'4b'!J46</f>
        <v>0</v>
      </c>
    </row>
    <row r="38" spans="1:35" x14ac:dyDescent="0.25">
      <c r="A38">
        <f t="shared" si="17"/>
        <v>0</v>
      </c>
      <c r="B38">
        <f t="shared" si="18"/>
        <v>0</v>
      </c>
      <c r="C38">
        <f t="shared" si="19"/>
        <v>0</v>
      </c>
      <c r="D38">
        <f t="shared" si="20"/>
        <v>0</v>
      </c>
      <c r="E38">
        <f t="shared" si="21"/>
        <v>0</v>
      </c>
      <c r="F38">
        <f>'D-RepLevel'!$F$2</f>
        <v>0</v>
      </c>
      <c r="G38">
        <f>'D-RepLevel'!$G$2</f>
        <v>0</v>
      </c>
      <c r="H38">
        <f t="shared" si="22"/>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23"/>
        <v>0</v>
      </c>
      <c r="M38">
        <f t="shared" si="24"/>
        <v>0</v>
      </c>
      <c r="N38">
        <f t="shared" si="25"/>
        <v>0</v>
      </c>
      <c r="O38">
        <f t="shared" si="26"/>
        <v>2015</v>
      </c>
      <c r="P38">
        <f t="shared" si="27"/>
        <v>0</v>
      </c>
      <c r="Q38">
        <f t="shared" si="28"/>
        <v>0</v>
      </c>
      <c r="R38">
        <f t="shared" si="29"/>
        <v>0</v>
      </c>
      <c r="S38">
        <f t="shared" si="30"/>
        <v>0</v>
      </c>
      <c r="T38">
        <f>COUNTIF('9a'!$K$22:$K$32, "Yes")+COUNTIF('9a'!$O$22:$O$32, "Yes")</f>
        <v>0</v>
      </c>
      <c r="U38" t="str">
        <f t="shared" si="31"/>
        <v>No Expenditures</v>
      </c>
      <c r="V38" t="str">
        <f t="shared" si="32"/>
        <v>No Expenditures</v>
      </c>
      <c r="W38">
        <f t="shared" si="33"/>
        <v>0</v>
      </c>
      <c r="X38" t="str">
        <f>'D-Risk'!$AO$25</f>
        <v>Insufficient Data</v>
      </c>
      <c r="Y38" t="str">
        <f>'D-Risk'!$AO$26</f>
        <v>Insufficient Data</v>
      </c>
      <c r="Z38" t="str">
        <f>'D-Risk'!$AO$27</f>
        <v>Uncalculated</v>
      </c>
      <c r="AA38">
        <v>37</v>
      </c>
      <c r="AB38" t="s">
        <v>519</v>
      </c>
      <c r="AC38" t="s">
        <v>556</v>
      </c>
      <c r="AD38">
        <f>Q4b_037_Participation</f>
        <v>0</v>
      </c>
      <c r="AE38">
        <f>'4b'!F47</f>
        <v>0</v>
      </c>
      <c r="AF38">
        <f>'4b'!G47</f>
        <v>0</v>
      </c>
      <c r="AG38">
        <f>'4b'!H47</f>
        <v>0</v>
      </c>
      <c r="AH38">
        <f>'4b'!I47</f>
        <v>0</v>
      </c>
      <c r="AI38">
        <f>'4b'!J47</f>
        <v>0</v>
      </c>
    </row>
    <row r="39" spans="1:35" x14ac:dyDescent="0.25">
      <c r="A39">
        <f t="shared" si="17"/>
        <v>0</v>
      </c>
      <c r="B39">
        <f t="shared" si="18"/>
        <v>0</v>
      </c>
      <c r="C39">
        <f t="shared" si="19"/>
        <v>0</v>
      </c>
      <c r="D39">
        <f t="shared" si="20"/>
        <v>0</v>
      </c>
      <c r="E39">
        <f t="shared" si="21"/>
        <v>0</v>
      </c>
      <c r="F39">
        <f>'D-RepLevel'!$F$2</f>
        <v>0</v>
      </c>
      <c r="G39">
        <f>'D-RepLevel'!$G$2</f>
        <v>0</v>
      </c>
      <c r="H39">
        <f t="shared" si="22"/>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23"/>
        <v>0</v>
      </c>
      <c r="M39">
        <f t="shared" si="24"/>
        <v>0</v>
      </c>
      <c r="N39">
        <f t="shared" si="25"/>
        <v>0</v>
      </c>
      <c r="O39">
        <f t="shared" si="26"/>
        <v>2015</v>
      </c>
      <c r="P39">
        <f t="shared" si="27"/>
        <v>0</v>
      </c>
      <c r="Q39">
        <f t="shared" si="28"/>
        <v>0</v>
      </c>
      <c r="R39">
        <f t="shared" si="29"/>
        <v>0</v>
      </c>
      <c r="S39">
        <f t="shared" si="30"/>
        <v>0</v>
      </c>
      <c r="T39">
        <f>COUNTIF('9a'!$K$22:$K$32, "Yes")+COUNTIF('9a'!$O$22:$O$32, "Yes")</f>
        <v>0</v>
      </c>
      <c r="U39" t="str">
        <f t="shared" si="31"/>
        <v>No Expenditures</v>
      </c>
      <c r="V39" t="str">
        <f t="shared" si="32"/>
        <v>No Expenditures</v>
      </c>
      <c r="W39">
        <f t="shared" si="33"/>
        <v>0</v>
      </c>
      <c r="X39" t="str">
        <f>'D-Risk'!$AO$25</f>
        <v>Insufficient Data</v>
      </c>
      <c r="Y39" t="str">
        <f>'D-Risk'!$AO$26</f>
        <v>Insufficient Data</v>
      </c>
      <c r="Z39" t="str">
        <f>'D-Risk'!$AO$27</f>
        <v>Uncalculated</v>
      </c>
      <c r="AA39">
        <v>38</v>
      </c>
      <c r="AB39" t="s">
        <v>519</v>
      </c>
      <c r="AC39" t="s">
        <v>557</v>
      </c>
      <c r="AD39">
        <f>Q4b_038_Participation</f>
        <v>0</v>
      </c>
      <c r="AE39">
        <f>'4b'!F48</f>
        <v>0</v>
      </c>
      <c r="AF39">
        <f>'4b'!G48</f>
        <v>0</v>
      </c>
      <c r="AG39">
        <f>'4b'!H48</f>
        <v>0</v>
      </c>
      <c r="AH39">
        <f>'4b'!I48</f>
        <v>0</v>
      </c>
      <c r="AI39">
        <f>'4b'!J48</f>
        <v>0</v>
      </c>
    </row>
    <row r="40" spans="1:35" x14ac:dyDescent="0.25">
      <c r="A40">
        <f t="shared" si="17"/>
        <v>0</v>
      </c>
      <c r="B40">
        <f t="shared" si="18"/>
        <v>0</v>
      </c>
      <c r="C40">
        <f t="shared" si="19"/>
        <v>0</v>
      </c>
      <c r="D40">
        <f t="shared" si="20"/>
        <v>0</v>
      </c>
      <c r="E40">
        <f t="shared" si="21"/>
        <v>0</v>
      </c>
      <c r="F40">
        <f>'D-RepLevel'!$F$2</f>
        <v>0</v>
      </c>
      <c r="G40">
        <f>'D-RepLevel'!$G$2</f>
        <v>0</v>
      </c>
      <c r="H40">
        <f t="shared" si="22"/>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23"/>
        <v>0</v>
      </c>
      <c r="M40">
        <f t="shared" si="24"/>
        <v>0</v>
      </c>
      <c r="N40">
        <f t="shared" si="25"/>
        <v>0</v>
      </c>
      <c r="O40">
        <f t="shared" si="26"/>
        <v>2015</v>
      </c>
      <c r="P40">
        <f t="shared" si="27"/>
        <v>0</v>
      </c>
      <c r="Q40">
        <f t="shared" si="28"/>
        <v>0</v>
      </c>
      <c r="R40">
        <f t="shared" si="29"/>
        <v>0</v>
      </c>
      <c r="S40">
        <f t="shared" si="30"/>
        <v>0</v>
      </c>
      <c r="T40">
        <f>COUNTIF('9a'!$K$22:$K$32, "Yes")+COUNTIF('9a'!$O$22:$O$32, "Yes")</f>
        <v>0</v>
      </c>
      <c r="U40" t="str">
        <f t="shared" si="31"/>
        <v>No Expenditures</v>
      </c>
      <c r="V40" t="str">
        <f t="shared" si="32"/>
        <v>No Expenditures</v>
      </c>
      <c r="W40">
        <f t="shared" si="33"/>
        <v>0</v>
      </c>
      <c r="X40" t="str">
        <f>'D-Risk'!$AO$25</f>
        <v>Insufficient Data</v>
      </c>
      <c r="Y40" t="str">
        <f>'D-Risk'!$AO$26</f>
        <v>Insufficient Data</v>
      </c>
      <c r="Z40" t="str">
        <f>'D-Risk'!$AO$27</f>
        <v>Uncalculated</v>
      </c>
      <c r="AA40">
        <v>39</v>
      </c>
      <c r="AB40" t="s">
        <v>519</v>
      </c>
      <c r="AC40" t="s">
        <v>558</v>
      </c>
      <c r="AD40">
        <f>Q4b_039_Participation</f>
        <v>0</v>
      </c>
      <c r="AE40">
        <f>'4b'!F49</f>
        <v>0</v>
      </c>
      <c r="AF40">
        <f>'4b'!G49</f>
        <v>0</v>
      </c>
      <c r="AG40">
        <f>'4b'!H49</f>
        <v>0</v>
      </c>
      <c r="AH40">
        <f>'4b'!I49</f>
        <v>0</v>
      </c>
      <c r="AI40">
        <f>'4b'!J49</f>
        <v>0</v>
      </c>
    </row>
    <row r="41" spans="1:35" x14ac:dyDescent="0.25">
      <c r="A41">
        <f t="shared" si="17"/>
        <v>0</v>
      </c>
      <c r="B41">
        <f t="shared" si="18"/>
        <v>0</v>
      </c>
      <c r="C41">
        <f t="shared" si="19"/>
        <v>0</v>
      </c>
      <c r="D41">
        <f t="shared" si="20"/>
        <v>0</v>
      </c>
      <c r="E41">
        <f t="shared" si="21"/>
        <v>0</v>
      </c>
      <c r="F41">
        <f>'D-RepLevel'!$F$2</f>
        <v>0</v>
      </c>
      <c r="G41">
        <f>'D-RepLevel'!$G$2</f>
        <v>0</v>
      </c>
      <c r="H41">
        <f t="shared" si="22"/>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23"/>
        <v>0</v>
      </c>
      <c r="M41">
        <f t="shared" si="24"/>
        <v>0</v>
      </c>
      <c r="N41">
        <f t="shared" si="25"/>
        <v>0</v>
      </c>
      <c r="O41">
        <f t="shared" si="26"/>
        <v>2015</v>
      </c>
      <c r="P41">
        <f t="shared" si="27"/>
        <v>0</v>
      </c>
      <c r="Q41">
        <f t="shared" si="28"/>
        <v>0</v>
      </c>
      <c r="R41">
        <f t="shared" si="29"/>
        <v>0</v>
      </c>
      <c r="S41">
        <f t="shared" si="30"/>
        <v>0</v>
      </c>
      <c r="T41">
        <f>COUNTIF('9a'!$K$22:$K$32, "Yes")+COUNTIF('9a'!$O$22:$O$32, "Yes")</f>
        <v>0</v>
      </c>
      <c r="U41" t="str">
        <f t="shared" si="31"/>
        <v>No Expenditures</v>
      </c>
      <c r="V41" t="str">
        <f t="shared" si="32"/>
        <v>No Expenditures</v>
      </c>
      <c r="W41">
        <f t="shared" si="33"/>
        <v>0</v>
      </c>
      <c r="X41" t="str">
        <f>'D-Risk'!$AO$25</f>
        <v>Insufficient Data</v>
      </c>
      <c r="Y41" t="str">
        <f>'D-Risk'!$AO$26</f>
        <v>Insufficient Data</v>
      </c>
      <c r="Z41" t="str">
        <f>'D-Risk'!$AO$27</f>
        <v>Uncalculated</v>
      </c>
      <c r="AA41">
        <v>40</v>
      </c>
      <c r="AB41" t="s">
        <v>519</v>
      </c>
      <c r="AC41" t="s">
        <v>559</v>
      </c>
      <c r="AD41">
        <f>Q4b_040_Participation</f>
        <v>0</v>
      </c>
      <c r="AE41">
        <f>'4b'!F50</f>
        <v>0</v>
      </c>
      <c r="AF41">
        <f>'4b'!G50</f>
        <v>0</v>
      </c>
      <c r="AG41">
        <f>'4b'!H50</f>
        <v>0</v>
      </c>
      <c r="AH41">
        <f>'4b'!I50</f>
        <v>0</v>
      </c>
      <c r="AI41">
        <f>'4b'!J50</f>
        <v>0</v>
      </c>
    </row>
    <row r="42" spans="1:35" x14ac:dyDescent="0.25">
      <c r="A42">
        <f t="shared" si="17"/>
        <v>0</v>
      </c>
      <c r="B42">
        <f t="shared" si="18"/>
        <v>0</v>
      </c>
      <c r="C42">
        <f t="shared" si="19"/>
        <v>0</v>
      </c>
      <c r="D42">
        <f t="shared" si="20"/>
        <v>0</v>
      </c>
      <c r="E42">
        <f t="shared" si="21"/>
        <v>0</v>
      </c>
      <c r="F42">
        <f>'D-RepLevel'!$F$2</f>
        <v>0</v>
      </c>
      <c r="G42">
        <f>'D-RepLevel'!$G$2</f>
        <v>0</v>
      </c>
      <c r="H42">
        <f t="shared" si="22"/>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23"/>
        <v>0</v>
      </c>
      <c r="M42">
        <f t="shared" si="24"/>
        <v>0</v>
      </c>
      <c r="N42">
        <f t="shared" si="25"/>
        <v>0</v>
      </c>
      <c r="O42">
        <f t="shared" si="26"/>
        <v>2015</v>
      </c>
      <c r="P42">
        <f t="shared" si="27"/>
        <v>0</v>
      </c>
      <c r="Q42">
        <f t="shared" si="28"/>
        <v>0</v>
      </c>
      <c r="R42">
        <f t="shared" si="29"/>
        <v>0</v>
      </c>
      <c r="S42">
        <f t="shared" si="30"/>
        <v>0</v>
      </c>
      <c r="T42">
        <f>COUNTIF('9a'!$K$22:$K$32, "Yes")+COUNTIF('9a'!$O$22:$O$32, "Yes")</f>
        <v>0</v>
      </c>
      <c r="U42" t="str">
        <f t="shared" si="31"/>
        <v>No Expenditures</v>
      </c>
      <c r="V42" t="str">
        <f t="shared" si="32"/>
        <v>No Expenditures</v>
      </c>
      <c r="W42">
        <f t="shared" si="33"/>
        <v>0</v>
      </c>
      <c r="X42" t="str">
        <f>'D-Risk'!$AO$25</f>
        <v>Insufficient Data</v>
      </c>
      <c r="Y42" t="str">
        <f>'D-Risk'!$AO$26</f>
        <v>Insufficient Data</v>
      </c>
      <c r="Z42" t="str">
        <f>'D-Risk'!$AO$27</f>
        <v>Uncalculated</v>
      </c>
      <c r="AA42">
        <v>41</v>
      </c>
      <c r="AB42" t="s">
        <v>519</v>
      </c>
      <c r="AC42" t="s">
        <v>560</v>
      </c>
      <c r="AD42">
        <f>Q4b_041_Participation</f>
        <v>0</v>
      </c>
      <c r="AE42">
        <f>'4b'!F51</f>
        <v>0</v>
      </c>
      <c r="AF42">
        <f>'4b'!G51</f>
        <v>0</v>
      </c>
      <c r="AG42">
        <f>'4b'!H51</f>
        <v>0</v>
      </c>
      <c r="AH42">
        <f>'4b'!I51</f>
        <v>0</v>
      </c>
      <c r="AI42">
        <f>'4b'!J51</f>
        <v>0</v>
      </c>
    </row>
    <row r="43" spans="1:35" x14ac:dyDescent="0.25">
      <c r="A43">
        <f t="shared" si="17"/>
        <v>0</v>
      </c>
      <c r="B43">
        <f t="shared" si="18"/>
        <v>0</v>
      </c>
      <c r="C43">
        <f t="shared" si="19"/>
        <v>0</v>
      </c>
      <c r="D43">
        <f t="shared" si="20"/>
        <v>0</v>
      </c>
      <c r="E43">
        <f t="shared" si="21"/>
        <v>0</v>
      </c>
      <c r="F43">
        <f>'D-RepLevel'!$F$2</f>
        <v>0</v>
      </c>
      <c r="G43">
        <f>'D-RepLevel'!$G$2</f>
        <v>0</v>
      </c>
      <c r="H43">
        <f t="shared" si="22"/>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23"/>
        <v>0</v>
      </c>
      <c r="M43">
        <f t="shared" si="24"/>
        <v>0</v>
      </c>
      <c r="N43">
        <f t="shared" si="25"/>
        <v>0</v>
      </c>
      <c r="O43">
        <f t="shared" si="26"/>
        <v>2015</v>
      </c>
      <c r="P43">
        <f t="shared" si="27"/>
        <v>0</v>
      </c>
      <c r="Q43">
        <f t="shared" si="28"/>
        <v>0</v>
      </c>
      <c r="R43">
        <f t="shared" si="29"/>
        <v>0</v>
      </c>
      <c r="S43">
        <f t="shared" si="30"/>
        <v>0</v>
      </c>
      <c r="T43">
        <f>COUNTIF('9a'!$K$22:$K$32, "Yes")+COUNTIF('9a'!$O$22:$O$32, "Yes")</f>
        <v>0</v>
      </c>
      <c r="U43" t="str">
        <f t="shared" si="31"/>
        <v>No Expenditures</v>
      </c>
      <c r="V43" t="str">
        <f t="shared" si="32"/>
        <v>No Expenditures</v>
      </c>
      <c r="W43">
        <f t="shared" si="33"/>
        <v>0</v>
      </c>
      <c r="X43" t="str">
        <f>'D-Risk'!$AO$25</f>
        <v>Insufficient Data</v>
      </c>
      <c r="Y43" t="str">
        <f>'D-Risk'!$AO$26</f>
        <v>Insufficient Data</v>
      </c>
      <c r="Z43" t="str">
        <f>'D-Risk'!$AO$27</f>
        <v>Uncalculated</v>
      </c>
      <c r="AA43">
        <v>42</v>
      </c>
      <c r="AB43" t="s">
        <v>519</v>
      </c>
      <c r="AC43" t="s">
        <v>561</v>
      </c>
      <c r="AD43">
        <f>Q4b_042_Participation</f>
        <v>0</v>
      </c>
      <c r="AE43">
        <f>'4b'!F52</f>
        <v>0</v>
      </c>
      <c r="AF43">
        <f>'4b'!G52</f>
        <v>0</v>
      </c>
      <c r="AG43">
        <f>'4b'!H52</f>
        <v>0</v>
      </c>
      <c r="AH43">
        <f>'4b'!I52</f>
        <v>0</v>
      </c>
      <c r="AI43">
        <f>'4b'!J52</f>
        <v>0</v>
      </c>
    </row>
    <row r="44" spans="1:35" x14ac:dyDescent="0.25">
      <c r="A44">
        <f t="shared" si="17"/>
        <v>0</v>
      </c>
      <c r="B44">
        <f t="shared" si="18"/>
        <v>0</v>
      </c>
      <c r="C44">
        <f t="shared" si="19"/>
        <v>0</v>
      </c>
      <c r="D44">
        <f t="shared" si="20"/>
        <v>0</v>
      </c>
      <c r="E44">
        <f t="shared" si="21"/>
        <v>0</v>
      </c>
      <c r="F44">
        <f>'D-RepLevel'!$F$2</f>
        <v>0</v>
      </c>
      <c r="G44">
        <f>'D-RepLevel'!$G$2</f>
        <v>0</v>
      </c>
      <c r="H44">
        <f t="shared" si="22"/>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23"/>
        <v>0</v>
      </c>
      <c r="M44">
        <f t="shared" si="24"/>
        <v>0</v>
      </c>
      <c r="N44">
        <f t="shared" si="25"/>
        <v>0</v>
      </c>
      <c r="O44">
        <f t="shared" si="26"/>
        <v>2015</v>
      </c>
      <c r="P44">
        <f t="shared" si="27"/>
        <v>0</v>
      </c>
      <c r="Q44">
        <f t="shared" si="28"/>
        <v>0</v>
      </c>
      <c r="R44">
        <f t="shared" si="29"/>
        <v>0</v>
      </c>
      <c r="S44">
        <f t="shared" si="30"/>
        <v>0</v>
      </c>
      <c r="T44">
        <f>COUNTIF('9a'!$K$22:$K$32, "Yes")+COUNTIF('9a'!$O$22:$O$32, "Yes")</f>
        <v>0</v>
      </c>
      <c r="U44" t="str">
        <f t="shared" si="31"/>
        <v>No Expenditures</v>
      </c>
      <c r="V44" t="str">
        <f t="shared" si="32"/>
        <v>No Expenditures</v>
      </c>
      <c r="W44">
        <f t="shared" si="33"/>
        <v>0</v>
      </c>
      <c r="X44" t="str">
        <f>'D-Risk'!$AO$25</f>
        <v>Insufficient Data</v>
      </c>
      <c r="Y44" t="str">
        <f>'D-Risk'!$AO$26</f>
        <v>Insufficient Data</v>
      </c>
      <c r="Z44" t="str">
        <f>'D-Risk'!$AO$27</f>
        <v>Uncalculated</v>
      </c>
      <c r="AA44">
        <v>43</v>
      </c>
      <c r="AB44" t="s">
        <v>519</v>
      </c>
      <c r="AC44" t="s">
        <v>562</v>
      </c>
      <c r="AD44">
        <f>Q4b_043_Participation</f>
        <v>0</v>
      </c>
      <c r="AE44">
        <f>'4b'!F53</f>
        <v>0</v>
      </c>
      <c r="AF44">
        <f>'4b'!G53</f>
        <v>0</v>
      </c>
      <c r="AG44">
        <f>'4b'!H53</f>
        <v>0</v>
      </c>
      <c r="AH44">
        <f>'4b'!I53</f>
        <v>0</v>
      </c>
      <c r="AI44">
        <f>'4b'!J53</f>
        <v>0</v>
      </c>
    </row>
    <row r="45" spans="1:35" x14ac:dyDescent="0.25">
      <c r="A45">
        <f t="shared" si="17"/>
        <v>0</v>
      </c>
      <c r="B45">
        <f t="shared" si="18"/>
        <v>0</v>
      </c>
      <c r="C45">
        <f t="shared" si="19"/>
        <v>0</v>
      </c>
      <c r="D45">
        <f t="shared" si="20"/>
        <v>0</v>
      </c>
      <c r="E45">
        <f t="shared" si="21"/>
        <v>0</v>
      </c>
      <c r="F45">
        <f>'D-RepLevel'!$F$2</f>
        <v>0</v>
      </c>
      <c r="G45">
        <f>'D-RepLevel'!$G$2</f>
        <v>0</v>
      </c>
      <c r="H45">
        <f t="shared" si="22"/>
        <v>0</v>
      </c>
      <c r="I45" t="str">
        <f>IF(ISERROR(INDEX('1b'!$C$5:$C$21, MATCH("Primary Business Line", '1b'!$H$5:$H$21, FALSE), 1)), "None Selected", INDEX('1b'!$C$5:$C$21, MATCH("Primary Business Line", '1b'!$H$5:$H$21, FALSE), 1))</f>
        <v>None Selected</v>
      </c>
      <c r="J45">
        <f>'D-3'!$J$2</f>
        <v>0</v>
      </c>
      <c r="K45">
        <f>COUNTIF('4a'!$E$6:$E$29, "Direct")+COUNTIF('4a'!$E$6:$E$29, "Indirect")+COUNTIF('4a'!$E$6:$E$29, "Both")</f>
        <v>0</v>
      </c>
      <c r="L45">
        <f t="shared" si="23"/>
        <v>0</v>
      </c>
      <c r="M45">
        <f t="shared" si="24"/>
        <v>0</v>
      </c>
      <c r="N45">
        <f t="shared" si="25"/>
        <v>0</v>
      </c>
      <c r="O45">
        <f t="shared" si="26"/>
        <v>2015</v>
      </c>
      <c r="P45">
        <f t="shared" si="27"/>
        <v>0</v>
      </c>
      <c r="Q45">
        <f t="shared" si="28"/>
        <v>0</v>
      </c>
      <c r="R45">
        <f t="shared" si="29"/>
        <v>0</v>
      </c>
      <c r="S45">
        <f t="shared" si="30"/>
        <v>0</v>
      </c>
      <c r="T45">
        <f>COUNTIF('9a'!$K$22:$K$32, "Yes")+COUNTIF('9a'!$O$22:$O$32, "Yes")</f>
        <v>0</v>
      </c>
      <c r="U45" t="str">
        <f t="shared" si="31"/>
        <v>No Expenditures</v>
      </c>
      <c r="V45" t="str">
        <f t="shared" si="32"/>
        <v>No Expenditures</v>
      </c>
      <c r="W45">
        <f t="shared" si="33"/>
        <v>0</v>
      </c>
      <c r="X45" t="str">
        <f>'D-Risk'!$AO$25</f>
        <v>Insufficient Data</v>
      </c>
      <c r="Y45" t="str">
        <f>'D-Risk'!$AO$26</f>
        <v>Insufficient Data</v>
      </c>
      <c r="Z45" t="str">
        <f>'D-Risk'!$AO$27</f>
        <v>Uncalculated</v>
      </c>
      <c r="AA45">
        <v>44</v>
      </c>
      <c r="AB45" t="s">
        <v>519</v>
      </c>
      <c r="AC45" t="s">
        <v>563</v>
      </c>
      <c r="AD45">
        <f>Q4b_044_Participation</f>
        <v>0</v>
      </c>
      <c r="AE45">
        <f>'4b'!F54</f>
        <v>0</v>
      </c>
      <c r="AF45">
        <f>'4b'!G54</f>
        <v>0</v>
      </c>
      <c r="AG45">
        <f>'4b'!H54</f>
        <v>0</v>
      </c>
      <c r="AH45">
        <f>'4b'!I54</f>
        <v>0</v>
      </c>
      <c r="AI45">
        <f>'4b'!J54</f>
        <v>0</v>
      </c>
    </row>
    <row r="46" spans="1:35" x14ac:dyDescent="0.25">
      <c r="A46">
        <f t="shared" si="17"/>
        <v>0</v>
      </c>
      <c r="B46">
        <f t="shared" si="18"/>
        <v>0</v>
      </c>
      <c r="C46">
        <f t="shared" si="19"/>
        <v>0</v>
      </c>
      <c r="D46">
        <f t="shared" si="20"/>
        <v>0</v>
      </c>
      <c r="E46">
        <f t="shared" si="21"/>
        <v>0</v>
      </c>
      <c r="F46">
        <f>'D-RepLevel'!$F$2</f>
        <v>0</v>
      </c>
      <c r="G46">
        <f>'D-RepLevel'!$G$2</f>
        <v>0</v>
      </c>
      <c r="H46">
        <f t="shared" si="22"/>
        <v>0</v>
      </c>
      <c r="I46" t="str">
        <f>IF(ISERROR(INDEX('1b'!$C$5:$C$21, MATCH("Primary Business Line", '1b'!$H$5:$H$21, FALSE), 1)), "None Selected", INDEX('1b'!$C$5:$C$21, MATCH("Primary Business Line", '1b'!$H$5:$H$21, FALSE), 1))</f>
        <v>None Selected</v>
      </c>
      <c r="J46">
        <f>'D-3'!$J$2</f>
        <v>0</v>
      </c>
      <c r="K46">
        <f>COUNTIF('4a'!$E$6:$E$29, "Direct")+COUNTIF('4a'!$E$6:$E$29, "Indirect")+COUNTIF('4a'!$E$6:$E$29, "Both")</f>
        <v>0</v>
      </c>
      <c r="L46">
        <f t="shared" si="23"/>
        <v>0</v>
      </c>
      <c r="M46">
        <f t="shared" si="24"/>
        <v>0</v>
      </c>
      <c r="N46">
        <f t="shared" si="25"/>
        <v>0</v>
      </c>
      <c r="O46">
        <f t="shared" si="26"/>
        <v>2015</v>
      </c>
      <c r="P46">
        <f t="shared" si="27"/>
        <v>0</v>
      </c>
      <c r="Q46">
        <f t="shared" si="28"/>
        <v>0</v>
      </c>
      <c r="R46">
        <f t="shared" si="29"/>
        <v>0</v>
      </c>
      <c r="S46">
        <f t="shared" si="30"/>
        <v>0</v>
      </c>
      <c r="T46">
        <f>COUNTIF('9a'!$K$22:$K$32, "Yes")+COUNTIF('9a'!$O$22:$O$32, "Yes")</f>
        <v>0</v>
      </c>
      <c r="U46" t="str">
        <f t="shared" si="31"/>
        <v>No Expenditures</v>
      </c>
      <c r="V46" t="str">
        <f t="shared" si="32"/>
        <v>No Expenditures</v>
      </c>
      <c r="W46">
        <f t="shared" si="33"/>
        <v>0</v>
      </c>
      <c r="X46" t="str">
        <f>'D-Risk'!$AO$25</f>
        <v>Insufficient Data</v>
      </c>
      <c r="Y46" t="str">
        <f>'D-Risk'!$AO$26</f>
        <v>Insufficient Data</v>
      </c>
      <c r="Z46" t="str">
        <f>'D-Risk'!$AO$27</f>
        <v>Uncalculated</v>
      </c>
      <c r="AA46">
        <v>45</v>
      </c>
      <c r="AB46" t="s">
        <v>519</v>
      </c>
      <c r="AC46" t="s">
        <v>564</v>
      </c>
      <c r="AD46">
        <f>Q4b_045_Participation</f>
        <v>0</v>
      </c>
      <c r="AE46">
        <f>'4b'!F55</f>
        <v>0</v>
      </c>
      <c r="AF46">
        <f>'4b'!G55</f>
        <v>0</v>
      </c>
      <c r="AG46">
        <f>'4b'!H55</f>
        <v>0</v>
      </c>
      <c r="AH46">
        <f>'4b'!I55</f>
        <v>0</v>
      </c>
      <c r="AI46">
        <f>'4b'!J55</f>
        <v>0</v>
      </c>
    </row>
    <row r="47" spans="1:35" x14ac:dyDescent="0.25">
      <c r="A47">
        <f t="shared" si="17"/>
        <v>0</v>
      </c>
      <c r="B47">
        <f t="shared" si="18"/>
        <v>0</v>
      </c>
      <c r="C47">
        <f t="shared" si="19"/>
        <v>0</v>
      </c>
      <c r="D47">
        <f t="shared" si="20"/>
        <v>0</v>
      </c>
      <c r="E47">
        <f t="shared" si="21"/>
        <v>0</v>
      </c>
      <c r="F47">
        <f>'D-RepLevel'!$F$2</f>
        <v>0</v>
      </c>
      <c r="G47">
        <f>'D-RepLevel'!$G$2</f>
        <v>0</v>
      </c>
      <c r="H47">
        <f t="shared" si="22"/>
        <v>0</v>
      </c>
      <c r="I47" t="str">
        <f>IF(ISERROR(INDEX('1b'!$C$5:$C$21, MATCH("Primary Business Line", '1b'!$H$5:$H$21, FALSE), 1)), "None Selected", INDEX('1b'!$C$5:$C$21, MATCH("Primary Business Line", '1b'!$H$5:$H$21, FALSE), 1))</f>
        <v>None Selected</v>
      </c>
      <c r="J47">
        <f>'D-3'!$J$2</f>
        <v>0</v>
      </c>
      <c r="K47">
        <f>COUNTIF('4a'!$E$6:$E$29, "Direct")+COUNTIF('4a'!$E$6:$E$29, "Indirect")+COUNTIF('4a'!$E$6:$E$29, "Both")</f>
        <v>0</v>
      </c>
      <c r="L47">
        <f t="shared" si="23"/>
        <v>0</v>
      </c>
      <c r="M47">
        <f t="shared" si="24"/>
        <v>0</v>
      </c>
      <c r="N47">
        <f t="shared" si="25"/>
        <v>0</v>
      </c>
      <c r="O47">
        <f t="shared" si="26"/>
        <v>2015</v>
      </c>
      <c r="P47">
        <f t="shared" si="27"/>
        <v>0</v>
      </c>
      <c r="Q47">
        <f t="shared" si="28"/>
        <v>0</v>
      </c>
      <c r="R47">
        <f t="shared" si="29"/>
        <v>0</v>
      </c>
      <c r="S47">
        <f t="shared" si="30"/>
        <v>0</v>
      </c>
      <c r="T47">
        <f>COUNTIF('9a'!$K$22:$K$32, "Yes")+COUNTIF('9a'!$O$22:$O$32, "Yes")</f>
        <v>0</v>
      </c>
      <c r="U47" t="str">
        <f t="shared" si="31"/>
        <v>No Expenditures</v>
      </c>
      <c r="V47" t="str">
        <f t="shared" si="32"/>
        <v>No Expenditures</v>
      </c>
      <c r="W47">
        <f t="shared" si="33"/>
        <v>0</v>
      </c>
      <c r="X47" t="str">
        <f>'D-Risk'!$AO$25</f>
        <v>Insufficient Data</v>
      </c>
      <c r="Y47" t="str">
        <f>'D-Risk'!$AO$26</f>
        <v>Insufficient Data</v>
      </c>
      <c r="Z47" t="str">
        <f>'D-Risk'!$AO$27</f>
        <v>Uncalculated</v>
      </c>
      <c r="AA47">
        <v>46</v>
      </c>
      <c r="AB47" t="s">
        <v>519</v>
      </c>
      <c r="AC47" t="s">
        <v>565</v>
      </c>
      <c r="AD47">
        <f>Q4b_046_Participation</f>
        <v>0</v>
      </c>
      <c r="AE47">
        <f>'4b'!F56</f>
        <v>0</v>
      </c>
      <c r="AF47">
        <f>'4b'!G56</f>
        <v>0</v>
      </c>
      <c r="AG47">
        <f>'4b'!H56</f>
        <v>0</v>
      </c>
      <c r="AH47">
        <f>'4b'!I56</f>
        <v>0</v>
      </c>
      <c r="AI47">
        <f>'4b'!J56</f>
        <v>0</v>
      </c>
    </row>
    <row r="48" spans="1:35" x14ac:dyDescent="0.25">
      <c r="A48">
        <f t="shared" si="17"/>
        <v>0</v>
      </c>
      <c r="B48">
        <f t="shared" si="18"/>
        <v>0</v>
      </c>
      <c r="C48">
        <f t="shared" si="19"/>
        <v>0</v>
      </c>
      <c r="D48">
        <f t="shared" si="20"/>
        <v>0</v>
      </c>
      <c r="E48">
        <f t="shared" si="21"/>
        <v>0</v>
      </c>
      <c r="F48">
        <f>'D-RepLevel'!$F$2</f>
        <v>0</v>
      </c>
      <c r="G48">
        <f>'D-RepLevel'!$G$2</f>
        <v>0</v>
      </c>
      <c r="H48">
        <f t="shared" si="22"/>
        <v>0</v>
      </c>
      <c r="I48" t="str">
        <f>IF(ISERROR(INDEX('1b'!$C$5:$C$21, MATCH("Primary Business Line", '1b'!$H$5:$H$21, FALSE), 1)), "None Selected", INDEX('1b'!$C$5:$C$21, MATCH("Primary Business Line", '1b'!$H$5:$H$21, FALSE), 1))</f>
        <v>None Selected</v>
      </c>
      <c r="J48">
        <f>'D-3'!$J$2</f>
        <v>0</v>
      </c>
      <c r="K48">
        <f>COUNTIF('4a'!$E$6:$E$29, "Direct")+COUNTIF('4a'!$E$6:$E$29, "Indirect")+COUNTIF('4a'!$E$6:$E$29, "Both")</f>
        <v>0</v>
      </c>
      <c r="L48">
        <f t="shared" si="23"/>
        <v>0</v>
      </c>
      <c r="M48">
        <f t="shared" si="24"/>
        <v>0</v>
      </c>
      <c r="N48">
        <f t="shared" si="25"/>
        <v>0</v>
      </c>
      <c r="O48">
        <f t="shared" si="26"/>
        <v>2015</v>
      </c>
      <c r="P48">
        <f t="shared" si="27"/>
        <v>0</v>
      </c>
      <c r="Q48">
        <f t="shared" si="28"/>
        <v>0</v>
      </c>
      <c r="R48">
        <f t="shared" si="29"/>
        <v>0</v>
      </c>
      <c r="S48">
        <f t="shared" si="30"/>
        <v>0</v>
      </c>
      <c r="T48">
        <f>COUNTIF('9a'!$K$22:$K$32, "Yes")+COUNTIF('9a'!$O$22:$O$32, "Yes")</f>
        <v>0</v>
      </c>
      <c r="U48" t="str">
        <f t="shared" si="31"/>
        <v>No Expenditures</v>
      </c>
      <c r="V48" t="str">
        <f t="shared" si="32"/>
        <v>No Expenditures</v>
      </c>
      <c r="W48">
        <f t="shared" si="33"/>
        <v>0</v>
      </c>
      <c r="X48" t="str">
        <f>'D-Risk'!$AO$25</f>
        <v>Insufficient Data</v>
      </c>
      <c r="Y48" t="str">
        <f>'D-Risk'!$AO$26</f>
        <v>Insufficient Data</v>
      </c>
      <c r="Z48" t="str">
        <f>'D-Risk'!$AO$27</f>
        <v>Uncalculated</v>
      </c>
      <c r="AA48">
        <v>47</v>
      </c>
      <c r="AB48" t="s">
        <v>519</v>
      </c>
      <c r="AC48" t="s">
        <v>566</v>
      </c>
      <c r="AD48">
        <f>Q4b_047_Participation</f>
        <v>0</v>
      </c>
      <c r="AE48">
        <f>'4b'!F57</f>
        <v>0</v>
      </c>
      <c r="AF48">
        <f>'4b'!G57</f>
        <v>0</v>
      </c>
      <c r="AG48">
        <f>'4b'!H57</f>
        <v>0</v>
      </c>
      <c r="AH48">
        <f>'4b'!I57</f>
        <v>0</v>
      </c>
      <c r="AI48">
        <f>'4b'!J57</f>
        <v>0</v>
      </c>
    </row>
    <row r="49" spans="1:35" x14ac:dyDescent="0.25">
      <c r="A49">
        <f t="shared" si="17"/>
        <v>0</v>
      </c>
      <c r="B49">
        <f t="shared" si="18"/>
        <v>0</v>
      </c>
      <c r="C49">
        <f t="shared" si="19"/>
        <v>0</v>
      </c>
      <c r="D49">
        <f t="shared" si="20"/>
        <v>0</v>
      </c>
      <c r="E49">
        <f t="shared" si="21"/>
        <v>0</v>
      </c>
      <c r="F49">
        <f>'D-RepLevel'!$F$2</f>
        <v>0</v>
      </c>
      <c r="G49">
        <f>'D-RepLevel'!$G$2</f>
        <v>0</v>
      </c>
      <c r="H49">
        <f t="shared" si="22"/>
        <v>0</v>
      </c>
      <c r="I49" t="str">
        <f>IF(ISERROR(INDEX('1b'!$C$5:$C$21, MATCH("Primary Business Line", '1b'!$H$5:$H$21, FALSE), 1)), "None Selected", INDEX('1b'!$C$5:$C$21, MATCH("Primary Business Line", '1b'!$H$5:$H$21, FALSE), 1))</f>
        <v>None Selected</v>
      </c>
      <c r="J49">
        <f>'D-3'!$J$2</f>
        <v>0</v>
      </c>
      <c r="K49">
        <f>COUNTIF('4a'!$E$6:$E$29, "Direct")+COUNTIF('4a'!$E$6:$E$29, "Indirect")+COUNTIF('4a'!$E$6:$E$29, "Both")</f>
        <v>0</v>
      </c>
      <c r="L49">
        <f t="shared" si="23"/>
        <v>0</v>
      </c>
      <c r="M49">
        <f t="shared" si="24"/>
        <v>0</v>
      </c>
      <c r="N49">
        <f t="shared" si="25"/>
        <v>0</v>
      </c>
      <c r="O49">
        <f t="shared" si="26"/>
        <v>2015</v>
      </c>
      <c r="P49">
        <f t="shared" si="27"/>
        <v>0</v>
      </c>
      <c r="Q49">
        <f t="shared" si="28"/>
        <v>0</v>
      </c>
      <c r="R49">
        <f t="shared" si="29"/>
        <v>0</v>
      </c>
      <c r="S49">
        <f t="shared" si="30"/>
        <v>0</v>
      </c>
      <c r="T49">
        <f>COUNTIF('9a'!$K$22:$K$32, "Yes")+COUNTIF('9a'!$O$22:$O$32, "Yes")</f>
        <v>0</v>
      </c>
      <c r="U49" t="str">
        <f t="shared" si="31"/>
        <v>No Expenditures</v>
      </c>
      <c r="V49" t="str">
        <f t="shared" si="32"/>
        <v>No Expenditures</v>
      </c>
      <c r="W49">
        <f t="shared" si="33"/>
        <v>0</v>
      </c>
      <c r="X49" t="str">
        <f>'D-Risk'!$AO$25</f>
        <v>Insufficient Data</v>
      </c>
      <c r="Y49" t="str">
        <f>'D-Risk'!$AO$26</f>
        <v>Insufficient Data</v>
      </c>
      <c r="Z49" t="str">
        <f>'D-Risk'!$AO$27</f>
        <v>Uncalculated</v>
      </c>
      <c r="AA49">
        <v>48</v>
      </c>
      <c r="AB49" t="s">
        <v>519</v>
      </c>
      <c r="AC49" t="s">
        <v>567</v>
      </c>
      <c r="AD49">
        <f>Q4b_048_Participation</f>
        <v>0</v>
      </c>
      <c r="AE49">
        <f>'4b'!F58</f>
        <v>0</v>
      </c>
      <c r="AF49">
        <f>'4b'!G58</f>
        <v>0</v>
      </c>
      <c r="AG49">
        <f>'4b'!H58</f>
        <v>0</v>
      </c>
      <c r="AH49">
        <f>'4b'!I58</f>
        <v>0</v>
      </c>
      <c r="AI49">
        <f>'4b'!J58</f>
        <v>0</v>
      </c>
    </row>
    <row r="50" spans="1:35" x14ac:dyDescent="0.25">
      <c r="A50">
        <f t="shared" si="17"/>
        <v>0</v>
      </c>
      <c r="B50">
        <f t="shared" si="18"/>
        <v>0</v>
      </c>
      <c r="C50">
        <f t="shared" si="19"/>
        <v>0</v>
      </c>
      <c r="D50">
        <f t="shared" si="20"/>
        <v>0</v>
      </c>
      <c r="E50">
        <f t="shared" si="21"/>
        <v>0</v>
      </c>
      <c r="F50">
        <f>'D-RepLevel'!$F$2</f>
        <v>0</v>
      </c>
      <c r="G50">
        <f>'D-RepLevel'!$G$2</f>
        <v>0</v>
      </c>
      <c r="H50">
        <f t="shared" si="22"/>
        <v>0</v>
      </c>
      <c r="I50" t="str">
        <f>IF(ISERROR(INDEX('1b'!$C$5:$C$21, MATCH("Primary Business Line", '1b'!$H$5:$H$21, FALSE), 1)), "None Selected", INDEX('1b'!$C$5:$C$21, MATCH("Primary Business Line", '1b'!$H$5:$H$21, FALSE), 1))</f>
        <v>None Selected</v>
      </c>
      <c r="J50">
        <f>'D-3'!$J$2</f>
        <v>0</v>
      </c>
      <c r="K50">
        <f>COUNTIF('4a'!$E$6:$E$29, "Direct")+COUNTIF('4a'!$E$6:$E$29, "Indirect")+COUNTIF('4a'!$E$6:$E$29, "Both")</f>
        <v>0</v>
      </c>
      <c r="L50">
        <f t="shared" si="23"/>
        <v>0</v>
      </c>
      <c r="M50">
        <f t="shared" si="24"/>
        <v>0</v>
      </c>
      <c r="N50">
        <f t="shared" si="25"/>
        <v>0</v>
      </c>
      <c r="O50">
        <f t="shared" si="26"/>
        <v>2015</v>
      </c>
      <c r="P50">
        <f t="shared" si="27"/>
        <v>0</v>
      </c>
      <c r="Q50">
        <f t="shared" si="28"/>
        <v>0</v>
      </c>
      <c r="R50">
        <f t="shared" si="29"/>
        <v>0</v>
      </c>
      <c r="S50">
        <f t="shared" si="30"/>
        <v>0</v>
      </c>
      <c r="T50">
        <f>COUNTIF('9a'!$K$22:$K$32, "Yes")+COUNTIF('9a'!$O$22:$O$32, "Yes")</f>
        <v>0</v>
      </c>
      <c r="U50" t="str">
        <f t="shared" si="31"/>
        <v>No Expenditures</v>
      </c>
      <c r="V50" t="str">
        <f t="shared" si="32"/>
        <v>No Expenditures</v>
      </c>
      <c r="W50">
        <f t="shared" si="33"/>
        <v>0</v>
      </c>
      <c r="X50" t="str">
        <f>'D-Risk'!$AO$25</f>
        <v>Insufficient Data</v>
      </c>
      <c r="Y50" t="str">
        <f>'D-Risk'!$AO$26</f>
        <v>Insufficient Data</v>
      </c>
      <c r="Z50" t="str">
        <f>'D-Risk'!$AO$27</f>
        <v>Uncalculated</v>
      </c>
      <c r="AA50">
        <v>49</v>
      </c>
      <c r="AB50" t="s">
        <v>519</v>
      </c>
      <c r="AC50" t="s">
        <v>568</v>
      </c>
      <c r="AD50">
        <f>Q4b_049_Participation</f>
        <v>0</v>
      </c>
      <c r="AE50">
        <f>'4b'!F59</f>
        <v>0</v>
      </c>
      <c r="AF50">
        <f>'4b'!G59</f>
        <v>0</v>
      </c>
      <c r="AG50">
        <f>'4b'!H59</f>
        <v>0</v>
      </c>
      <c r="AH50">
        <f>'4b'!I59</f>
        <v>0</v>
      </c>
      <c r="AI50">
        <f>'4b'!J59</f>
        <v>0</v>
      </c>
    </row>
    <row r="51" spans="1:35" x14ac:dyDescent="0.25">
      <c r="A51">
        <f t="shared" si="17"/>
        <v>0</v>
      </c>
      <c r="B51">
        <f t="shared" si="18"/>
        <v>0</v>
      </c>
      <c r="C51">
        <f t="shared" si="19"/>
        <v>0</v>
      </c>
      <c r="D51">
        <f t="shared" si="20"/>
        <v>0</v>
      </c>
      <c r="E51">
        <f t="shared" si="21"/>
        <v>0</v>
      </c>
      <c r="F51">
        <f>'D-RepLevel'!$F$2</f>
        <v>0</v>
      </c>
      <c r="G51">
        <f>'D-RepLevel'!$G$2</f>
        <v>0</v>
      </c>
      <c r="H51">
        <f t="shared" si="22"/>
        <v>0</v>
      </c>
      <c r="I51" t="str">
        <f>IF(ISERROR(INDEX('1b'!$C$5:$C$21, MATCH("Primary Business Line", '1b'!$H$5:$H$21, FALSE), 1)), "None Selected", INDEX('1b'!$C$5:$C$21, MATCH("Primary Business Line", '1b'!$H$5:$H$21, FALSE), 1))</f>
        <v>None Selected</v>
      </c>
      <c r="J51">
        <f>'D-3'!$J$2</f>
        <v>0</v>
      </c>
      <c r="K51">
        <f>COUNTIF('4a'!$E$6:$E$29, "Direct")+COUNTIF('4a'!$E$6:$E$29, "Indirect")+COUNTIF('4a'!$E$6:$E$29, "Both")</f>
        <v>0</v>
      </c>
      <c r="L51">
        <f t="shared" si="23"/>
        <v>0</v>
      </c>
      <c r="M51">
        <f t="shared" si="24"/>
        <v>0</v>
      </c>
      <c r="N51">
        <f t="shared" si="25"/>
        <v>0</v>
      </c>
      <c r="O51">
        <f t="shared" si="26"/>
        <v>2015</v>
      </c>
      <c r="P51">
        <f t="shared" si="27"/>
        <v>0</v>
      </c>
      <c r="Q51">
        <f t="shared" si="28"/>
        <v>0</v>
      </c>
      <c r="R51">
        <f t="shared" si="29"/>
        <v>0</v>
      </c>
      <c r="S51">
        <f t="shared" si="30"/>
        <v>0</v>
      </c>
      <c r="T51">
        <f>COUNTIF('9a'!$K$22:$K$32, "Yes")+COUNTIF('9a'!$O$22:$O$32, "Yes")</f>
        <v>0</v>
      </c>
      <c r="U51" t="str">
        <f t="shared" si="31"/>
        <v>No Expenditures</v>
      </c>
      <c r="V51" t="str">
        <f t="shared" si="32"/>
        <v>No Expenditures</v>
      </c>
      <c r="W51">
        <f t="shared" si="33"/>
        <v>0</v>
      </c>
      <c r="X51" t="str">
        <f>'D-Risk'!$AO$25</f>
        <v>Insufficient Data</v>
      </c>
      <c r="Y51" t="str">
        <f>'D-Risk'!$AO$26</f>
        <v>Insufficient Data</v>
      </c>
      <c r="Z51" t="str">
        <f>'D-Risk'!$AO$27</f>
        <v>Uncalculated</v>
      </c>
      <c r="AA51">
        <v>50</v>
      </c>
      <c r="AB51" t="s">
        <v>519</v>
      </c>
      <c r="AC51" t="s">
        <v>569</v>
      </c>
      <c r="AD51">
        <f>Q4b_050_Participation</f>
        <v>0</v>
      </c>
      <c r="AE51">
        <f>'4b'!F60</f>
        <v>0</v>
      </c>
      <c r="AF51">
        <f>'4b'!G60</f>
        <v>0</v>
      </c>
      <c r="AG51">
        <f>'4b'!H60</f>
        <v>0</v>
      </c>
      <c r="AH51">
        <f>'4b'!I60</f>
        <v>0</v>
      </c>
      <c r="AI51">
        <f>'4b'!J60</f>
        <v>0</v>
      </c>
    </row>
    <row r="52" spans="1:35" x14ac:dyDescent="0.25">
      <c r="A52">
        <f t="shared" si="17"/>
        <v>0</v>
      </c>
      <c r="B52">
        <f t="shared" si="18"/>
        <v>0</v>
      </c>
      <c r="C52">
        <f t="shared" si="19"/>
        <v>0</v>
      </c>
      <c r="D52">
        <f t="shared" si="20"/>
        <v>0</v>
      </c>
      <c r="E52">
        <f t="shared" si="21"/>
        <v>0</v>
      </c>
      <c r="F52">
        <f>'D-RepLevel'!$F$2</f>
        <v>0</v>
      </c>
      <c r="G52">
        <f>'D-RepLevel'!$G$2</f>
        <v>0</v>
      </c>
      <c r="H52">
        <f t="shared" si="22"/>
        <v>0</v>
      </c>
      <c r="I52" t="str">
        <f>IF(ISERROR(INDEX('1b'!$C$5:$C$21, MATCH("Primary Business Line", '1b'!$H$5:$H$21, FALSE), 1)), "None Selected", INDEX('1b'!$C$5:$C$21, MATCH("Primary Business Line", '1b'!$H$5:$H$21, FALSE), 1))</f>
        <v>None Selected</v>
      </c>
      <c r="J52">
        <f>'D-3'!$J$2</f>
        <v>0</v>
      </c>
      <c r="K52">
        <f>COUNTIF('4a'!$E$6:$E$29, "Direct")+COUNTIF('4a'!$E$6:$E$29, "Indirect")+COUNTIF('4a'!$E$6:$E$29, "Both")</f>
        <v>0</v>
      </c>
      <c r="L52">
        <f t="shared" si="23"/>
        <v>0</v>
      </c>
      <c r="M52">
        <f t="shared" si="24"/>
        <v>0</v>
      </c>
      <c r="N52">
        <f t="shared" si="25"/>
        <v>0</v>
      </c>
      <c r="O52">
        <f t="shared" si="26"/>
        <v>2015</v>
      </c>
      <c r="P52">
        <f t="shared" si="27"/>
        <v>0</v>
      </c>
      <c r="Q52">
        <f t="shared" si="28"/>
        <v>0</v>
      </c>
      <c r="R52">
        <f t="shared" si="29"/>
        <v>0</v>
      </c>
      <c r="S52">
        <f t="shared" si="30"/>
        <v>0</v>
      </c>
      <c r="T52">
        <f>COUNTIF('9a'!$K$22:$K$32, "Yes")+COUNTIF('9a'!$O$22:$O$32, "Yes")</f>
        <v>0</v>
      </c>
      <c r="U52" t="str">
        <f t="shared" si="31"/>
        <v>No Expenditures</v>
      </c>
      <c r="V52" t="str">
        <f t="shared" si="32"/>
        <v>No Expenditures</v>
      </c>
      <c r="W52">
        <f t="shared" si="33"/>
        <v>0</v>
      </c>
      <c r="X52" t="str">
        <f>'D-Risk'!$AO$25</f>
        <v>Insufficient Data</v>
      </c>
      <c r="Y52" t="str">
        <f>'D-Risk'!$AO$26</f>
        <v>Insufficient Data</v>
      </c>
      <c r="Z52" t="str">
        <f>'D-Risk'!$AO$27</f>
        <v>Uncalculated</v>
      </c>
      <c r="AA52">
        <v>51</v>
      </c>
      <c r="AB52" t="s">
        <v>519</v>
      </c>
      <c r="AC52" t="s">
        <v>570</v>
      </c>
      <c r="AD52">
        <f>Q4b_051_Participation</f>
        <v>0</v>
      </c>
      <c r="AE52">
        <f>'4b'!F61</f>
        <v>0</v>
      </c>
      <c r="AF52">
        <f>'4b'!G61</f>
        <v>0</v>
      </c>
      <c r="AG52">
        <f>'4b'!H61</f>
        <v>0</v>
      </c>
      <c r="AH52">
        <f>'4b'!I61</f>
        <v>0</v>
      </c>
      <c r="AI52">
        <f>'4b'!J61</f>
        <v>0</v>
      </c>
    </row>
    <row r="53" spans="1:35" x14ac:dyDescent="0.25">
      <c r="A53">
        <f t="shared" si="17"/>
        <v>0</v>
      </c>
      <c r="B53">
        <f t="shared" si="18"/>
        <v>0</v>
      </c>
      <c r="C53">
        <f t="shared" si="19"/>
        <v>0</v>
      </c>
      <c r="D53">
        <f t="shared" si="20"/>
        <v>0</v>
      </c>
      <c r="E53">
        <f t="shared" si="21"/>
        <v>0</v>
      </c>
      <c r="F53">
        <f>'D-RepLevel'!$F$2</f>
        <v>0</v>
      </c>
      <c r="G53">
        <f>'D-RepLevel'!$G$2</f>
        <v>0</v>
      </c>
      <c r="H53">
        <f t="shared" si="22"/>
        <v>0</v>
      </c>
      <c r="I53" t="str">
        <f>IF(ISERROR(INDEX('1b'!$C$5:$C$21, MATCH("Primary Business Line", '1b'!$H$5:$H$21, FALSE), 1)), "None Selected", INDEX('1b'!$C$5:$C$21, MATCH("Primary Business Line", '1b'!$H$5:$H$21, FALSE), 1))</f>
        <v>None Selected</v>
      </c>
      <c r="J53">
        <f>'D-3'!$J$2</f>
        <v>0</v>
      </c>
      <c r="K53">
        <f>COUNTIF('4a'!$E$6:$E$29, "Direct")+COUNTIF('4a'!$E$6:$E$29, "Indirect")+COUNTIF('4a'!$E$6:$E$29, "Both")</f>
        <v>0</v>
      </c>
      <c r="L53">
        <f t="shared" si="23"/>
        <v>0</v>
      </c>
      <c r="M53">
        <f t="shared" si="24"/>
        <v>0</v>
      </c>
      <c r="N53">
        <f t="shared" si="25"/>
        <v>0</v>
      </c>
      <c r="O53">
        <f t="shared" si="26"/>
        <v>2015</v>
      </c>
      <c r="P53">
        <f t="shared" si="27"/>
        <v>0</v>
      </c>
      <c r="Q53">
        <f t="shared" si="28"/>
        <v>0</v>
      </c>
      <c r="R53">
        <f t="shared" si="29"/>
        <v>0</v>
      </c>
      <c r="S53">
        <f t="shared" si="30"/>
        <v>0</v>
      </c>
      <c r="T53">
        <f>COUNTIF('9a'!$K$22:$K$32, "Yes")+COUNTIF('9a'!$O$22:$O$32, "Yes")</f>
        <v>0</v>
      </c>
      <c r="U53" t="str">
        <f t="shared" si="31"/>
        <v>No Expenditures</v>
      </c>
      <c r="V53" t="str">
        <f t="shared" si="32"/>
        <v>No Expenditures</v>
      </c>
      <c r="W53">
        <f t="shared" si="33"/>
        <v>0</v>
      </c>
      <c r="X53" t="str">
        <f>'D-Risk'!$AO$25</f>
        <v>Insufficient Data</v>
      </c>
      <c r="Y53" t="str">
        <f>'D-Risk'!$AO$26</f>
        <v>Insufficient Data</v>
      </c>
      <c r="Z53" t="str">
        <f>'D-Risk'!$AO$27</f>
        <v>Uncalculated</v>
      </c>
      <c r="AA53">
        <v>52</v>
      </c>
      <c r="AB53" t="s">
        <v>519</v>
      </c>
      <c r="AC53" t="s">
        <v>571</v>
      </c>
      <c r="AD53">
        <f>Q4b_052_Participation</f>
        <v>0</v>
      </c>
      <c r="AE53">
        <f>'4b'!F62</f>
        <v>0</v>
      </c>
      <c r="AF53">
        <f>'4b'!G62</f>
        <v>0</v>
      </c>
      <c r="AG53">
        <f>'4b'!H62</f>
        <v>0</v>
      </c>
      <c r="AH53">
        <f>'4b'!I62</f>
        <v>0</v>
      </c>
      <c r="AI53">
        <f>'4b'!J62</f>
        <v>0</v>
      </c>
    </row>
    <row r="54" spans="1:35" x14ac:dyDescent="0.25">
      <c r="A54">
        <f t="shared" si="17"/>
        <v>0</v>
      </c>
      <c r="B54">
        <f t="shared" si="18"/>
        <v>0</v>
      </c>
      <c r="C54">
        <f t="shared" si="19"/>
        <v>0</v>
      </c>
      <c r="D54">
        <f t="shared" si="20"/>
        <v>0</v>
      </c>
      <c r="E54">
        <f t="shared" si="21"/>
        <v>0</v>
      </c>
      <c r="F54">
        <f>'D-RepLevel'!$F$2</f>
        <v>0</v>
      </c>
      <c r="G54">
        <f>'D-RepLevel'!$G$2</f>
        <v>0</v>
      </c>
      <c r="H54">
        <f t="shared" si="22"/>
        <v>0</v>
      </c>
      <c r="I54" t="str">
        <f>IF(ISERROR(INDEX('1b'!$C$5:$C$21, MATCH("Primary Business Line", '1b'!$H$5:$H$21, FALSE), 1)), "None Selected", INDEX('1b'!$C$5:$C$21, MATCH("Primary Business Line", '1b'!$H$5:$H$21, FALSE), 1))</f>
        <v>None Selected</v>
      </c>
      <c r="J54">
        <f>'D-3'!$J$2</f>
        <v>0</v>
      </c>
      <c r="K54">
        <f>COUNTIF('4a'!$E$6:$E$29, "Direct")+COUNTIF('4a'!$E$6:$E$29, "Indirect")+COUNTIF('4a'!$E$6:$E$29, "Both")</f>
        <v>0</v>
      </c>
      <c r="L54">
        <f t="shared" si="23"/>
        <v>0</v>
      </c>
      <c r="M54">
        <f t="shared" si="24"/>
        <v>0</v>
      </c>
      <c r="N54">
        <f t="shared" si="25"/>
        <v>0</v>
      </c>
      <c r="O54">
        <f t="shared" si="26"/>
        <v>2015</v>
      </c>
      <c r="P54">
        <f t="shared" si="27"/>
        <v>0</v>
      </c>
      <c r="Q54">
        <f t="shared" si="28"/>
        <v>0</v>
      </c>
      <c r="R54">
        <f t="shared" si="29"/>
        <v>0</v>
      </c>
      <c r="S54">
        <f t="shared" si="30"/>
        <v>0</v>
      </c>
      <c r="T54">
        <f>COUNTIF('9a'!$K$22:$K$32, "Yes")+COUNTIF('9a'!$O$22:$O$32, "Yes")</f>
        <v>0</v>
      </c>
      <c r="U54" t="str">
        <f t="shared" si="31"/>
        <v>No Expenditures</v>
      </c>
      <c r="V54" t="str">
        <f t="shared" si="32"/>
        <v>No Expenditures</v>
      </c>
      <c r="W54">
        <f t="shared" si="33"/>
        <v>0</v>
      </c>
      <c r="X54" t="str">
        <f>'D-Risk'!$AO$25</f>
        <v>Insufficient Data</v>
      </c>
      <c r="Y54" t="str">
        <f>'D-Risk'!$AO$26</f>
        <v>Insufficient Data</v>
      </c>
      <c r="Z54" t="str">
        <f>'D-Risk'!$AO$27</f>
        <v>Uncalculated</v>
      </c>
      <c r="AA54">
        <v>53</v>
      </c>
      <c r="AB54" t="s">
        <v>519</v>
      </c>
      <c r="AC54" t="s">
        <v>572</v>
      </c>
      <c r="AD54">
        <f>Q4b_053_Participation</f>
        <v>0</v>
      </c>
      <c r="AE54">
        <f>'4b'!F63</f>
        <v>0</v>
      </c>
      <c r="AF54">
        <f>'4b'!G63</f>
        <v>0</v>
      </c>
      <c r="AG54">
        <f>'4b'!H63</f>
        <v>0</v>
      </c>
      <c r="AH54">
        <f>'4b'!I63</f>
        <v>0</v>
      </c>
      <c r="AI54">
        <f>'4b'!J63</f>
        <v>0</v>
      </c>
    </row>
    <row r="55" spans="1:35" x14ac:dyDescent="0.25">
      <c r="A55">
        <f t="shared" si="17"/>
        <v>0</v>
      </c>
      <c r="B55">
        <f t="shared" si="18"/>
        <v>0</v>
      </c>
      <c r="C55">
        <f t="shared" si="19"/>
        <v>0</v>
      </c>
      <c r="D55">
        <f t="shared" si="20"/>
        <v>0</v>
      </c>
      <c r="E55">
        <f t="shared" si="21"/>
        <v>0</v>
      </c>
      <c r="F55">
        <f>'D-RepLevel'!$F$2</f>
        <v>0</v>
      </c>
      <c r="G55">
        <f>'D-RepLevel'!$G$2</f>
        <v>0</v>
      </c>
      <c r="H55">
        <f t="shared" si="22"/>
        <v>0</v>
      </c>
      <c r="I55" t="str">
        <f>IF(ISERROR(INDEX('1b'!$C$5:$C$21, MATCH("Primary Business Line", '1b'!$H$5:$H$21, FALSE), 1)), "None Selected", INDEX('1b'!$C$5:$C$21, MATCH("Primary Business Line", '1b'!$H$5:$H$21, FALSE), 1))</f>
        <v>None Selected</v>
      </c>
      <c r="J55">
        <f>'D-3'!$J$2</f>
        <v>0</v>
      </c>
      <c r="K55">
        <f>COUNTIF('4a'!$E$6:$E$29, "Direct")+COUNTIF('4a'!$E$6:$E$29, "Indirect")+COUNTIF('4a'!$E$6:$E$29, "Both")</f>
        <v>0</v>
      </c>
      <c r="L55">
        <f t="shared" si="23"/>
        <v>0</v>
      </c>
      <c r="M55">
        <f t="shared" si="24"/>
        <v>0</v>
      </c>
      <c r="N55">
        <f t="shared" si="25"/>
        <v>0</v>
      </c>
      <c r="O55">
        <f t="shared" si="26"/>
        <v>2015</v>
      </c>
      <c r="P55">
        <f t="shared" si="27"/>
        <v>0</v>
      </c>
      <c r="Q55">
        <f t="shared" si="28"/>
        <v>0</v>
      </c>
      <c r="R55">
        <f t="shared" si="29"/>
        <v>0</v>
      </c>
      <c r="S55">
        <f t="shared" si="30"/>
        <v>0</v>
      </c>
      <c r="T55">
        <f>COUNTIF('9a'!$K$22:$K$32, "Yes")+COUNTIF('9a'!$O$22:$O$32, "Yes")</f>
        <v>0</v>
      </c>
      <c r="U55" t="str">
        <f t="shared" si="31"/>
        <v>No Expenditures</v>
      </c>
      <c r="V55" t="str">
        <f t="shared" si="32"/>
        <v>No Expenditures</v>
      </c>
      <c r="W55">
        <f t="shared" si="33"/>
        <v>0</v>
      </c>
      <c r="X55" t="str">
        <f>'D-Risk'!$AO$25</f>
        <v>Insufficient Data</v>
      </c>
      <c r="Y55" t="str">
        <f>'D-Risk'!$AO$26</f>
        <v>Insufficient Data</v>
      </c>
      <c r="Z55" t="str">
        <f>'D-Risk'!$AO$27</f>
        <v>Uncalculated</v>
      </c>
      <c r="AA55">
        <v>54</v>
      </c>
      <c r="AB55" t="s">
        <v>519</v>
      </c>
      <c r="AC55" t="s">
        <v>573</v>
      </c>
      <c r="AD55">
        <f>Q4b_054_Participation</f>
        <v>0</v>
      </c>
      <c r="AE55">
        <f>'4b'!F64</f>
        <v>0</v>
      </c>
      <c r="AF55">
        <f>'4b'!G64</f>
        <v>0</v>
      </c>
      <c r="AG55">
        <f>'4b'!H64</f>
        <v>0</v>
      </c>
      <c r="AH55">
        <f>'4b'!I64</f>
        <v>0</v>
      </c>
      <c r="AI55">
        <f>'4b'!J64</f>
        <v>0</v>
      </c>
    </row>
  </sheetData>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7"/>
  <sheetViews>
    <sheetView zoomScale="70" zoomScaleNormal="70" workbookViewId="0">
      <selection activeCell="C7" sqref="C7:D7"/>
    </sheetView>
  </sheetViews>
  <sheetFormatPr defaultRowHeight="15" x14ac:dyDescent="0.25"/>
  <sheetData>
    <row r="1" spans="1:3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2250</v>
      </c>
      <c r="AB1" t="s">
        <v>2251</v>
      </c>
      <c r="AC1" t="s">
        <v>2252</v>
      </c>
      <c r="AD1" t="s">
        <v>184</v>
      </c>
      <c r="AE1" t="s">
        <v>2253</v>
      </c>
      <c r="AF1" t="s">
        <v>2254</v>
      </c>
      <c r="AG1" t="s">
        <v>2255</v>
      </c>
      <c r="AH1" t="s">
        <v>2256</v>
      </c>
      <c r="AI1" t="s">
        <v>2257</v>
      </c>
    </row>
    <row r="2" spans="1:35" x14ac:dyDescent="0.25">
      <c r="A2">
        <f t="shared" ref="A2:A33" si="0">Q_RP_B_DSSCAGE_01</f>
        <v>0</v>
      </c>
      <c r="B2">
        <f t="shared" ref="B2:B33" si="1">Q1a_A_LocationName</f>
        <v>0</v>
      </c>
      <c r="C2">
        <f t="shared" ref="C2:C33" si="2">Q1a_A_LocOrgName</f>
        <v>0</v>
      </c>
      <c r="D2">
        <f t="shared" ref="D2:D33" si="3">Q1a_B_Parent1_Name</f>
        <v>0</v>
      </c>
      <c r="E2">
        <f t="shared" ref="E2:E33" si="4">Q_RP_A_MultiResponse</f>
        <v>0</v>
      </c>
      <c r="F2">
        <f>'D-RepLevel'!$F$2</f>
        <v>0</v>
      </c>
      <c r="G2">
        <f>'D-RepLevel'!$G$2</f>
        <v>0</v>
      </c>
      <c r="H2">
        <f t="shared" ref="H2:H33"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3" si="6">Q4b_A_NumUSGPrograms</f>
        <v>0</v>
      </c>
      <c r="M2">
        <f t="shared" ref="M2:M33" si="7">Q6_A_Employees_Year3</f>
        <v>0</v>
      </c>
      <c r="N2">
        <f t="shared" ref="N2:N33" si="8">Q6_B_Employee_H1B_Total+Q6_B_Employee_H2B_Total+Q6_B_Employee_F1_Total+Q6_B_Employee_GreenCard_Total+Q6_B_Employee_Other_Total</f>
        <v>0</v>
      </c>
      <c r="O2">
        <f t="shared" ref="O2:O33" si="9">Year3</f>
        <v>2015</v>
      </c>
      <c r="P2">
        <f t="shared" ref="P2:P33" si="10">Q7_A_TotalSales_US_Year3+Q7_A_TotalSales_NonUS_Year3</f>
        <v>0</v>
      </c>
      <c r="Q2">
        <f t="shared" ref="Q2:Q33" si="11">Q7_B_DefSales_US_Year3_Pct*Q7_A_TotalSales_US_Year3+Q7_B_DefSales_NonUS_Year3_Pct*Q7_A_TotalSales_NonUS_Year3</f>
        <v>0</v>
      </c>
      <c r="R2">
        <f t="shared" ref="R2:R33" si="12">Q9a_B_Physical_Year3</f>
        <v>0</v>
      </c>
      <c r="S2">
        <f t="shared" ref="S2:S33" si="13">Q9a_B_Cyber_Year3</f>
        <v>0</v>
      </c>
      <c r="T2">
        <f>COUNTIF('9a'!$K$22:$K$32, "Yes")+COUNTIF('9a'!$O$22:$O$32, "Yes")</f>
        <v>0</v>
      </c>
      <c r="U2" t="str">
        <f t="shared" ref="U2:U33" si="14">IF(Q12_OpEx_Year3=0, "No Expenditures", Q9b_A_PhysicalSpending_Year3/(Q12_OpEx_Year3))</f>
        <v>No Expenditures</v>
      </c>
      <c r="V2" t="str">
        <f t="shared" ref="V2:V33" si="15">IF(Q12_OpEx_Year3=0, "No Expenditures", Q9b_A_CyberSpending_Year3/(Q12_OpEx_Year3))</f>
        <v>No Expenditures</v>
      </c>
      <c r="W2">
        <f t="shared" ref="W2:W33" si="16">Q9b_C_Pct_CSI_External</f>
        <v>0</v>
      </c>
      <c r="X2" t="str">
        <f>'D-Risk'!$AO$25</f>
        <v>Insufficient Data</v>
      </c>
      <c r="Y2" t="str">
        <f>'D-Risk'!$AO$26</f>
        <v>Insufficient Data</v>
      </c>
      <c r="Z2" t="str">
        <f>'D-Risk'!$AO$27</f>
        <v>Uncalculated</v>
      </c>
      <c r="AA2">
        <v>55</v>
      </c>
      <c r="AB2" t="s">
        <v>574</v>
      </c>
      <c r="AC2" t="s">
        <v>575</v>
      </c>
      <c r="AD2">
        <f>Q4b_055_Participation</f>
        <v>0</v>
      </c>
      <c r="AE2">
        <f>'4b'!F65</f>
        <v>0</v>
      </c>
      <c r="AF2">
        <f>'4b'!G65</f>
        <v>0</v>
      </c>
      <c r="AG2">
        <f>'4b'!H65</f>
        <v>0</v>
      </c>
      <c r="AH2">
        <f>'4b'!I65</f>
        <v>0</v>
      </c>
      <c r="AI2">
        <f>'4b'!J65</f>
        <v>0</v>
      </c>
    </row>
    <row r="3" spans="1:35"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v>56</v>
      </c>
      <c r="AB3" t="s">
        <v>574</v>
      </c>
      <c r="AC3" t="s">
        <v>576</v>
      </c>
      <c r="AD3">
        <f>Q4b_056_Participation</f>
        <v>0</v>
      </c>
      <c r="AE3">
        <f>'4b'!F66</f>
        <v>0</v>
      </c>
      <c r="AF3">
        <f>'4b'!G66</f>
        <v>0</v>
      </c>
      <c r="AG3">
        <f>'4b'!H66</f>
        <v>0</v>
      </c>
      <c r="AH3">
        <f>'4b'!I66</f>
        <v>0</v>
      </c>
      <c r="AI3">
        <f>'4b'!J66</f>
        <v>0</v>
      </c>
    </row>
    <row r="4" spans="1:35"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v>57</v>
      </c>
      <c r="AB4" t="s">
        <v>574</v>
      </c>
      <c r="AC4" t="s">
        <v>577</v>
      </c>
      <c r="AD4">
        <f>Q4b_057_Participation</f>
        <v>0</v>
      </c>
      <c r="AE4">
        <f>'4b'!F67</f>
        <v>0</v>
      </c>
      <c r="AF4">
        <f>'4b'!G67</f>
        <v>0</v>
      </c>
      <c r="AG4">
        <f>'4b'!H67</f>
        <v>0</v>
      </c>
      <c r="AH4">
        <f>'4b'!I67</f>
        <v>0</v>
      </c>
      <c r="AI4">
        <f>'4b'!J67</f>
        <v>0</v>
      </c>
    </row>
    <row r="5" spans="1:35"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v>58</v>
      </c>
      <c r="AB5" t="s">
        <v>574</v>
      </c>
      <c r="AC5" t="s">
        <v>578</v>
      </c>
      <c r="AD5">
        <f>Q4b_058_Participation</f>
        <v>0</v>
      </c>
      <c r="AE5">
        <f>'4b'!F68</f>
        <v>0</v>
      </c>
      <c r="AF5">
        <f>'4b'!G68</f>
        <v>0</v>
      </c>
      <c r="AG5">
        <f>'4b'!H68</f>
        <v>0</v>
      </c>
      <c r="AH5">
        <f>'4b'!I68</f>
        <v>0</v>
      </c>
      <c r="AI5">
        <f>'4b'!J68</f>
        <v>0</v>
      </c>
    </row>
    <row r="6" spans="1:35"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v>59</v>
      </c>
      <c r="AB6" t="s">
        <v>574</v>
      </c>
      <c r="AC6" t="s">
        <v>579</v>
      </c>
      <c r="AD6">
        <f>Q4b_059_Participation</f>
        <v>0</v>
      </c>
      <c r="AE6">
        <f>'4b'!F69</f>
        <v>0</v>
      </c>
      <c r="AF6">
        <f>'4b'!G69</f>
        <v>0</v>
      </c>
      <c r="AG6">
        <f>'4b'!H69</f>
        <v>0</v>
      </c>
      <c r="AH6">
        <f>'4b'!I69</f>
        <v>0</v>
      </c>
      <c r="AI6">
        <f>'4b'!J69</f>
        <v>0</v>
      </c>
    </row>
    <row r="7" spans="1:35"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v>60</v>
      </c>
      <c r="AB7" t="s">
        <v>574</v>
      </c>
      <c r="AC7" t="s">
        <v>580</v>
      </c>
      <c r="AD7">
        <f>Q4b_060_Participation</f>
        <v>0</v>
      </c>
      <c r="AE7">
        <f>'4b'!F70</f>
        <v>0</v>
      </c>
      <c r="AF7">
        <f>'4b'!G70</f>
        <v>0</v>
      </c>
      <c r="AG7">
        <f>'4b'!H70</f>
        <v>0</v>
      </c>
      <c r="AH7">
        <f>'4b'!I70</f>
        <v>0</v>
      </c>
      <c r="AI7">
        <f>'4b'!J70</f>
        <v>0</v>
      </c>
    </row>
    <row r="8" spans="1:35"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v>61</v>
      </c>
      <c r="AB8" t="s">
        <v>574</v>
      </c>
      <c r="AC8" t="s">
        <v>581</v>
      </c>
      <c r="AD8">
        <f>Q4b_061_Participation</f>
        <v>0</v>
      </c>
      <c r="AE8">
        <f>'4b'!F71</f>
        <v>0</v>
      </c>
      <c r="AF8">
        <f>'4b'!G71</f>
        <v>0</v>
      </c>
      <c r="AG8">
        <f>'4b'!H71</f>
        <v>0</v>
      </c>
      <c r="AH8">
        <f>'4b'!I71</f>
        <v>0</v>
      </c>
      <c r="AI8">
        <f>'4b'!J71</f>
        <v>0</v>
      </c>
    </row>
    <row r="9" spans="1:35"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v>62</v>
      </c>
      <c r="AB9" t="s">
        <v>574</v>
      </c>
      <c r="AC9" t="s">
        <v>582</v>
      </c>
      <c r="AD9">
        <f>Q4b_062_Participation</f>
        <v>0</v>
      </c>
      <c r="AE9">
        <f>'4b'!F72</f>
        <v>0</v>
      </c>
      <c r="AF9">
        <f>'4b'!G72</f>
        <v>0</v>
      </c>
      <c r="AG9">
        <f>'4b'!H72</f>
        <v>0</v>
      </c>
      <c r="AH9">
        <f>'4b'!I72</f>
        <v>0</v>
      </c>
      <c r="AI9">
        <f>'4b'!J72</f>
        <v>0</v>
      </c>
    </row>
    <row r="10" spans="1:35"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v>63</v>
      </c>
      <c r="AB10" t="s">
        <v>574</v>
      </c>
      <c r="AC10" t="s">
        <v>583</v>
      </c>
      <c r="AD10">
        <f>Q4b_063_Participation</f>
        <v>0</v>
      </c>
      <c r="AE10">
        <f>'4b'!F73</f>
        <v>0</v>
      </c>
      <c r="AF10">
        <f>'4b'!G73</f>
        <v>0</v>
      </c>
      <c r="AG10">
        <f>'4b'!H73</f>
        <v>0</v>
      </c>
      <c r="AH10">
        <f>'4b'!I73</f>
        <v>0</v>
      </c>
      <c r="AI10">
        <f>'4b'!J73</f>
        <v>0</v>
      </c>
    </row>
    <row r="11" spans="1:35"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v>64</v>
      </c>
      <c r="AB11" t="s">
        <v>574</v>
      </c>
      <c r="AC11" t="s">
        <v>584</v>
      </c>
      <c r="AD11">
        <f>Q4b_064_Participation</f>
        <v>0</v>
      </c>
      <c r="AE11">
        <f>'4b'!F74</f>
        <v>0</v>
      </c>
      <c r="AF11">
        <f>'4b'!G74</f>
        <v>0</v>
      </c>
      <c r="AG11">
        <f>'4b'!H74</f>
        <v>0</v>
      </c>
      <c r="AH11">
        <f>'4b'!I74</f>
        <v>0</v>
      </c>
      <c r="AI11">
        <f>'4b'!J74</f>
        <v>0</v>
      </c>
    </row>
    <row r="12" spans="1:35"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v>65</v>
      </c>
      <c r="AB12" t="s">
        <v>574</v>
      </c>
      <c r="AC12" t="s">
        <v>585</v>
      </c>
      <c r="AD12">
        <f>Q4b_065_Participation</f>
        <v>0</v>
      </c>
      <c r="AE12">
        <f>'4b'!F75</f>
        <v>0</v>
      </c>
      <c r="AF12">
        <f>'4b'!G75</f>
        <v>0</v>
      </c>
      <c r="AG12">
        <f>'4b'!H75</f>
        <v>0</v>
      </c>
      <c r="AH12">
        <f>'4b'!I75</f>
        <v>0</v>
      </c>
      <c r="AI12">
        <f>'4b'!J75</f>
        <v>0</v>
      </c>
    </row>
    <row r="13" spans="1:35"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v>66</v>
      </c>
      <c r="AB13" t="s">
        <v>574</v>
      </c>
      <c r="AC13" t="s">
        <v>2259</v>
      </c>
      <c r="AD13">
        <f>Q4b_066_Participation</f>
        <v>0</v>
      </c>
      <c r="AE13">
        <f>'4b'!F76</f>
        <v>0</v>
      </c>
      <c r="AF13">
        <f>'4b'!G76</f>
        <v>0</v>
      </c>
      <c r="AG13">
        <f>'4b'!H76</f>
        <v>0</v>
      </c>
      <c r="AH13">
        <f>'4b'!I76</f>
        <v>0</v>
      </c>
      <c r="AI13">
        <f>'4b'!J76</f>
        <v>0</v>
      </c>
    </row>
    <row r="14" spans="1:35"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v>67</v>
      </c>
      <c r="AB14" t="s">
        <v>574</v>
      </c>
      <c r="AC14" t="s">
        <v>587</v>
      </c>
      <c r="AD14">
        <f>Q4b_067_Participation</f>
        <v>0</v>
      </c>
      <c r="AE14">
        <f>'4b'!F77</f>
        <v>0</v>
      </c>
      <c r="AF14">
        <f>'4b'!G77</f>
        <v>0</v>
      </c>
      <c r="AG14">
        <f>'4b'!H77</f>
        <v>0</v>
      </c>
      <c r="AH14">
        <f>'4b'!I77</f>
        <v>0</v>
      </c>
      <c r="AI14">
        <f>'4b'!J77</f>
        <v>0</v>
      </c>
    </row>
    <row r="15" spans="1:35"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v>68</v>
      </c>
      <c r="AB15" t="s">
        <v>574</v>
      </c>
      <c r="AC15" t="s">
        <v>588</v>
      </c>
      <c r="AD15">
        <f>Q4b_068_Participation</f>
        <v>0</v>
      </c>
      <c r="AE15">
        <f>'4b'!F78</f>
        <v>0</v>
      </c>
      <c r="AF15">
        <f>'4b'!G78</f>
        <v>0</v>
      </c>
      <c r="AG15">
        <f>'4b'!H78</f>
        <v>0</v>
      </c>
      <c r="AH15">
        <f>'4b'!I78</f>
        <v>0</v>
      </c>
      <c r="AI15">
        <f>'4b'!J78</f>
        <v>0</v>
      </c>
    </row>
    <row r="16" spans="1:35"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v>69</v>
      </c>
      <c r="AB16" t="s">
        <v>574</v>
      </c>
      <c r="AC16" t="s">
        <v>589</v>
      </c>
      <c r="AD16">
        <f>Q4b_069_Participation</f>
        <v>0</v>
      </c>
      <c r="AE16">
        <f>'4b'!F79</f>
        <v>0</v>
      </c>
      <c r="AF16">
        <f>'4b'!G79</f>
        <v>0</v>
      </c>
      <c r="AG16">
        <f>'4b'!H79</f>
        <v>0</v>
      </c>
      <c r="AH16">
        <f>'4b'!I79</f>
        <v>0</v>
      </c>
      <c r="AI16">
        <f>'4b'!J79</f>
        <v>0</v>
      </c>
    </row>
    <row r="17" spans="1:35"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v>70</v>
      </c>
      <c r="AB17" t="s">
        <v>574</v>
      </c>
      <c r="AC17" t="s">
        <v>590</v>
      </c>
      <c r="AD17">
        <f>Q4b_070_Participation</f>
        <v>0</v>
      </c>
      <c r="AE17">
        <f>'4b'!F80</f>
        <v>0</v>
      </c>
      <c r="AF17">
        <f>'4b'!G80</f>
        <v>0</v>
      </c>
      <c r="AG17">
        <f>'4b'!H80</f>
        <v>0</v>
      </c>
      <c r="AH17">
        <f>'4b'!I80</f>
        <v>0</v>
      </c>
      <c r="AI17">
        <f>'4b'!J80</f>
        <v>0</v>
      </c>
    </row>
    <row r="18" spans="1:35"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v>71</v>
      </c>
      <c r="AB18" t="s">
        <v>574</v>
      </c>
      <c r="AC18" t="s">
        <v>591</v>
      </c>
      <c r="AD18">
        <f>Q4b_071_Participation</f>
        <v>0</v>
      </c>
      <c r="AE18">
        <f>'4b'!F81</f>
        <v>0</v>
      </c>
      <c r="AF18">
        <f>'4b'!G81</f>
        <v>0</v>
      </c>
      <c r="AG18">
        <f>'4b'!H81</f>
        <v>0</v>
      </c>
      <c r="AH18">
        <f>'4b'!I81</f>
        <v>0</v>
      </c>
      <c r="AI18">
        <f>'4b'!J81</f>
        <v>0</v>
      </c>
    </row>
    <row r="19" spans="1:35"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v>72</v>
      </c>
      <c r="AB19" t="s">
        <v>574</v>
      </c>
      <c r="AC19" t="s">
        <v>592</v>
      </c>
      <c r="AD19">
        <f>Q4b_072_Participation</f>
        <v>0</v>
      </c>
      <c r="AE19">
        <f>'4b'!F82</f>
        <v>0</v>
      </c>
      <c r="AF19">
        <f>'4b'!G82</f>
        <v>0</v>
      </c>
      <c r="AG19">
        <f>'4b'!H82</f>
        <v>0</v>
      </c>
      <c r="AH19">
        <f>'4b'!I82</f>
        <v>0</v>
      </c>
      <c r="AI19">
        <f>'4b'!J82</f>
        <v>0</v>
      </c>
    </row>
    <row r="20" spans="1:35"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v>73</v>
      </c>
      <c r="AB20" t="s">
        <v>574</v>
      </c>
      <c r="AC20" t="s">
        <v>593</v>
      </c>
      <c r="AD20">
        <f>Q4b_073_Participation</f>
        <v>0</v>
      </c>
      <c r="AE20">
        <f>'4b'!F83</f>
        <v>0</v>
      </c>
      <c r="AF20">
        <f>'4b'!G83</f>
        <v>0</v>
      </c>
      <c r="AG20">
        <f>'4b'!H83</f>
        <v>0</v>
      </c>
      <c r="AH20">
        <f>'4b'!I83</f>
        <v>0</v>
      </c>
      <c r="AI20">
        <f>'4b'!J83</f>
        <v>0</v>
      </c>
    </row>
    <row r="21" spans="1:35"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v>74</v>
      </c>
      <c r="AB21" t="s">
        <v>574</v>
      </c>
      <c r="AC21" t="s">
        <v>594</v>
      </c>
      <c r="AD21">
        <f>Q4b_074_Participation</f>
        <v>0</v>
      </c>
      <c r="AE21">
        <f>'4b'!F84</f>
        <v>0</v>
      </c>
      <c r="AF21">
        <f>'4b'!G84</f>
        <v>0</v>
      </c>
      <c r="AG21">
        <f>'4b'!H84</f>
        <v>0</v>
      </c>
      <c r="AH21">
        <f>'4b'!I84</f>
        <v>0</v>
      </c>
      <c r="AI21">
        <f>'4b'!J84</f>
        <v>0</v>
      </c>
    </row>
    <row r="22" spans="1:35"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v>75</v>
      </c>
      <c r="AB22" t="s">
        <v>574</v>
      </c>
      <c r="AC22" t="s">
        <v>595</v>
      </c>
      <c r="AD22">
        <f>Q4b_075_Participation</f>
        <v>0</v>
      </c>
      <c r="AE22">
        <f>'4b'!F85</f>
        <v>0</v>
      </c>
      <c r="AF22">
        <f>'4b'!G85</f>
        <v>0</v>
      </c>
      <c r="AG22">
        <f>'4b'!H85</f>
        <v>0</v>
      </c>
      <c r="AH22">
        <f>'4b'!I85</f>
        <v>0</v>
      </c>
      <c r="AI22">
        <f>'4b'!J85</f>
        <v>0</v>
      </c>
    </row>
    <row r="23" spans="1:35"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v>76</v>
      </c>
      <c r="AB23" t="s">
        <v>574</v>
      </c>
      <c r="AC23" t="s">
        <v>596</v>
      </c>
      <c r="AD23">
        <f>Q4b_076_Participation</f>
        <v>0</v>
      </c>
      <c r="AE23">
        <f>'4b'!F86</f>
        <v>0</v>
      </c>
      <c r="AF23">
        <f>'4b'!G86</f>
        <v>0</v>
      </c>
      <c r="AG23">
        <f>'4b'!H86</f>
        <v>0</v>
      </c>
      <c r="AH23">
        <f>'4b'!I86</f>
        <v>0</v>
      </c>
      <c r="AI23">
        <f>'4b'!J86</f>
        <v>0</v>
      </c>
    </row>
    <row r="24" spans="1:35"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v>77</v>
      </c>
      <c r="AB24" t="s">
        <v>574</v>
      </c>
      <c r="AC24" t="s">
        <v>597</v>
      </c>
      <c r="AD24">
        <f>Q4b_077_Participation</f>
        <v>0</v>
      </c>
      <c r="AE24">
        <f>'4b'!F87</f>
        <v>0</v>
      </c>
      <c r="AF24">
        <f>'4b'!G87</f>
        <v>0</v>
      </c>
      <c r="AG24">
        <f>'4b'!H87</f>
        <v>0</v>
      </c>
      <c r="AH24">
        <f>'4b'!I87</f>
        <v>0</v>
      </c>
      <c r="AI24">
        <f>'4b'!J87</f>
        <v>0</v>
      </c>
    </row>
    <row r="25" spans="1:35"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v>78</v>
      </c>
      <c r="AB25" t="s">
        <v>574</v>
      </c>
      <c r="AC25" t="s">
        <v>598</v>
      </c>
      <c r="AD25">
        <f>Q4b_078_Participation</f>
        <v>0</v>
      </c>
      <c r="AE25">
        <f>'4b'!F88</f>
        <v>0</v>
      </c>
      <c r="AF25">
        <f>'4b'!G88</f>
        <v>0</v>
      </c>
      <c r="AG25">
        <f>'4b'!H88</f>
        <v>0</v>
      </c>
      <c r="AH25">
        <f>'4b'!I88</f>
        <v>0</v>
      </c>
      <c r="AI25">
        <f>'4b'!J88</f>
        <v>0</v>
      </c>
    </row>
    <row r="26" spans="1:35"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v>79</v>
      </c>
      <c r="AB26" t="s">
        <v>574</v>
      </c>
      <c r="AC26" t="s">
        <v>599</v>
      </c>
      <c r="AD26">
        <f>Q4b_079_Participation</f>
        <v>0</v>
      </c>
      <c r="AE26">
        <f>'4b'!F89</f>
        <v>0</v>
      </c>
      <c r="AF26">
        <f>'4b'!G89</f>
        <v>0</v>
      </c>
      <c r="AG26">
        <f>'4b'!H89</f>
        <v>0</v>
      </c>
      <c r="AH26">
        <f>'4b'!I89</f>
        <v>0</v>
      </c>
      <c r="AI26">
        <f>'4b'!J89</f>
        <v>0</v>
      </c>
    </row>
    <row r="27" spans="1:35"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v>80</v>
      </c>
      <c r="AB27" t="s">
        <v>574</v>
      </c>
      <c r="AC27" t="s">
        <v>600</v>
      </c>
      <c r="AD27">
        <f>Q4b_080_Participation</f>
        <v>0</v>
      </c>
      <c r="AE27">
        <f>'4b'!F90</f>
        <v>0</v>
      </c>
      <c r="AF27">
        <f>'4b'!G90</f>
        <v>0</v>
      </c>
      <c r="AG27">
        <f>'4b'!H90</f>
        <v>0</v>
      </c>
      <c r="AH27">
        <f>'4b'!I90</f>
        <v>0</v>
      </c>
      <c r="AI27">
        <f>'4b'!J90</f>
        <v>0</v>
      </c>
    </row>
    <row r="28" spans="1:35"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v>81</v>
      </c>
      <c r="AB28" t="s">
        <v>574</v>
      </c>
      <c r="AC28" t="s">
        <v>601</v>
      </c>
      <c r="AD28">
        <f>Q4b_081_Participation</f>
        <v>0</v>
      </c>
      <c r="AE28">
        <f>'4b'!F91</f>
        <v>0</v>
      </c>
      <c r="AF28">
        <f>'4b'!G91</f>
        <v>0</v>
      </c>
      <c r="AG28">
        <f>'4b'!H91</f>
        <v>0</v>
      </c>
      <c r="AH28">
        <f>'4b'!I91</f>
        <v>0</v>
      </c>
      <c r="AI28">
        <f>'4b'!J91</f>
        <v>0</v>
      </c>
    </row>
    <row r="29" spans="1:35"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v>82</v>
      </c>
      <c r="AB29" t="s">
        <v>574</v>
      </c>
      <c r="AC29" t="s">
        <v>602</v>
      </c>
      <c r="AD29">
        <f>Q4b_082_Participation</f>
        <v>0</v>
      </c>
      <c r="AE29">
        <f>'4b'!F92</f>
        <v>0</v>
      </c>
      <c r="AF29">
        <f>'4b'!G92</f>
        <v>0</v>
      </c>
      <c r="AG29">
        <f>'4b'!H92</f>
        <v>0</v>
      </c>
      <c r="AH29">
        <f>'4b'!I92</f>
        <v>0</v>
      </c>
      <c r="AI29">
        <f>'4b'!J92</f>
        <v>0</v>
      </c>
    </row>
    <row r="30" spans="1:35"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v>83</v>
      </c>
      <c r="AB30" t="s">
        <v>574</v>
      </c>
      <c r="AC30" t="s">
        <v>603</v>
      </c>
      <c r="AD30">
        <f>Q4b_083_Participation</f>
        <v>0</v>
      </c>
      <c r="AE30">
        <f>'4b'!F93</f>
        <v>0</v>
      </c>
      <c r="AF30">
        <f>'4b'!G93</f>
        <v>0</v>
      </c>
      <c r="AG30">
        <f>'4b'!H93</f>
        <v>0</v>
      </c>
      <c r="AH30">
        <f>'4b'!I93</f>
        <v>0</v>
      </c>
      <c r="AI30">
        <f>'4b'!J93</f>
        <v>0</v>
      </c>
    </row>
    <row r="31" spans="1:35"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v>84</v>
      </c>
      <c r="AB31" t="s">
        <v>574</v>
      </c>
      <c r="AC31" t="s">
        <v>604</v>
      </c>
      <c r="AD31">
        <f>Q4b_084_Participation</f>
        <v>0</v>
      </c>
      <c r="AE31">
        <f>'4b'!F94</f>
        <v>0</v>
      </c>
      <c r="AF31">
        <f>'4b'!G94</f>
        <v>0</v>
      </c>
      <c r="AG31">
        <f>'4b'!H94</f>
        <v>0</v>
      </c>
      <c r="AH31">
        <f>'4b'!I94</f>
        <v>0</v>
      </c>
      <c r="AI31">
        <f>'4b'!J94</f>
        <v>0</v>
      </c>
    </row>
    <row r="32" spans="1:35"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v>85</v>
      </c>
      <c r="AB32" t="s">
        <v>574</v>
      </c>
      <c r="AC32" t="s">
        <v>605</v>
      </c>
      <c r="AD32">
        <f>Q4b_085_Participation</f>
        <v>0</v>
      </c>
      <c r="AE32">
        <f>'4b'!F95</f>
        <v>0</v>
      </c>
      <c r="AF32">
        <f>'4b'!G95</f>
        <v>0</v>
      </c>
      <c r="AG32">
        <f>'4b'!H95</f>
        <v>0</v>
      </c>
      <c r="AH32">
        <f>'4b'!I95</f>
        <v>0</v>
      </c>
      <c r="AI32">
        <f>'4b'!J95</f>
        <v>0</v>
      </c>
    </row>
    <row r="33" spans="1:35"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v>86</v>
      </c>
      <c r="AB33" t="s">
        <v>574</v>
      </c>
      <c r="AC33" t="s">
        <v>2260</v>
      </c>
      <c r="AD33">
        <f>Q4b_086_Participation</f>
        <v>0</v>
      </c>
      <c r="AE33">
        <f>'4b'!F96</f>
        <v>0</v>
      </c>
      <c r="AF33">
        <f>'4b'!G96</f>
        <v>0</v>
      </c>
      <c r="AG33">
        <f>'4b'!H96</f>
        <v>0</v>
      </c>
      <c r="AH33">
        <f>'4b'!I96</f>
        <v>0</v>
      </c>
      <c r="AI33">
        <f>'4b'!J96</f>
        <v>0</v>
      </c>
    </row>
    <row r="34" spans="1:35" x14ac:dyDescent="0.25">
      <c r="A34">
        <f t="shared" ref="A34:A57" si="17">Q_RP_B_DSSCAGE_01</f>
        <v>0</v>
      </c>
      <c r="B34">
        <f t="shared" ref="B34:B57" si="18">Q1a_A_LocationName</f>
        <v>0</v>
      </c>
      <c r="C34">
        <f t="shared" ref="C34:C57" si="19">Q1a_A_LocOrgName</f>
        <v>0</v>
      </c>
      <c r="D34">
        <f t="shared" ref="D34:D57" si="20">Q1a_B_Parent1_Name</f>
        <v>0</v>
      </c>
      <c r="E34">
        <f t="shared" ref="E34:E57" si="21">Q_RP_A_MultiResponse</f>
        <v>0</v>
      </c>
      <c r="F34">
        <f>'D-RepLevel'!$F$2</f>
        <v>0</v>
      </c>
      <c r="G34">
        <f>'D-RepLevel'!$G$2</f>
        <v>0</v>
      </c>
      <c r="H34">
        <f t="shared" ref="H34:H57" si="22">Q1a_A_OnlyLoc_YN</f>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ref="L34:L57" si="23">Q4b_A_NumUSGPrograms</f>
        <v>0</v>
      </c>
      <c r="M34">
        <f t="shared" ref="M34:M57" si="24">Q6_A_Employees_Year3</f>
        <v>0</v>
      </c>
      <c r="N34">
        <f t="shared" ref="N34:N57" si="25">Q6_B_Employee_H1B_Total+Q6_B_Employee_H2B_Total+Q6_B_Employee_F1_Total+Q6_B_Employee_GreenCard_Total+Q6_B_Employee_Other_Total</f>
        <v>0</v>
      </c>
      <c r="O34">
        <f t="shared" ref="O34:O57" si="26">Year3</f>
        <v>2015</v>
      </c>
      <c r="P34">
        <f t="shared" ref="P34:P57" si="27">Q7_A_TotalSales_US_Year3+Q7_A_TotalSales_NonUS_Year3</f>
        <v>0</v>
      </c>
      <c r="Q34">
        <f t="shared" ref="Q34:Q57" si="28">Q7_B_DefSales_US_Year3_Pct*Q7_A_TotalSales_US_Year3+Q7_B_DefSales_NonUS_Year3_Pct*Q7_A_TotalSales_NonUS_Year3</f>
        <v>0</v>
      </c>
      <c r="R34">
        <f t="shared" ref="R34:R57" si="29">Q9a_B_Physical_Year3</f>
        <v>0</v>
      </c>
      <c r="S34">
        <f t="shared" ref="S34:S57" si="30">Q9a_B_Cyber_Year3</f>
        <v>0</v>
      </c>
      <c r="T34">
        <f>COUNTIF('9a'!$K$22:$K$32, "Yes")+COUNTIF('9a'!$O$22:$O$32, "Yes")</f>
        <v>0</v>
      </c>
      <c r="U34" t="str">
        <f t="shared" ref="U34:U57" si="31">IF(Q12_OpEx_Year3=0, "No Expenditures", Q9b_A_PhysicalSpending_Year3/(Q12_OpEx_Year3))</f>
        <v>No Expenditures</v>
      </c>
      <c r="V34" t="str">
        <f t="shared" ref="V34:V57" si="32">IF(Q12_OpEx_Year3=0, "No Expenditures", Q9b_A_CyberSpending_Year3/(Q12_OpEx_Year3))</f>
        <v>No Expenditures</v>
      </c>
      <c r="W34">
        <f t="shared" ref="W34:W57" si="33">Q9b_C_Pct_CSI_External</f>
        <v>0</v>
      </c>
      <c r="X34" t="str">
        <f>'D-Risk'!$AO$25</f>
        <v>Insufficient Data</v>
      </c>
      <c r="Y34" t="str">
        <f>'D-Risk'!$AO$26</f>
        <v>Insufficient Data</v>
      </c>
      <c r="Z34" t="str">
        <f>'D-Risk'!$AO$27</f>
        <v>Uncalculated</v>
      </c>
      <c r="AA34">
        <v>87</v>
      </c>
      <c r="AB34" t="s">
        <v>574</v>
      </c>
      <c r="AC34" t="s">
        <v>607</v>
      </c>
      <c r="AD34">
        <f>Q4b_087_Participation</f>
        <v>0</v>
      </c>
      <c r="AE34">
        <f>'4b'!F97</f>
        <v>0</v>
      </c>
      <c r="AF34">
        <f>'4b'!G97</f>
        <v>0</v>
      </c>
      <c r="AG34">
        <f>'4b'!H97</f>
        <v>0</v>
      </c>
      <c r="AH34">
        <f>'4b'!I97</f>
        <v>0</v>
      </c>
      <c r="AI34">
        <f>'4b'!J97</f>
        <v>0</v>
      </c>
    </row>
    <row r="35" spans="1:35" x14ac:dyDescent="0.25">
      <c r="A35">
        <f t="shared" si="17"/>
        <v>0</v>
      </c>
      <c r="B35">
        <f t="shared" si="18"/>
        <v>0</v>
      </c>
      <c r="C35">
        <f t="shared" si="19"/>
        <v>0</v>
      </c>
      <c r="D35">
        <f t="shared" si="20"/>
        <v>0</v>
      </c>
      <c r="E35">
        <f t="shared" si="21"/>
        <v>0</v>
      </c>
      <c r="F35">
        <f>'D-RepLevel'!$F$2</f>
        <v>0</v>
      </c>
      <c r="G35">
        <f>'D-RepLevel'!$G$2</f>
        <v>0</v>
      </c>
      <c r="H35">
        <f t="shared" si="22"/>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23"/>
        <v>0</v>
      </c>
      <c r="M35">
        <f t="shared" si="24"/>
        <v>0</v>
      </c>
      <c r="N35">
        <f t="shared" si="25"/>
        <v>0</v>
      </c>
      <c r="O35">
        <f t="shared" si="26"/>
        <v>2015</v>
      </c>
      <c r="P35">
        <f t="shared" si="27"/>
        <v>0</v>
      </c>
      <c r="Q35">
        <f t="shared" si="28"/>
        <v>0</v>
      </c>
      <c r="R35">
        <f t="shared" si="29"/>
        <v>0</v>
      </c>
      <c r="S35">
        <f t="shared" si="30"/>
        <v>0</v>
      </c>
      <c r="T35">
        <f>COUNTIF('9a'!$K$22:$K$32, "Yes")+COUNTIF('9a'!$O$22:$O$32, "Yes")</f>
        <v>0</v>
      </c>
      <c r="U35" t="str">
        <f t="shared" si="31"/>
        <v>No Expenditures</v>
      </c>
      <c r="V35" t="str">
        <f t="shared" si="32"/>
        <v>No Expenditures</v>
      </c>
      <c r="W35">
        <f t="shared" si="33"/>
        <v>0</v>
      </c>
      <c r="X35" t="str">
        <f>'D-Risk'!$AO$25</f>
        <v>Insufficient Data</v>
      </c>
      <c r="Y35" t="str">
        <f>'D-Risk'!$AO$26</f>
        <v>Insufficient Data</v>
      </c>
      <c r="Z35" t="str">
        <f>'D-Risk'!$AO$27</f>
        <v>Uncalculated</v>
      </c>
      <c r="AA35">
        <v>88</v>
      </c>
      <c r="AB35" t="s">
        <v>574</v>
      </c>
      <c r="AC35" t="s">
        <v>608</v>
      </c>
      <c r="AD35">
        <f>Q4b_088_Participation</f>
        <v>0</v>
      </c>
      <c r="AE35">
        <f>'4b'!F98</f>
        <v>0</v>
      </c>
      <c r="AF35">
        <f>'4b'!G98</f>
        <v>0</v>
      </c>
      <c r="AG35">
        <f>'4b'!H98</f>
        <v>0</v>
      </c>
      <c r="AH35">
        <f>'4b'!I98</f>
        <v>0</v>
      </c>
      <c r="AI35">
        <f>'4b'!J98</f>
        <v>0</v>
      </c>
    </row>
    <row r="36" spans="1:35" x14ac:dyDescent="0.25">
      <c r="A36">
        <f t="shared" si="17"/>
        <v>0</v>
      </c>
      <c r="B36">
        <f t="shared" si="18"/>
        <v>0</v>
      </c>
      <c r="C36">
        <f t="shared" si="19"/>
        <v>0</v>
      </c>
      <c r="D36">
        <f t="shared" si="20"/>
        <v>0</v>
      </c>
      <c r="E36">
        <f t="shared" si="21"/>
        <v>0</v>
      </c>
      <c r="F36">
        <f>'D-RepLevel'!$F$2</f>
        <v>0</v>
      </c>
      <c r="G36">
        <f>'D-RepLevel'!$G$2</f>
        <v>0</v>
      </c>
      <c r="H36">
        <f t="shared" si="22"/>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23"/>
        <v>0</v>
      </c>
      <c r="M36">
        <f t="shared" si="24"/>
        <v>0</v>
      </c>
      <c r="N36">
        <f t="shared" si="25"/>
        <v>0</v>
      </c>
      <c r="O36">
        <f t="shared" si="26"/>
        <v>2015</v>
      </c>
      <c r="P36">
        <f t="shared" si="27"/>
        <v>0</v>
      </c>
      <c r="Q36">
        <f t="shared" si="28"/>
        <v>0</v>
      </c>
      <c r="R36">
        <f t="shared" si="29"/>
        <v>0</v>
      </c>
      <c r="S36">
        <f t="shared" si="30"/>
        <v>0</v>
      </c>
      <c r="T36">
        <f>COUNTIF('9a'!$K$22:$K$32, "Yes")+COUNTIF('9a'!$O$22:$O$32, "Yes")</f>
        <v>0</v>
      </c>
      <c r="U36" t="str">
        <f t="shared" si="31"/>
        <v>No Expenditures</v>
      </c>
      <c r="V36" t="str">
        <f t="shared" si="32"/>
        <v>No Expenditures</v>
      </c>
      <c r="W36">
        <f t="shared" si="33"/>
        <v>0</v>
      </c>
      <c r="X36" t="str">
        <f>'D-Risk'!$AO$25</f>
        <v>Insufficient Data</v>
      </c>
      <c r="Y36" t="str">
        <f>'D-Risk'!$AO$26</f>
        <v>Insufficient Data</v>
      </c>
      <c r="Z36" t="str">
        <f>'D-Risk'!$AO$27</f>
        <v>Uncalculated</v>
      </c>
      <c r="AA36">
        <v>89</v>
      </c>
      <c r="AB36" t="s">
        <v>574</v>
      </c>
      <c r="AC36" t="s">
        <v>609</v>
      </c>
      <c r="AD36">
        <f>Q4b_089_Participation</f>
        <v>0</v>
      </c>
      <c r="AE36">
        <f>'4b'!F99</f>
        <v>0</v>
      </c>
      <c r="AF36">
        <f>'4b'!G99</f>
        <v>0</v>
      </c>
      <c r="AG36">
        <f>'4b'!H99</f>
        <v>0</v>
      </c>
      <c r="AH36">
        <f>'4b'!I99</f>
        <v>0</v>
      </c>
      <c r="AI36">
        <f>'4b'!J99</f>
        <v>0</v>
      </c>
    </row>
    <row r="37" spans="1:35" x14ac:dyDescent="0.25">
      <c r="A37">
        <f t="shared" si="17"/>
        <v>0</v>
      </c>
      <c r="B37">
        <f t="shared" si="18"/>
        <v>0</v>
      </c>
      <c r="C37">
        <f t="shared" si="19"/>
        <v>0</v>
      </c>
      <c r="D37">
        <f t="shared" si="20"/>
        <v>0</v>
      </c>
      <c r="E37">
        <f t="shared" si="21"/>
        <v>0</v>
      </c>
      <c r="F37">
        <f>'D-RepLevel'!$F$2</f>
        <v>0</v>
      </c>
      <c r="G37">
        <f>'D-RepLevel'!$G$2</f>
        <v>0</v>
      </c>
      <c r="H37">
        <f t="shared" si="22"/>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23"/>
        <v>0</v>
      </c>
      <c r="M37">
        <f t="shared" si="24"/>
        <v>0</v>
      </c>
      <c r="N37">
        <f t="shared" si="25"/>
        <v>0</v>
      </c>
      <c r="O37">
        <f t="shared" si="26"/>
        <v>2015</v>
      </c>
      <c r="P37">
        <f t="shared" si="27"/>
        <v>0</v>
      </c>
      <c r="Q37">
        <f t="shared" si="28"/>
        <v>0</v>
      </c>
      <c r="R37">
        <f t="shared" si="29"/>
        <v>0</v>
      </c>
      <c r="S37">
        <f t="shared" si="30"/>
        <v>0</v>
      </c>
      <c r="T37">
        <f>COUNTIF('9a'!$K$22:$K$32, "Yes")+COUNTIF('9a'!$O$22:$O$32, "Yes")</f>
        <v>0</v>
      </c>
      <c r="U37" t="str">
        <f t="shared" si="31"/>
        <v>No Expenditures</v>
      </c>
      <c r="V37" t="str">
        <f t="shared" si="32"/>
        <v>No Expenditures</v>
      </c>
      <c r="W37">
        <f t="shared" si="33"/>
        <v>0</v>
      </c>
      <c r="X37" t="str">
        <f>'D-Risk'!$AO$25</f>
        <v>Insufficient Data</v>
      </c>
      <c r="Y37" t="str">
        <f>'D-Risk'!$AO$26</f>
        <v>Insufficient Data</v>
      </c>
      <c r="Z37" t="str">
        <f>'D-Risk'!$AO$27</f>
        <v>Uncalculated</v>
      </c>
      <c r="AA37">
        <v>90</v>
      </c>
      <c r="AB37" t="s">
        <v>574</v>
      </c>
      <c r="AC37" t="s">
        <v>610</v>
      </c>
      <c r="AD37">
        <f>Q4b_090_Participation</f>
        <v>0</v>
      </c>
      <c r="AE37">
        <f>'4b'!F100</f>
        <v>0</v>
      </c>
      <c r="AF37">
        <f>'4b'!G100</f>
        <v>0</v>
      </c>
      <c r="AG37">
        <f>'4b'!H100</f>
        <v>0</v>
      </c>
      <c r="AH37">
        <f>'4b'!I100</f>
        <v>0</v>
      </c>
      <c r="AI37">
        <f>'4b'!J100</f>
        <v>0</v>
      </c>
    </row>
    <row r="38" spans="1:35" x14ac:dyDescent="0.25">
      <c r="A38">
        <f t="shared" si="17"/>
        <v>0</v>
      </c>
      <c r="B38">
        <f t="shared" si="18"/>
        <v>0</v>
      </c>
      <c r="C38">
        <f t="shared" si="19"/>
        <v>0</v>
      </c>
      <c r="D38">
        <f t="shared" si="20"/>
        <v>0</v>
      </c>
      <c r="E38">
        <f t="shared" si="21"/>
        <v>0</v>
      </c>
      <c r="F38">
        <f>'D-RepLevel'!$F$2</f>
        <v>0</v>
      </c>
      <c r="G38">
        <f>'D-RepLevel'!$G$2</f>
        <v>0</v>
      </c>
      <c r="H38">
        <f t="shared" si="22"/>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23"/>
        <v>0</v>
      </c>
      <c r="M38">
        <f t="shared" si="24"/>
        <v>0</v>
      </c>
      <c r="N38">
        <f t="shared" si="25"/>
        <v>0</v>
      </c>
      <c r="O38">
        <f t="shared" si="26"/>
        <v>2015</v>
      </c>
      <c r="P38">
        <f t="shared" si="27"/>
        <v>0</v>
      </c>
      <c r="Q38">
        <f t="shared" si="28"/>
        <v>0</v>
      </c>
      <c r="R38">
        <f t="shared" si="29"/>
        <v>0</v>
      </c>
      <c r="S38">
        <f t="shared" si="30"/>
        <v>0</v>
      </c>
      <c r="T38">
        <f>COUNTIF('9a'!$K$22:$K$32, "Yes")+COUNTIF('9a'!$O$22:$O$32, "Yes")</f>
        <v>0</v>
      </c>
      <c r="U38" t="str">
        <f t="shared" si="31"/>
        <v>No Expenditures</v>
      </c>
      <c r="V38" t="str">
        <f t="shared" si="32"/>
        <v>No Expenditures</v>
      </c>
      <c r="W38">
        <f t="shared" si="33"/>
        <v>0</v>
      </c>
      <c r="X38" t="str">
        <f>'D-Risk'!$AO$25</f>
        <v>Insufficient Data</v>
      </c>
      <c r="Y38" t="str">
        <f>'D-Risk'!$AO$26</f>
        <v>Insufficient Data</v>
      </c>
      <c r="Z38" t="str">
        <f>'D-Risk'!$AO$27</f>
        <v>Uncalculated</v>
      </c>
      <c r="AA38">
        <v>91</v>
      </c>
      <c r="AB38" t="s">
        <v>2261</v>
      </c>
      <c r="AC38" t="s">
        <v>612</v>
      </c>
      <c r="AD38">
        <f>Q4b_091_Participation</f>
        <v>0</v>
      </c>
      <c r="AE38">
        <f>'4b'!F101</f>
        <v>0</v>
      </c>
      <c r="AF38">
        <f>'4b'!G101</f>
        <v>0</v>
      </c>
      <c r="AG38">
        <f>'4b'!H101</f>
        <v>0</v>
      </c>
      <c r="AH38">
        <f>'4b'!I101</f>
        <v>0</v>
      </c>
      <c r="AI38">
        <f>'4b'!J101</f>
        <v>0</v>
      </c>
    </row>
    <row r="39" spans="1:35" x14ac:dyDescent="0.25">
      <c r="A39">
        <f t="shared" si="17"/>
        <v>0</v>
      </c>
      <c r="B39">
        <f t="shared" si="18"/>
        <v>0</v>
      </c>
      <c r="C39">
        <f t="shared" si="19"/>
        <v>0</v>
      </c>
      <c r="D39">
        <f t="shared" si="20"/>
        <v>0</v>
      </c>
      <c r="E39">
        <f t="shared" si="21"/>
        <v>0</v>
      </c>
      <c r="F39">
        <f>'D-RepLevel'!$F$2</f>
        <v>0</v>
      </c>
      <c r="G39">
        <f>'D-RepLevel'!$G$2</f>
        <v>0</v>
      </c>
      <c r="H39">
        <f t="shared" si="22"/>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23"/>
        <v>0</v>
      </c>
      <c r="M39">
        <f t="shared" si="24"/>
        <v>0</v>
      </c>
      <c r="N39">
        <f t="shared" si="25"/>
        <v>0</v>
      </c>
      <c r="O39">
        <f t="shared" si="26"/>
        <v>2015</v>
      </c>
      <c r="P39">
        <f t="shared" si="27"/>
        <v>0</v>
      </c>
      <c r="Q39">
        <f t="shared" si="28"/>
        <v>0</v>
      </c>
      <c r="R39">
        <f t="shared" si="29"/>
        <v>0</v>
      </c>
      <c r="S39">
        <f t="shared" si="30"/>
        <v>0</v>
      </c>
      <c r="T39">
        <f>COUNTIF('9a'!$K$22:$K$32, "Yes")+COUNTIF('9a'!$O$22:$O$32, "Yes")</f>
        <v>0</v>
      </c>
      <c r="U39" t="str">
        <f t="shared" si="31"/>
        <v>No Expenditures</v>
      </c>
      <c r="V39" t="str">
        <f t="shared" si="32"/>
        <v>No Expenditures</v>
      </c>
      <c r="W39">
        <f t="shared" si="33"/>
        <v>0</v>
      </c>
      <c r="X39" t="str">
        <f>'D-Risk'!$AO$25</f>
        <v>Insufficient Data</v>
      </c>
      <c r="Y39" t="str">
        <f>'D-Risk'!$AO$26</f>
        <v>Insufficient Data</v>
      </c>
      <c r="Z39" t="str">
        <f>'D-Risk'!$AO$27</f>
        <v>Uncalculated</v>
      </c>
      <c r="AA39">
        <v>92</v>
      </c>
      <c r="AB39" t="s">
        <v>2261</v>
      </c>
      <c r="AC39" t="s">
        <v>613</v>
      </c>
      <c r="AD39">
        <f>Q4b_092_Participation</f>
        <v>0</v>
      </c>
      <c r="AE39">
        <f>'4b'!F102</f>
        <v>0</v>
      </c>
      <c r="AF39">
        <f>'4b'!G102</f>
        <v>0</v>
      </c>
      <c r="AG39">
        <f>'4b'!H102</f>
        <v>0</v>
      </c>
      <c r="AH39">
        <f>'4b'!I102</f>
        <v>0</v>
      </c>
      <c r="AI39">
        <f>'4b'!J102</f>
        <v>0</v>
      </c>
    </row>
    <row r="40" spans="1:35" x14ac:dyDescent="0.25">
      <c r="A40">
        <f t="shared" si="17"/>
        <v>0</v>
      </c>
      <c r="B40">
        <f t="shared" si="18"/>
        <v>0</v>
      </c>
      <c r="C40">
        <f t="shared" si="19"/>
        <v>0</v>
      </c>
      <c r="D40">
        <f t="shared" si="20"/>
        <v>0</v>
      </c>
      <c r="E40">
        <f t="shared" si="21"/>
        <v>0</v>
      </c>
      <c r="F40">
        <f>'D-RepLevel'!$F$2</f>
        <v>0</v>
      </c>
      <c r="G40">
        <f>'D-RepLevel'!$G$2</f>
        <v>0</v>
      </c>
      <c r="H40">
        <f t="shared" si="22"/>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23"/>
        <v>0</v>
      </c>
      <c r="M40">
        <f t="shared" si="24"/>
        <v>0</v>
      </c>
      <c r="N40">
        <f t="shared" si="25"/>
        <v>0</v>
      </c>
      <c r="O40">
        <f t="shared" si="26"/>
        <v>2015</v>
      </c>
      <c r="P40">
        <f t="shared" si="27"/>
        <v>0</v>
      </c>
      <c r="Q40">
        <f t="shared" si="28"/>
        <v>0</v>
      </c>
      <c r="R40">
        <f t="shared" si="29"/>
        <v>0</v>
      </c>
      <c r="S40">
        <f t="shared" si="30"/>
        <v>0</v>
      </c>
      <c r="T40">
        <f>COUNTIF('9a'!$K$22:$K$32, "Yes")+COUNTIF('9a'!$O$22:$O$32, "Yes")</f>
        <v>0</v>
      </c>
      <c r="U40" t="str">
        <f t="shared" si="31"/>
        <v>No Expenditures</v>
      </c>
      <c r="V40" t="str">
        <f t="shared" si="32"/>
        <v>No Expenditures</v>
      </c>
      <c r="W40">
        <f t="shared" si="33"/>
        <v>0</v>
      </c>
      <c r="X40" t="str">
        <f>'D-Risk'!$AO$25</f>
        <v>Insufficient Data</v>
      </c>
      <c r="Y40" t="str">
        <f>'D-Risk'!$AO$26</f>
        <v>Insufficient Data</v>
      </c>
      <c r="Z40" t="str">
        <f>'D-Risk'!$AO$27</f>
        <v>Uncalculated</v>
      </c>
      <c r="AA40">
        <v>93</v>
      </c>
      <c r="AB40" t="s">
        <v>2261</v>
      </c>
      <c r="AC40" t="s">
        <v>614</v>
      </c>
      <c r="AD40">
        <f>Q4b_093_Participation</f>
        <v>0</v>
      </c>
      <c r="AE40">
        <f>'4b'!F103</f>
        <v>0</v>
      </c>
      <c r="AF40">
        <f>'4b'!G103</f>
        <v>0</v>
      </c>
      <c r="AG40">
        <f>'4b'!H103</f>
        <v>0</v>
      </c>
      <c r="AH40">
        <f>'4b'!I103</f>
        <v>0</v>
      </c>
      <c r="AI40">
        <f>'4b'!J103</f>
        <v>0</v>
      </c>
    </row>
    <row r="41" spans="1:35" x14ac:dyDescent="0.25">
      <c r="A41">
        <f t="shared" si="17"/>
        <v>0</v>
      </c>
      <c r="B41">
        <f t="shared" si="18"/>
        <v>0</v>
      </c>
      <c r="C41">
        <f t="shared" si="19"/>
        <v>0</v>
      </c>
      <c r="D41">
        <f t="shared" si="20"/>
        <v>0</v>
      </c>
      <c r="E41">
        <f t="shared" si="21"/>
        <v>0</v>
      </c>
      <c r="F41">
        <f>'D-RepLevel'!$F$2</f>
        <v>0</v>
      </c>
      <c r="G41">
        <f>'D-RepLevel'!$G$2</f>
        <v>0</v>
      </c>
      <c r="H41">
        <f t="shared" si="22"/>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23"/>
        <v>0</v>
      </c>
      <c r="M41">
        <f t="shared" si="24"/>
        <v>0</v>
      </c>
      <c r="N41">
        <f t="shared" si="25"/>
        <v>0</v>
      </c>
      <c r="O41">
        <f t="shared" si="26"/>
        <v>2015</v>
      </c>
      <c r="P41">
        <f t="shared" si="27"/>
        <v>0</v>
      </c>
      <c r="Q41">
        <f t="shared" si="28"/>
        <v>0</v>
      </c>
      <c r="R41">
        <f t="shared" si="29"/>
        <v>0</v>
      </c>
      <c r="S41">
        <f t="shared" si="30"/>
        <v>0</v>
      </c>
      <c r="T41">
        <f>COUNTIF('9a'!$K$22:$K$32, "Yes")+COUNTIF('9a'!$O$22:$O$32, "Yes")</f>
        <v>0</v>
      </c>
      <c r="U41" t="str">
        <f t="shared" si="31"/>
        <v>No Expenditures</v>
      </c>
      <c r="V41" t="str">
        <f t="shared" si="32"/>
        <v>No Expenditures</v>
      </c>
      <c r="W41">
        <f t="shared" si="33"/>
        <v>0</v>
      </c>
      <c r="X41" t="str">
        <f>'D-Risk'!$AO$25</f>
        <v>Insufficient Data</v>
      </c>
      <c r="Y41" t="str">
        <f>'D-Risk'!$AO$26</f>
        <v>Insufficient Data</v>
      </c>
      <c r="Z41" t="str">
        <f>'D-Risk'!$AO$27</f>
        <v>Uncalculated</v>
      </c>
      <c r="AA41">
        <v>94</v>
      </c>
      <c r="AB41" t="s">
        <v>2261</v>
      </c>
      <c r="AC41" t="s">
        <v>615</v>
      </c>
      <c r="AD41">
        <f>Q4b_094_Participation</f>
        <v>0</v>
      </c>
      <c r="AE41">
        <f>'4b'!F104</f>
        <v>0</v>
      </c>
      <c r="AF41">
        <f>'4b'!G104</f>
        <v>0</v>
      </c>
      <c r="AG41">
        <f>'4b'!H104</f>
        <v>0</v>
      </c>
      <c r="AH41">
        <f>'4b'!I104</f>
        <v>0</v>
      </c>
      <c r="AI41">
        <f>'4b'!J104</f>
        <v>0</v>
      </c>
    </row>
    <row r="42" spans="1:35" x14ac:dyDescent="0.25">
      <c r="A42">
        <f t="shared" si="17"/>
        <v>0</v>
      </c>
      <c r="B42">
        <f t="shared" si="18"/>
        <v>0</v>
      </c>
      <c r="C42">
        <f t="shared" si="19"/>
        <v>0</v>
      </c>
      <c r="D42">
        <f t="shared" si="20"/>
        <v>0</v>
      </c>
      <c r="E42">
        <f t="shared" si="21"/>
        <v>0</v>
      </c>
      <c r="F42">
        <f>'D-RepLevel'!$F$2</f>
        <v>0</v>
      </c>
      <c r="G42">
        <f>'D-RepLevel'!$G$2</f>
        <v>0</v>
      </c>
      <c r="H42">
        <f t="shared" si="22"/>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23"/>
        <v>0</v>
      </c>
      <c r="M42">
        <f t="shared" si="24"/>
        <v>0</v>
      </c>
      <c r="N42">
        <f t="shared" si="25"/>
        <v>0</v>
      </c>
      <c r="O42">
        <f t="shared" si="26"/>
        <v>2015</v>
      </c>
      <c r="P42">
        <f t="shared" si="27"/>
        <v>0</v>
      </c>
      <c r="Q42">
        <f t="shared" si="28"/>
        <v>0</v>
      </c>
      <c r="R42">
        <f t="shared" si="29"/>
        <v>0</v>
      </c>
      <c r="S42">
        <f t="shared" si="30"/>
        <v>0</v>
      </c>
      <c r="T42">
        <f>COUNTIF('9a'!$K$22:$K$32, "Yes")+COUNTIF('9a'!$O$22:$O$32, "Yes")</f>
        <v>0</v>
      </c>
      <c r="U42" t="str">
        <f t="shared" si="31"/>
        <v>No Expenditures</v>
      </c>
      <c r="V42" t="str">
        <f t="shared" si="32"/>
        <v>No Expenditures</v>
      </c>
      <c r="W42">
        <f t="shared" si="33"/>
        <v>0</v>
      </c>
      <c r="X42" t="str">
        <f>'D-Risk'!$AO$25</f>
        <v>Insufficient Data</v>
      </c>
      <c r="Y42" t="str">
        <f>'D-Risk'!$AO$26</f>
        <v>Insufficient Data</v>
      </c>
      <c r="Z42" t="str">
        <f>'D-Risk'!$AO$27</f>
        <v>Uncalculated</v>
      </c>
      <c r="AA42">
        <v>95</v>
      </c>
      <c r="AB42" t="s">
        <v>2261</v>
      </c>
      <c r="AC42" t="s">
        <v>616</v>
      </c>
      <c r="AD42">
        <f>Q4b_095_Participation</f>
        <v>0</v>
      </c>
      <c r="AE42">
        <f>'4b'!F105</f>
        <v>0</v>
      </c>
      <c r="AF42">
        <f>'4b'!G105</f>
        <v>0</v>
      </c>
      <c r="AG42">
        <f>'4b'!H105</f>
        <v>0</v>
      </c>
      <c r="AH42">
        <f>'4b'!I105</f>
        <v>0</v>
      </c>
      <c r="AI42">
        <f>'4b'!J105</f>
        <v>0</v>
      </c>
    </row>
    <row r="43" spans="1:35" x14ac:dyDescent="0.25">
      <c r="A43">
        <f t="shared" si="17"/>
        <v>0</v>
      </c>
      <c r="B43">
        <f t="shared" si="18"/>
        <v>0</v>
      </c>
      <c r="C43">
        <f t="shared" si="19"/>
        <v>0</v>
      </c>
      <c r="D43">
        <f t="shared" si="20"/>
        <v>0</v>
      </c>
      <c r="E43">
        <f t="shared" si="21"/>
        <v>0</v>
      </c>
      <c r="F43">
        <f>'D-RepLevel'!$F$2</f>
        <v>0</v>
      </c>
      <c r="G43">
        <f>'D-RepLevel'!$G$2</f>
        <v>0</v>
      </c>
      <c r="H43">
        <f t="shared" si="22"/>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23"/>
        <v>0</v>
      </c>
      <c r="M43">
        <f t="shared" si="24"/>
        <v>0</v>
      </c>
      <c r="N43">
        <f t="shared" si="25"/>
        <v>0</v>
      </c>
      <c r="O43">
        <f t="shared" si="26"/>
        <v>2015</v>
      </c>
      <c r="P43">
        <f t="shared" si="27"/>
        <v>0</v>
      </c>
      <c r="Q43">
        <f t="shared" si="28"/>
        <v>0</v>
      </c>
      <c r="R43">
        <f t="shared" si="29"/>
        <v>0</v>
      </c>
      <c r="S43">
        <f t="shared" si="30"/>
        <v>0</v>
      </c>
      <c r="T43">
        <f>COUNTIF('9a'!$K$22:$K$32, "Yes")+COUNTIF('9a'!$O$22:$O$32, "Yes")</f>
        <v>0</v>
      </c>
      <c r="U43" t="str">
        <f t="shared" si="31"/>
        <v>No Expenditures</v>
      </c>
      <c r="V43" t="str">
        <f t="shared" si="32"/>
        <v>No Expenditures</v>
      </c>
      <c r="W43">
        <f t="shared" si="33"/>
        <v>0</v>
      </c>
      <c r="X43" t="str">
        <f>'D-Risk'!$AO$25</f>
        <v>Insufficient Data</v>
      </c>
      <c r="Y43" t="str">
        <f>'D-Risk'!$AO$26</f>
        <v>Insufficient Data</v>
      </c>
      <c r="Z43" t="str">
        <f>'D-Risk'!$AO$27</f>
        <v>Uncalculated</v>
      </c>
      <c r="AA43">
        <v>96</v>
      </c>
      <c r="AB43" t="s">
        <v>2261</v>
      </c>
      <c r="AC43" t="s">
        <v>617</v>
      </c>
      <c r="AD43">
        <f>Q4b_096_Participation</f>
        <v>0</v>
      </c>
      <c r="AE43">
        <f>'4b'!F106</f>
        <v>0</v>
      </c>
      <c r="AF43">
        <f>'4b'!G106</f>
        <v>0</v>
      </c>
      <c r="AG43">
        <f>'4b'!H106</f>
        <v>0</v>
      </c>
      <c r="AH43">
        <f>'4b'!I106</f>
        <v>0</v>
      </c>
      <c r="AI43">
        <f>'4b'!J106</f>
        <v>0</v>
      </c>
    </row>
    <row r="44" spans="1:35" x14ac:dyDescent="0.25">
      <c r="A44">
        <f t="shared" si="17"/>
        <v>0</v>
      </c>
      <c r="B44">
        <f t="shared" si="18"/>
        <v>0</v>
      </c>
      <c r="C44">
        <f t="shared" si="19"/>
        <v>0</v>
      </c>
      <c r="D44">
        <f t="shared" si="20"/>
        <v>0</v>
      </c>
      <c r="E44">
        <f t="shared" si="21"/>
        <v>0</v>
      </c>
      <c r="F44">
        <f>'D-RepLevel'!$F$2</f>
        <v>0</v>
      </c>
      <c r="G44">
        <f>'D-RepLevel'!$G$2</f>
        <v>0</v>
      </c>
      <c r="H44">
        <f t="shared" si="22"/>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23"/>
        <v>0</v>
      </c>
      <c r="M44">
        <f t="shared" si="24"/>
        <v>0</v>
      </c>
      <c r="N44">
        <f t="shared" si="25"/>
        <v>0</v>
      </c>
      <c r="O44">
        <f t="shared" si="26"/>
        <v>2015</v>
      </c>
      <c r="P44">
        <f t="shared" si="27"/>
        <v>0</v>
      </c>
      <c r="Q44">
        <f t="shared" si="28"/>
        <v>0</v>
      </c>
      <c r="R44">
        <f t="shared" si="29"/>
        <v>0</v>
      </c>
      <c r="S44">
        <f t="shared" si="30"/>
        <v>0</v>
      </c>
      <c r="T44">
        <f>COUNTIF('9a'!$K$22:$K$32, "Yes")+COUNTIF('9a'!$O$22:$O$32, "Yes")</f>
        <v>0</v>
      </c>
      <c r="U44" t="str">
        <f t="shared" si="31"/>
        <v>No Expenditures</v>
      </c>
      <c r="V44" t="str">
        <f t="shared" si="32"/>
        <v>No Expenditures</v>
      </c>
      <c r="W44">
        <f t="shared" si="33"/>
        <v>0</v>
      </c>
      <c r="X44" t="str">
        <f>'D-Risk'!$AO$25</f>
        <v>Insufficient Data</v>
      </c>
      <c r="Y44" t="str">
        <f>'D-Risk'!$AO$26</f>
        <v>Insufficient Data</v>
      </c>
      <c r="Z44" t="str">
        <f>'D-Risk'!$AO$27</f>
        <v>Uncalculated</v>
      </c>
      <c r="AA44">
        <v>97</v>
      </c>
      <c r="AB44" t="s">
        <v>2261</v>
      </c>
      <c r="AC44" t="s">
        <v>618</v>
      </c>
      <c r="AD44">
        <f>Q4b_097_Participation</f>
        <v>0</v>
      </c>
      <c r="AE44">
        <f>'4b'!F107</f>
        <v>0</v>
      </c>
      <c r="AF44">
        <f>'4b'!G107</f>
        <v>0</v>
      </c>
      <c r="AG44">
        <f>'4b'!H107</f>
        <v>0</v>
      </c>
      <c r="AH44">
        <f>'4b'!I107</f>
        <v>0</v>
      </c>
      <c r="AI44">
        <f>'4b'!J107</f>
        <v>0</v>
      </c>
    </row>
    <row r="45" spans="1:35" x14ac:dyDescent="0.25">
      <c r="A45">
        <f t="shared" si="17"/>
        <v>0</v>
      </c>
      <c r="B45">
        <f t="shared" si="18"/>
        <v>0</v>
      </c>
      <c r="C45">
        <f t="shared" si="19"/>
        <v>0</v>
      </c>
      <c r="D45">
        <f t="shared" si="20"/>
        <v>0</v>
      </c>
      <c r="E45">
        <f t="shared" si="21"/>
        <v>0</v>
      </c>
      <c r="F45">
        <f>'D-RepLevel'!$F$2</f>
        <v>0</v>
      </c>
      <c r="G45">
        <f>'D-RepLevel'!$G$2</f>
        <v>0</v>
      </c>
      <c r="H45">
        <f t="shared" si="22"/>
        <v>0</v>
      </c>
      <c r="I45" t="str">
        <f>IF(ISERROR(INDEX('1b'!$C$5:$C$21, MATCH("Primary Business Line", '1b'!$H$5:$H$21, FALSE), 1)), "None Selected", INDEX('1b'!$C$5:$C$21, MATCH("Primary Business Line", '1b'!$H$5:$H$21, FALSE), 1))</f>
        <v>None Selected</v>
      </c>
      <c r="J45">
        <f>'D-3'!$J$2</f>
        <v>0</v>
      </c>
      <c r="K45">
        <f>COUNTIF('4a'!$E$6:$E$29, "Direct")+COUNTIF('4a'!$E$6:$E$29, "Indirect")+COUNTIF('4a'!$E$6:$E$29, "Both")</f>
        <v>0</v>
      </c>
      <c r="L45">
        <f t="shared" si="23"/>
        <v>0</v>
      </c>
      <c r="M45">
        <f t="shared" si="24"/>
        <v>0</v>
      </c>
      <c r="N45">
        <f t="shared" si="25"/>
        <v>0</v>
      </c>
      <c r="O45">
        <f t="shared" si="26"/>
        <v>2015</v>
      </c>
      <c r="P45">
        <f t="shared" si="27"/>
        <v>0</v>
      </c>
      <c r="Q45">
        <f t="shared" si="28"/>
        <v>0</v>
      </c>
      <c r="R45">
        <f t="shared" si="29"/>
        <v>0</v>
      </c>
      <c r="S45">
        <f t="shared" si="30"/>
        <v>0</v>
      </c>
      <c r="T45">
        <f>COUNTIF('9a'!$K$22:$K$32, "Yes")+COUNTIF('9a'!$O$22:$O$32, "Yes")</f>
        <v>0</v>
      </c>
      <c r="U45" t="str">
        <f t="shared" si="31"/>
        <v>No Expenditures</v>
      </c>
      <c r="V45" t="str">
        <f t="shared" si="32"/>
        <v>No Expenditures</v>
      </c>
      <c r="W45">
        <f t="shared" si="33"/>
        <v>0</v>
      </c>
      <c r="X45" t="str">
        <f>'D-Risk'!$AO$25</f>
        <v>Insufficient Data</v>
      </c>
      <c r="Y45" t="str">
        <f>'D-Risk'!$AO$26</f>
        <v>Insufficient Data</v>
      </c>
      <c r="Z45" t="str">
        <f>'D-Risk'!$AO$27</f>
        <v>Uncalculated</v>
      </c>
      <c r="AA45">
        <v>98</v>
      </c>
      <c r="AB45" t="s">
        <v>2261</v>
      </c>
      <c r="AC45" t="s">
        <v>619</v>
      </c>
      <c r="AD45">
        <f>Q4b_098_Participation</f>
        <v>0</v>
      </c>
      <c r="AE45">
        <f>'4b'!F108</f>
        <v>0</v>
      </c>
      <c r="AF45">
        <f>'4b'!G108</f>
        <v>0</v>
      </c>
      <c r="AG45">
        <f>'4b'!H108</f>
        <v>0</v>
      </c>
      <c r="AH45">
        <f>'4b'!I108</f>
        <v>0</v>
      </c>
      <c r="AI45">
        <f>'4b'!J108</f>
        <v>0</v>
      </c>
    </row>
    <row r="46" spans="1:35" x14ac:dyDescent="0.25">
      <c r="A46">
        <f t="shared" si="17"/>
        <v>0</v>
      </c>
      <c r="B46">
        <f t="shared" si="18"/>
        <v>0</v>
      </c>
      <c r="C46">
        <f t="shared" si="19"/>
        <v>0</v>
      </c>
      <c r="D46">
        <f t="shared" si="20"/>
        <v>0</v>
      </c>
      <c r="E46">
        <f t="shared" si="21"/>
        <v>0</v>
      </c>
      <c r="F46">
        <f>'D-RepLevel'!$F$2</f>
        <v>0</v>
      </c>
      <c r="G46">
        <f>'D-RepLevel'!$G$2</f>
        <v>0</v>
      </c>
      <c r="H46">
        <f t="shared" si="22"/>
        <v>0</v>
      </c>
      <c r="I46" t="str">
        <f>IF(ISERROR(INDEX('1b'!$C$5:$C$21, MATCH("Primary Business Line", '1b'!$H$5:$H$21, FALSE), 1)), "None Selected", INDEX('1b'!$C$5:$C$21, MATCH("Primary Business Line", '1b'!$H$5:$H$21, FALSE), 1))</f>
        <v>None Selected</v>
      </c>
      <c r="J46">
        <f>'D-3'!$J$2</f>
        <v>0</v>
      </c>
      <c r="K46">
        <f>COUNTIF('4a'!$E$6:$E$29, "Direct")+COUNTIF('4a'!$E$6:$E$29, "Indirect")+COUNTIF('4a'!$E$6:$E$29, "Both")</f>
        <v>0</v>
      </c>
      <c r="L46">
        <f t="shared" si="23"/>
        <v>0</v>
      </c>
      <c r="M46">
        <f t="shared" si="24"/>
        <v>0</v>
      </c>
      <c r="N46">
        <f t="shared" si="25"/>
        <v>0</v>
      </c>
      <c r="O46">
        <f t="shared" si="26"/>
        <v>2015</v>
      </c>
      <c r="P46">
        <f t="shared" si="27"/>
        <v>0</v>
      </c>
      <c r="Q46">
        <f t="shared" si="28"/>
        <v>0</v>
      </c>
      <c r="R46">
        <f t="shared" si="29"/>
        <v>0</v>
      </c>
      <c r="S46">
        <f t="shared" si="30"/>
        <v>0</v>
      </c>
      <c r="T46">
        <f>COUNTIF('9a'!$K$22:$K$32, "Yes")+COUNTIF('9a'!$O$22:$O$32, "Yes")</f>
        <v>0</v>
      </c>
      <c r="U46" t="str">
        <f t="shared" si="31"/>
        <v>No Expenditures</v>
      </c>
      <c r="V46" t="str">
        <f t="shared" si="32"/>
        <v>No Expenditures</v>
      </c>
      <c r="W46">
        <f t="shared" si="33"/>
        <v>0</v>
      </c>
      <c r="X46" t="str">
        <f>'D-Risk'!$AO$25</f>
        <v>Insufficient Data</v>
      </c>
      <c r="Y46" t="str">
        <f>'D-Risk'!$AO$26</f>
        <v>Insufficient Data</v>
      </c>
      <c r="Z46" t="str">
        <f>'D-Risk'!$AO$27</f>
        <v>Uncalculated</v>
      </c>
      <c r="AA46">
        <v>99</v>
      </c>
      <c r="AB46" t="s">
        <v>2261</v>
      </c>
      <c r="AC46" t="s">
        <v>620</v>
      </c>
      <c r="AD46">
        <f>Q4b_099_Participation</f>
        <v>0</v>
      </c>
      <c r="AE46">
        <f>'4b'!F109</f>
        <v>0</v>
      </c>
      <c r="AF46">
        <f>'4b'!G109</f>
        <v>0</v>
      </c>
      <c r="AG46">
        <f>'4b'!H109</f>
        <v>0</v>
      </c>
      <c r="AH46">
        <f>'4b'!I109</f>
        <v>0</v>
      </c>
      <c r="AI46">
        <f>'4b'!J109</f>
        <v>0</v>
      </c>
    </row>
    <row r="47" spans="1:35" x14ac:dyDescent="0.25">
      <c r="A47">
        <f t="shared" si="17"/>
        <v>0</v>
      </c>
      <c r="B47">
        <f t="shared" si="18"/>
        <v>0</v>
      </c>
      <c r="C47">
        <f t="shared" si="19"/>
        <v>0</v>
      </c>
      <c r="D47">
        <f t="shared" si="20"/>
        <v>0</v>
      </c>
      <c r="E47">
        <f t="shared" si="21"/>
        <v>0</v>
      </c>
      <c r="F47">
        <f>'D-RepLevel'!$F$2</f>
        <v>0</v>
      </c>
      <c r="G47">
        <f>'D-RepLevel'!$G$2</f>
        <v>0</v>
      </c>
      <c r="H47">
        <f t="shared" si="22"/>
        <v>0</v>
      </c>
      <c r="I47" t="str">
        <f>IF(ISERROR(INDEX('1b'!$C$5:$C$21, MATCH("Primary Business Line", '1b'!$H$5:$H$21, FALSE), 1)), "None Selected", INDEX('1b'!$C$5:$C$21, MATCH("Primary Business Line", '1b'!$H$5:$H$21, FALSE), 1))</f>
        <v>None Selected</v>
      </c>
      <c r="J47">
        <f>'D-3'!$J$2</f>
        <v>0</v>
      </c>
      <c r="K47">
        <f>COUNTIF('4a'!$E$6:$E$29, "Direct")+COUNTIF('4a'!$E$6:$E$29, "Indirect")+COUNTIF('4a'!$E$6:$E$29, "Both")</f>
        <v>0</v>
      </c>
      <c r="L47">
        <f t="shared" si="23"/>
        <v>0</v>
      </c>
      <c r="M47">
        <f t="shared" si="24"/>
        <v>0</v>
      </c>
      <c r="N47">
        <f t="shared" si="25"/>
        <v>0</v>
      </c>
      <c r="O47">
        <f t="shared" si="26"/>
        <v>2015</v>
      </c>
      <c r="P47">
        <f t="shared" si="27"/>
        <v>0</v>
      </c>
      <c r="Q47">
        <f t="shared" si="28"/>
        <v>0</v>
      </c>
      <c r="R47">
        <f t="shared" si="29"/>
        <v>0</v>
      </c>
      <c r="S47">
        <f t="shared" si="30"/>
        <v>0</v>
      </c>
      <c r="T47">
        <f>COUNTIF('9a'!$K$22:$K$32, "Yes")+COUNTIF('9a'!$O$22:$O$32, "Yes")</f>
        <v>0</v>
      </c>
      <c r="U47" t="str">
        <f t="shared" si="31"/>
        <v>No Expenditures</v>
      </c>
      <c r="V47" t="str">
        <f t="shared" si="32"/>
        <v>No Expenditures</v>
      </c>
      <c r="W47">
        <f t="shared" si="33"/>
        <v>0</v>
      </c>
      <c r="X47" t="str">
        <f>'D-Risk'!$AO$25</f>
        <v>Insufficient Data</v>
      </c>
      <c r="Y47" t="str">
        <f>'D-Risk'!$AO$26</f>
        <v>Insufficient Data</v>
      </c>
      <c r="Z47" t="str">
        <f>'D-Risk'!$AO$27</f>
        <v>Uncalculated</v>
      </c>
      <c r="AA47">
        <v>100</v>
      </c>
      <c r="AB47" t="s">
        <v>2261</v>
      </c>
      <c r="AC47" t="s">
        <v>621</v>
      </c>
      <c r="AD47">
        <f>Q4b_100_Participation</f>
        <v>0</v>
      </c>
      <c r="AE47">
        <f>'4b'!F110</f>
        <v>0</v>
      </c>
      <c r="AF47">
        <f>'4b'!G110</f>
        <v>0</v>
      </c>
      <c r="AG47">
        <f>'4b'!H110</f>
        <v>0</v>
      </c>
      <c r="AH47">
        <f>'4b'!I110</f>
        <v>0</v>
      </c>
      <c r="AI47">
        <f>'4b'!J110</f>
        <v>0</v>
      </c>
    </row>
    <row r="48" spans="1:35" x14ac:dyDescent="0.25">
      <c r="A48">
        <f t="shared" si="17"/>
        <v>0</v>
      </c>
      <c r="B48">
        <f t="shared" si="18"/>
        <v>0</v>
      </c>
      <c r="C48">
        <f t="shared" si="19"/>
        <v>0</v>
      </c>
      <c r="D48">
        <f t="shared" si="20"/>
        <v>0</v>
      </c>
      <c r="E48">
        <f t="shared" si="21"/>
        <v>0</v>
      </c>
      <c r="F48">
        <f>'D-RepLevel'!$F$2</f>
        <v>0</v>
      </c>
      <c r="G48">
        <f>'D-RepLevel'!$G$2</f>
        <v>0</v>
      </c>
      <c r="H48">
        <f t="shared" si="22"/>
        <v>0</v>
      </c>
      <c r="I48" t="str">
        <f>IF(ISERROR(INDEX('1b'!$C$5:$C$21, MATCH("Primary Business Line", '1b'!$H$5:$H$21, FALSE), 1)), "None Selected", INDEX('1b'!$C$5:$C$21, MATCH("Primary Business Line", '1b'!$H$5:$H$21, FALSE), 1))</f>
        <v>None Selected</v>
      </c>
      <c r="J48">
        <f>'D-3'!$J$2</f>
        <v>0</v>
      </c>
      <c r="K48">
        <f>COUNTIF('4a'!$E$6:$E$29, "Direct")+COUNTIF('4a'!$E$6:$E$29, "Indirect")+COUNTIF('4a'!$E$6:$E$29, "Both")</f>
        <v>0</v>
      </c>
      <c r="L48">
        <f t="shared" si="23"/>
        <v>0</v>
      </c>
      <c r="M48">
        <f t="shared" si="24"/>
        <v>0</v>
      </c>
      <c r="N48">
        <f t="shared" si="25"/>
        <v>0</v>
      </c>
      <c r="O48">
        <f t="shared" si="26"/>
        <v>2015</v>
      </c>
      <c r="P48">
        <f t="shared" si="27"/>
        <v>0</v>
      </c>
      <c r="Q48">
        <f t="shared" si="28"/>
        <v>0</v>
      </c>
      <c r="R48">
        <f t="shared" si="29"/>
        <v>0</v>
      </c>
      <c r="S48">
        <f t="shared" si="30"/>
        <v>0</v>
      </c>
      <c r="T48">
        <f>COUNTIF('9a'!$K$22:$K$32, "Yes")+COUNTIF('9a'!$O$22:$O$32, "Yes")</f>
        <v>0</v>
      </c>
      <c r="U48" t="str">
        <f t="shared" si="31"/>
        <v>No Expenditures</v>
      </c>
      <c r="V48" t="str">
        <f t="shared" si="32"/>
        <v>No Expenditures</v>
      </c>
      <c r="W48">
        <f t="shared" si="33"/>
        <v>0</v>
      </c>
      <c r="X48" t="str">
        <f>'D-Risk'!$AO$25</f>
        <v>Insufficient Data</v>
      </c>
      <c r="Y48" t="str">
        <f>'D-Risk'!$AO$26</f>
        <v>Insufficient Data</v>
      </c>
      <c r="Z48" t="str">
        <f>'D-Risk'!$AO$27</f>
        <v>Uncalculated</v>
      </c>
      <c r="AA48">
        <v>101</v>
      </c>
      <c r="AB48" t="s">
        <v>2261</v>
      </c>
      <c r="AC48" t="s">
        <v>622</v>
      </c>
      <c r="AD48">
        <f>Q4b_101_Participation</f>
        <v>0</v>
      </c>
      <c r="AE48">
        <f>'4b'!F111</f>
        <v>0</v>
      </c>
      <c r="AF48">
        <f>'4b'!G111</f>
        <v>0</v>
      </c>
      <c r="AG48">
        <f>'4b'!H111</f>
        <v>0</v>
      </c>
      <c r="AH48">
        <f>'4b'!I111</f>
        <v>0</v>
      </c>
      <c r="AI48">
        <f>'4b'!J111</f>
        <v>0</v>
      </c>
    </row>
    <row r="49" spans="1:35" x14ac:dyDescent="0.25">
      <c r="A49">
        <f t="shared" si="17"/>
        <v>0</v>
      </c>
      <c r="B49">
        <f t="shared" si="18"/>
        <v>0</v>
      </c>
      <c r="C49">
        <f t="shared" si="19"/>
        <v>0</v>
      </c>
      <c r="D49">
        <f t="shared" si="20"/>
        <v>0</v>
      </c>
      <c r="E49">
        <f t="shared" si="21"/>
        <v>0</v>
      </c>
      <c r="F49">
        <f>'D-RepLevel'!$F$2</f>
        <v>0</v>
      </c>
      <c r="G49">
        <f>'D-RepLevel'!$G$2</f>
        <v>0</v>
      </c>
      <c r="H49">
        <f t="shared" si="22"/>
        <v>0</v>
      </c>
      <c r="I49" t="str">
        <f>IF(ISERROR(INDEX('1b'!$C$5:$C$21, MATCH("Primary Business Line", '1b'!$H$5:$H$21, FALSE), 1)), "None Selected", INDEX('1b'!$C$5:$C$21, MATCH("Primary Business Line", '1b'!$H$5:$H$21, FALSE), 1))</f>
        <v>None Selected</v>
      </c>
      <c r="J49">
        <f>'D-3'!$J$2</f>
        <v>0</v>
      </c>
      <c r="K49">
        <f>COUNTIF('4a'!$E$6:$E$29, "Direct")+COUNTIF('4a'!$E$6:$E$29, "Indirect")+COUNTIF('4a'!$E$6:$E$29, "Both")</f>
        <v>0</v>
      </c>
      <c r="L49">
        <f t="shared" si="23"/>
        <v>0</v>
      </c>
      <c r="M49">
        <f t="shared" si="24"/>
        <v>0</v>
      </c>
      <c r="N49">
        <f t="shared" si="25"/>
        <v>0</v>
      </c>
      <c r="O49">
        <f t="shared" si="26"/>
        <v>2015</v>
      </c>
      <c r="P49">
        <f t="shared" si="27"/>
        <v>0</v>
      </c>
      <c r="Q49">
        <f t="shared" si="28"/>
        <v>0</v>
      </c>
      <c r="R49">
        <f t="shared" si="29"/>
        <v>0</v>
      </c>
      <c r="S49">
        <f t="shared" si="30"/>
        <v>0</v>
      </c>
      <c r="T49">
        <f>COUNTIF('9a'!$K$22:$K$32, "Yes")+COUNTIF('9a'!$O$22:$O$32, "Yes")</f>
        <v>0</v>
      </c>
      <c r="U49" t="str">
        <f t="shared" si="31"/>
        <v>No Expenditures</v>
      </c>
      <c r="V49" t="str">
        <f t="shared" si="32"/>
        <v>No Expenditures</v>
      </c>
      <c r="W49">
        <f t="shared" si="33"/>
        <v>0</v>
      </c>
      <c r="X49" t="str">
        <f>'D-Risk'!$AO$25</f>
        <v>Insufficient Data</v>
      </c>
      <c r="Y49" t="str">
        <f>'D-Risk'!$AO$26</f>
        <v>Insufficient Data</v>
      </c>
      <c r="Z49" t="str">
        <f>'D-Risk'!$AO$27</f>
        <v>Uncalculated</v>
      </c>
      <c r="AA49">
        <v>102</v>
      </c>
      <c r="AB49" t="s">
        <v>2261</v>
      </c>
      <c r="AC49" t="s">
        <v>623</v>
      </c>
      <c r="AD49">
        <f>Q4b_102_Participation</f>
        <v>0</v>
      </c>
      <c r="AE49">
        <f>'4b'!F112</f>
        <v>0</v>
      </c>
      <c r="AF49">
        <f>'4b'!G112</f>
        <v>0</v>
      </c>
      <c r="AG49">
        <f>'4b'!H112</f>
        <v>0</v>
      </c>
      <c r="AH49">
        <f>'4b'!I112</f>
        <v>0</v>
      </c>
      <c r="AI49">
        <f>'4b'!J112</f>
        <v>0</v>
      </c>
    </row>
    <row r="50" spans="1:35" x14ac:dyDescent="0.25">
      <c r="A50">
        <f t="shared" si="17"/>
        <v>0</v>
      </c>
      <c r="B50">
        <f t="shared" si="18"/>
        <v>0</v>
      </c>
      <c r="C50">
        <f t="shared" si="19"/>
        <v>0</v>
      </c>
      <c r="D50">
        <f t="shared" si="20"/>
        <v>0</v>
      </c>
      <c r="E50">
        <f t="shared" si="21"/>
        <v>0</v>
      </c>
      <c r="F50">
        <f>'D-RepLevel'!$F$2</f>
        <v>0</v>
      </c>
      <c r="G50">
        <f>'D-RepLevel'!$G$2</f>
        <v>0</v>
      </c>
      <c r="H50">
        <f t="shared" si="22"/>
        <v>0</v>
      </c>
      <c r="I50" t="str">
        <f>IF(ISERROR(INDEX('1b'!$C$5:$C$21, MATCH("Primary Business Line", '1b'!$H$5:$H$21, FALSE), 1)), "None Selected", INDEX('1b'!$C$5:$C$21, MATCH("Primary Business Line", '1b'!$H$5:$H$21, FALSE), 1))</f>
        <v>None Selected</v>
      </c>
      <c r="J50">
        <f>'D-3'!$J$2</f>
        <v>0</v>
      </c>
      <c r="K50">
        <f>COUNTIF('4a'!$E$6:$E$29, "Direct")+COUNTIF('4a'!$E$6:$E$29, "Indirect")+COUNTIF('4a'!$E$6:$E$29, "Both")</f>
        <v>0</v>
      </c>
      <c r="L50">
        <f t="shared" si="23"/>
        <v>0</v>
      </c>
      <c r="M50">
        <f t="shared" si="24"/>
        <v>0</v>
      </c>
      <c r="N50">
        <f t="shared" si="25"/>
        <v>0</v>
      </c>
      <c r="O50">
        <f t="shared" si="26"/>
        <v>2015</v>
      </c>
      <c r="P50">
        <f t="shared" si="27"/>
        <v>0</v>
      </c>
      <c r="Q50">
        <f t="shared" si="28"/>
        <v>0</v>
      </c>
      <c r="R50">
        <f t="shared" si="29"/>
        <v>0</v>
      </c>
      <c r="S50">
        <f t="shared" si="30"/>
        <v>0</v>
      </c>
      <c r="T50">
        <f>COUNTIF('9a'!$K$22:$K$32, "Yes")+COUNTIF('9a'!$O$22:$O$32, "Yes")</f>
        <v>0</v>
      </c>
      <c r="U50" t="str">
        <f t="shared" si="31"/>
        <v>No Expenditures</v>
      </c>
      <c r="V50" t="str">
        <f t="shared" si="32"/>
        <v>No Expenditures</v>
      </c>
      <c r="W50">
        <f t="shared" si="33"/>
        <v>0</v>
      </c>
      <c r="X50" t="str">
        <f>'D-Risk'!$AO$25</f>
        <v>Insufficient Data</v>
      </c>
      <c r="Y50" t="str">
        <f>'D-Risk'!$AO$26</f>
        <v>Insufficient Data</v>
      </c>
      <c r="Z50" t="str">
        <f>'D-Risk'!$AO$27</f>
        <v>Uncalculated</v>
      </c>
      <c r="AA50">
        <v>103</v>
      </c>
      <c r="AB50" t="s">
        <v>2261</v>
      </c>
      <c r="AC50" t="s">
        <v>624</v>
      </c>
      <c r="AD50">
        <f>Q4b_103_Participation</f>
        <v>0</v>
      </c>
      <c r="AE50">
        <f>'4b'!F113</f>
        <v>0</v>
      </c>
      <c r="AF50">
        <f>'4b'!G113</f>
        <v>0</v>
      </c>
      <c r="AG50">
        <f>'4b'!H113</f>
        <v>0</v>
      </c>
      <c r="AH50">
        <f>'4b'!I113</f>
        <v>0</v>
      </c>
      <c r="AI50">
        <f>'4b'!J113</f>
        <v>0</v>
      </c>
    </row>
    <row r="51" spans="1:35" x14ac:dyDescent="0.25">
      <c r="A51">
        <f t="shared" si="17"/>
        <v>0</v>
      </c>
      <c r="B51">
        <f t="shared" si="18"/>
        <v>0</v>
      </c>
      <c r="C51">
        <f t="shared" si="19"/>
        <v>0</v>
      </c>
      <c r="D51">
        <f t="shared" si="20"/>
        <v>0</v>
      </c>
      <c r="E51">
        <f t="shared" si="21"/>
        <v>0</v>
      </c>
      <c r="F51">
        <f>'D-RepLevel'!$F$2</f>
        <v>0</v>
      </c>
      <c r="G51">
        <f>'D-RepLevel'!$G$2</f>
        <v>0</v>
      </c>
      <c r="H51">
        <f t="shared" si="22"/>
        <v>0</v>
      </c>
      <c r="I51" t="str">
        <f>IF(ISERROR(INDEX('1b'!$C$5:$C$21, MATCH("Primary Business Line", '1b'!$H$5:$H$21, FALSE), 1)), "None Selected", INDEX('1b'!$C$5:$C$21, MATCH("Primary Business Line", '1b'!$H$5:$H$21, FALSE), 1))</f>
        <v>None Selected</v>
      </c>
      <c r="J51">
        <f>'D-3'!$J$2</f>
        <v>0</v>
      </c>
      <c r="K51">
        <f>COUNTIF('4a'!$E$6:$E$29, "Direct")+COUNTIF('4a'!$E$6:$E$29, "Indirect")+COUNTIF('4a'!$E$6:$E$29, "Both")</f>
        <v>0</v>
      </c>
      <c r="L51">
        <f t="shared" si="23"/>
        <v>0</v>
      </c>
      <c r="M51">
        <f t="shared" si="24"/>
        <v>0</v>
      </c>
      <c r="N51">
        <f t="shared" si="25"/>
        <v>0</v>
      </c>
      <c r="O51">
        <f t="shared" si="26"/>
        <v>2015</v>
      </c>
      <c r="P51">
        <f t="shared" si="27"/>
        <v>0</v>
      </c>
      <c r="Q51">
        <f t="shared" si="28"/>
        <v>0</v>
      </c>
      <c r="R51">
        <f t="shared" si="29"/>
        <v>0</v>
      </c>
      <c r="S51">
        <f t="shared" si="30"/>
        <v>0</v>
      </c>
      <c r="T51">
        <f>COUNTIF('9a'!$K$22:$K$32, "Yes")+COUNTIF('9a'!$O$22:$O$32, "Yes")</f>
        <v>0</v>
      </c>
      <c r="U51" t="str">
        <f t="shared" si="31"/>
        <v>No Expenditures</v>
      </c>
      <c r="V51" t="str">
        <f t="shared" si="32"/>
        <v>No Expenditures</v>
      </c>
      <c r="W51">
        <f t="shared" si="33"/>
        <v>0</v>
      </c>
      <c r="X51" t="str">
        <f>'D-Risk'!$AO$25</f>
        <v>Insufficient Data</v>
      </c>
      <c r="Y51" t="str">
        <f>'D-Risk'!$AO$26</f>
        <v>Insufficient Data</v>
      </c>
      <c r="Z51" t="str">
        <f>'D-Risk'!$AO$27</f>
        <v>Uncalculated</v>
      </c>
      <c r="AA51">
        <v>104</v>
      </c>
      <c r="AB51" t="s">
        <v>2261</v>
      </c>
      <c r="AC51" t="s">
        <v>625</v>
      </c>
      <c r="AD51">
        <f>Q4b_104_Participation</f>
        <v>0</v>
      </c>
      <c r="AE51">
        <f>'4b'!F114</f>
        <v>0</v>
      </c>
      <c r="AF51">
        <f>'4b'!G114</f>
        <v>0</v>
      </c>
      <c r="AG51">
        <f>'4b'!H114</f>
        <v>0</v>
      </c>
      <c r="AH51">
        <f>'4b'!I114</f>
        <v>0</v>
      </c>
      <c r="AI51">
        <f>'4b'!J114</f>
        <v>0</v>
      </c>
    </row>
    <row r="52" spans="1:35" x14ac:dyDescent="0.25">
      <c r="A52">
        <f t="shared" si="17"/>
        <v>0</v>
      </c>
      <c r="B52">
        <f t="shared" si="18"/>
        <v>0</v>
      </c>
      <c r="C52">
        <f t="shared" si="19"/>
        <v>0</v>
      </c>
      <c r="D52">
        <f t="shared" si="20"/>
        <v>0</v>
      </c>
      <c r="E52">
        <f t="shared" si="21"/>
        <v>0</v>
      </c>
      <c r="F52">
        <f>'D-RepLevel'!$F$2</f>
        <v>0</v>
      </c>
      <c r="G52">
        <f>'D-RepLevel'!$G$2</f>
        <v>0</v>
      </c>
      <c r="H52">
        <f t="shared" si="22"/>
        <v>0</v>
      </c>
      <c r="I52" t="str">
        <f>IF(ISERROR(INDEX('1b'!$C$5:$C$21, MATCH("Primary Business Line", '1b'!$H$5:$H$21, FALSE), 1)), "None Selected", INDEX('1b'!$C$5:$C$21, MATCH("Primary Business Line", '1b'!$H$5:$H$21, FALSE), 1))</f>
        <v>None Selected</v>
      </c>
      <c r="J52">
        <f>'D-3'!$J$2</f>
        <v>0</v>
      </c>
      <c r="K52">
        <f>COUNTIF('4a'!$E$6:$E$29, "Direct")+COUNTIF('4a'!$E$6:$E$29, "Indirect")+COUNTIF('4a'!$E$6:$E$29, "Both")</f>
        <v>0</v>
      </c>
      <c r="L52">
        <f t="shared" si="23"/>
        <v>0</v>
      </c>
      <c r="M52">
        <f t="shared" si="24"/>
        <v>0</v>
      </c>
      <c r="N52">
        <f t="shared" si="25"/>
        <v>0</v>
      </c>
      <c r="O52">
        <f t="shared" si="26"/>
        <v>2015</v>
      </c>
      <c r="P52">
        <f t="shared" si="27"/>
        <v>0</v>
      </c>
      <c r="Q52">
        <f t="shared" si="28"/>
        <v>0</v>
      </c>
      <c r="R52">
        <f t="shared" si="29"/>
        <v>0</v>
      </c>
      <c r="S52">
        <f t="shared" si="30"/>
        <v>0</v>
      </c>
      <c r="T52">
        <f>COUNTIF('9a'!$K$22:$K$32, "Yes")+COUNTIF('9a'!$O$22:$O$32, "Yes")</f>
        <v>0</v>
      </c>
      <c r="U52" t="str">
        <f t="shared" si="31"/>
        <v>No Expenditures</v>
      </c>
      <c r="V52" t="str">
        <f t="shared" si="32"/>
        <v>No Expenditures</v>
      </c>
      <c r="W52">
        <f t="shared" si="33"/>
        <v>0</v>
      </c>
      <c r="X52" t="str">
        <f>'D-Risk'!$AO$25</f>
        <v>Insufficient Data</v>
      </c>
      <c r="Y52" t="str">
        <f>'D-Risk'!$AO$26</f>
        <v>Insufficient Data</v>
      </c>
      <c r="Z52" t="str">
        <f>'D-Risk'!$AO$27</f>
        <v>Uncalculated</v>
      </c>
      <c r="AA52">
        <v>105</v>
      </c>
      <c r="AB52" t="s">
        <v>2261</v>
      </c>
      <c r="AC52" t="s">
        <v>626</v>
      </c>
      <c r="AD52">
        <f>Q4b_105_Participation</f>
        <v>0</v>
      </c>
      <c r="AE52">
        <f>'4b'!F115</f>
        <v>0</v>
      </c>
      <c r="AF52">
        <f>'4b'!G115</f>
        <v>0</v>
      </c>
      <c r="AG52">
        <f>'4b'!H115</f>
        <v>0</v>
      </c>
      <c r="AH52">
        <f>'4b'!I115</f>
        <v>0</v>
      </c>
      <c r="AI52">
        <f>'4b'!J115</f>
        <v>0</v>
      </c>
    </row>
    <row r="53" spans="1:35" x14ac:dyDescent="0.25">
      <c r="A53">
        <f t="shared" si="17"/>
        <v>0</v>
      </c>
      <c r="B53">
        <f t="shared" si="18"/>
        <v>0</v>
      </c>
      <c r="C53">
        <f t="shared" si="19"/>
        <v>0</v>
      </c>
      <c r="D53">
        <f t="shared" si="20"/>
        <v>0</v>
      </c>
      <c r="E53">
        <f t="shared" si="21"/>
        <v>0</v>
      </c>
      <c r="F53">
        <f>'D-RepLevel'!$F$2</f>
        <v>0</v>
      </c>
      <c r="G53">
        <f>'D-RepLevel'!$G$2</f>
        <v>0</v>
      </c>
      <c r="H53">
        <f t="shared" si="22"/>
        <v>0</v>
      </c>
      <c r="I53" t="str">
        <f>IF(ISERROR(INDEX('1b'!$C$5:$C$21, MATCH("Primary Business Line", '1b'!$H$5:$H$21, FALSE), 1)), "None Selected", INDEX('1b'!$C$5:$C$21, MATCH("Primary Business Line", '1b'!$H$5:$H$21, FALSE), 1))</f>
        <v>None Selected</v>
      </c>
      <c r="J53">
        <f>'D-3'!$J$2</f>
        <v>0</v>
      </c>
      <c r="K53">
        <f>COUNTIF('4a'!$E$6:$E$29, "Direct")+COUNTIF('4a'!$E$6:$E$29, "Indirect")+COUNTIF('4a'!$E$6:$E$29, "Both")</f>
        <v>0</v>
      </c>
      <c r="L53">
        <f t="shared" si="23"/>
        <v>0</v>
      </c>
      <c r="M53">
        <f t="shared" si="24"/>
        <v>0</v>
      </c>
      <c r="N53">
        <f t="shared" si="25"/>
        <v>0</v>
      </c>
      <c r="O53">
        <f t="shared" si="26"/>
        <v>2015</v>
      </c>
      <c r="P53">
        <f t="shared" si="27"/>
        <v>0</v>
      </c>
      <c r="Q53">
        <f t="shared" si="28"/>
        <v>0</v>
      </c>
      <c r="R53">
        <f t="shared" si="29"/>
        <v>0</v>
      </c>
      <c r="S53">
        <f t="shared" si="30"/>
        <v>0</v>
      </c>
      <c r="T53">
        <f>COUNTIF('9a'!$K$22:$K$32, "Yes")+COUNTIF('9a'!$O$22:$O$32, "Yes")</f>
        <v>0</v>
      </c>
      <c r="U53" t="str">
        <f t="shared" si="31"/>
        <v>No Expenditures</v>
      </c>
      <c r="V53" t="str">
        <f t="shared" si="32"/>
        <v>No Expenditures</v>
      </c>
      <c r="W53">
        <f t="shared" si="33"/>
        <v>0</v>
      </c>
      <c r="X53" t="str">
        <f>'D-Risk'!$AO$25</f>
        <v>Insufficient Data</v>
      </c>
      <c r="Y53" t="str">
        <f>'D-Risk'!$AO$26</f>
        <v>Insufficient Data</v>
      </c>
      <c r="Z53" t="str">
        <f>'D-Risk'!$AO$27</f>
        <v>Uncalculated</v>
      </c>
      <c r="AA53">
        <v>106</v>
      </c>
      <c r="AB53" t="s">
        <v>2261</v>
      </c>
      <c r="AC53" t="s">
        <v>627</v>
      </c>
      <c r="AD53">
        <f>Q4b_106_Participation</f>
        <v>0</v>
      </c>
      <c r="AE53">
        <f>'4b'!F116</f>
        <v>0</v>
      </c>
      <c r="AF53">
        <f>'4b'!G116</f>
        <v>0</v>
      </c>
      <c r="AG53">
        <f>'4b'!H116</f>
        <v>0</v>
      </c>
      <c r="AH53">
        <f>'4b'!I116</f>
        <v>0</v>
      </c>
      <c r="AI53">
        <f>'4b'!J116</f>
        <v>0</v>
      </c>
    </row>
    <row r="54" spans="1:35" x14ac:dyDescent="0.25">
      <c r="A54">
        <f t="shared" si="17"/>
        <v>0</v>
      </c>
      <c r="B54">
        <f t="shared" si="18"/>
        <v>0</v>
      </c>
      <c r="C54">
        <f t="shared" si="19"/>
        <v>0</v>
      </c>
      <c r="D54">
        <f t="shared" si="20"/>
        <v>0</v>
      </c>
      <c r="E54">
        <f t="shared" si="21"/>
        <v>0</v>
      </c>
      <c r="F54">
        <f>'D-RepLevel'!$F$2</f>
        <v>0</v>
      </c>
      <c r="G54">
        <f>'D-RepLevel'!$G$2</f>
        <v>0</v>
      </c>
      <c r="H54">
        <f t="shared" si="22"/>
        <v>0</v>
      </c>
      <c r="I54" t="str">
        <f>IF(ISERROR(INDEX('1b'!$C$5:$C$21, MATCH("Primary Business Line", '1b'!$H$5:$H$21, FALSE), 1)), "None Selected", INDEX('1b'!$C$5:$C$21, MATCH("Primary Business Line", '1b'!$H$5:$H$21, FALSE), 1))</f>
        <v>None Selected</v>
      </c>
      <c r="J54">
        <f>'D-3'!$J$2</f>
        <v>0</v>
      </c>
      <c r="K54">
        <f>COUNTIF('4a'!$E$6:$E$29, "Direct")+COUNTIF('4a'!$E$6:$E$29, "Indirect")+COUNTIF('4a'!$E$6:$E$29, "Both")</f>
        <v>0</v>
      </c>
      <c r="L54">
        <f t="shared" si="23"/>
        <v>0</v>
      </c>
      <c r="M54">
        <f t="shared" si="24"/>
        <v>0</v>
      </c>
      <c r="N54">
        <f t="shared" si="25"/>
        <v>0</v>
      </c>
      <c r="O54">
        <f t="shared" si="26"/>
        <v>2015</v>
      </c>
      <c r="P54">
        <f t="shared" si="27"/>
        <v>0</v>
      </c>
      <c r="Q54">
        <f t="shared" si="28"/>
        <v>0</v>
      </c>
      <c r="R54">
        <f t="shared" si="29"/>
        <v>0</v>
      </c>
      <c r="S54">
        <f t="shared" si="30"/>
        <v>0</v>
      </c>
      <c r="T54">
        <f>COUNTIF('9a'!$K$22:$K$32, "Yes")+COUNTIF('9a'!$O$22:$O$32, "Yes")</f>
        <v>0</v>
      </c>
      <c r="U54" t="str">
        <f t="shared" si="31"/>
        <v>No Expenditures</v>
      </c>
      <c r="V54" t="str">
        <f t="shared" si="32"/>
        <v>No Expenditures</v>
      </c>
      <c r="W54">
        <f t="shared" si="33"/>
        <v>0</v>
      </c>
      <c r="X54" t="str">
        <f>'D-Risk'!$AO$25</f>
        <v>Insufficient Data</v>
      </c>
      <c r="Y54" t="str">
        <f>'D-Risk'!$AO$26</f>
        <v>Insufficient Data</v>
      </c>
      <c r="Z54" t="str">
        <f>'D-Risk'!$AO$27</f>
        <v>Uncalculated</v>
      </c>
      <c r="AA54">
        <v>107</v>
      </c>
      <c r="AB54" t="s">
        <v>2261</v>
      </c>
      <c r="AC54" t="s">
        <v>2262</v>
      </c>
      <c r="AD54">
        <f>Q4b_107_Participation</f>
        <v>0</v>
      </c>
      <c r="AE54">
        <f>'4b'!F117</f>
        <v>0</v>
      </c>
      <c r="AF54">
        <f>'4b'!G117</f>
        <v>0</v>
      </c>
      <c r="AG54">
        <f>'4b'!H117</f>
        <v>0</v>
      </c>
      <c r="AH54">
        <f>'4b'!I117</f>
        <v>0</v>
      </c>
      <c r="AI54">
        <f>'4b'!J117</f>
        <v>0</v>
      </c>
    </row>
    <row r="55" spans="1:35" x14ac:dyDescent="0.25">
      <c r="A55">
        <f t="shared" si="17"/>
        <v>0</v>
      </c>
      <c r="B55">
        <f t="shared" si="18"/>
        <v>0</v>
      </c>
      <c r="C55">
        <f t="shared" si="19"/>
        <v>0</v>
      </c>
      <c r="D55">
        <f t="shared" si="20"/>
        <v>0</v>
      </c>
      <c r="E55">
        <f t="shared" si="21"/>
        <v>0</v>
      </c>
      <c r="F55">
        <f>'D-RepLevel'!$F$2</f>
        <v>0</v>
      </c>
      <c r="G55">
        <f>'D-RepLevel'!$G$2</f>
        <v>0</v>
      </c>
      <c r="H55">
        <f t="shared" si="22"/>
        <v>0</v>
      </c>
      <c r="I55" t="str">
        <f>IF(ISERROR(INDEX('1b'!$C$5:$C$21, MATCH("Primary Business Line", '1b'!$H$5:$H$21, FALSE), 1)), "None Selected", INDEX('1b'!$C$5:$C$21, MATCH("Primary Business Line", '1b'!$H$5:$H$21, FALSE), 1))</f>
        <v>None Selected</v>
      </c>
      <c r="J55">
        <f>'D-3'!$J$2</f>
        <v>0</v>
      </c>
      <c r="K55">
        <f>COUNTIF('4a'!$E$6:$E$29, "Direct")+COUNTIF('4a'!$E$6:$E$29, "Indirect")+COUNTIF('4a'!$E$6:$E$29, "Both")</f>
        <v>0</v>
      </c>
      <c r="L55">
        <f t="shared" si="23"/>
        <v>0</v>
      </c>
      <c r="M55">
        <f t="shared" si="24"/>
        <v>0</v>
      </c>
      <c r="N55">
        <f t="shared" si="25"/>
        <v>0</v>
      </c>
      <c r="O55">
        <f t="shared" si="26"/>
        <v>2015</v>
      </c>
      <c r="P55">
        <f t="shared" si="27"/>
        <v>0</v>
      </c>
      <c r="Q55">
        <f t="shared" si="28"/>
        <v>0</v>
      </c>
      <c r="R55">
        <f t="shared" si="29"/>
        <v>0</v>
      </c>
      <c r="S55">
        <f t="shared" si="30"/>
        <v>0</v>
      </c>
      <c r="T55">
        <f>COUNTIF('9a'!$K$22:$K$32, "Yes")+COUNTIF('9a'!$O$22:$O$32, "Yes")</f>
        <v>0</v>
      </c>
      <c r="U55" t="str">
        <f t="shared" si="31"/>
        <v>No Expenditures</v>
      </c>
      <c r="V55" t="str">
        <f t="shared" si="32"/>
        <v>No Expenditures</v>
      </c>
      <c r="W55">
        <f t="shared" si="33"/>
        <v>0</v>
      </c>
      <c r="X55" t="str">
        <f>'D-Risk'!$AO$25</f>
        <v>Insufficient Data</v>
      </c>
      <c r="Y55" t="str">
        <f>'D-Risk'!$AO$26</f>
        <v>Insufficient Data</v>
      </c>
      <c r="Z55" t="str">
        <f>'D-Risk'!$AO$27</f>
        <v>Uncalculated</v>
      </c>
      <c r="AA55">
        <v>108</v>
      </c>
      <c r="AB55" t="s">
        <v>2261</v>
      </c>
      <c r="AC55" t="s">
        <v>629</v>
      </c>
      <c r="AD55">
        <f>Q4b_108_Participation</f>
        <v>0</v>
      </c>
      <c r="AE55">
        <f>'4b'!F118</f>
        <v>0</v>
      </c>
      <c r="AF55">
        <f>'4b'!G118</f>
        <v>0</v>
      </c>
      <c r="AG55">
        <f>'4b'!H118</f>
        <v>0</v>
      </c>
      <c r="AH55">
        <f>'4b'!I118</f>
        <v>0</v>
      </c>
      <c r="AI55">
        <f>'4b'!J118</f>
        <v>0</v>
      </c>
    </row>
    <row r="56" spans="1:35" x14ac:dyDescent="0.25">
      <c r="A56">
        <f t="shared" si="17"/>
        <v>0</v>
      </c>
      <c r="B56">
        <f t="shared" si="18"/>
        <v>0</v>
      </c>
      <c r="C56">
        <f t="shared" si="19"/>
        <v>0</v>
      </c>
      <c r="D56">
        <f t="shared" si="20"/>
        <v>0</v>
      </c>
      <c r="E56">
        <f t="shared" si="21"/>
        <v>0</v>
      </c>
      <c r="F56">
        <f>'D-RepLevel'!$F$2</f>
        <v>0</v>
      </c>
      <c r="G56">
        <f>'D-RepLevel'!$G$2</f>
        <v>0</v>
      </c>
      <c r="H56">
        <f t="shared" si="22"/>
        <v>0</v>
      </c>
      <c r="I56" t="str">
        <f>IF(ISERROR(INDEX('1b'!$C$5:$C$21, MATCH("Primary Business Line", '1b'!$H$5:$H$21, FALSE), 1)), "None Selected", INDEX('1b'!$C$5:$C$21, MATCH("Primary Business Line", '1b'!$H$5:$H$21, FALSE), 1))</f>
        <v>None Selected</v>
      </c>
      <c r="J56">
        <f>'D-3'!$J$2</f>
        <v>0</v>
      </c>
      <c r="K56">
        <f>COUNTIF('4a'!$E$6:$E$29, "Direct")+COUNTIF('4a'!$E$6:$E$29, "Indirect")+COUNTIF('4a'!$E$6:$E$29, "Both")</f>
        <v>0</v>
      </c>
      <c r="L56">
        <f t="shared" si="23"/>
        <v>0</v>
      </c>
      <c r="M56">
        <f t="shared" si="24"/>
        <v>0</v>
      </c>
      <c r="N56">
        <f t="shared" si="25"/>
        <v>0</v>
      </c>
      <c r="O56">
        <f t="shared" si="26"/>
        <v>2015</v>
      </c>
      <c r="P56">
        <f t="shared" si="27"/>
        <v>0</v>
      </c>
      <c r="Q56">
        <f t="shared" si="28"/>
        <v>0</v>
      </c>
      <c r="R56">
        <f t="shared" si="29"/>
        <v>0</v>
      </c>
      <c r="S56">
        <f t="shared" si="30"/>
        <v>0</v>
      </c>
      <c r="T56">
        <f>COUNTIF('9a'!$K$22:$K$32, "Yes")+COUNTIF('9a'!$O$22:$O$32, "Yes")</f>
        <v>0</v>
      </c>
      <c r="U56" t="str">
        <f t="shared" si="31"/>
        <v>No Expenditures</v>
      </c>
      <c r="V56" t="str">
        <f t="shared" si="32"/>
        <v>No Expenditures</v>
      </c>
      <c r="W56">
        <f t="shared" si="33"/>
        <v>0</v>
      </c>
      <c r="X56" t="str">
        <f>'D-Risk'!$AO$25</f>
        <v>Insufficient Data</v>
      </c>
      <c r="Y56" t="str">
        <f>'D-Risk'!$AO$26</f>
        <v>Insufficient Data</v>
      </c>
      <c r="Z56" t="str">
        <f>'D-Risk'!$AO$27</f>
        <v>Uncalculated</v>
      </c>
      <c r="AA56">
        <v>109</v>
      </c>
      <c r="AB56" t="s">
        <v>2261</v>
      </c>
      <c r="AC56" t="s">
        <v>630</v>
      </c>
      <c r="AD56">
        <f>Q4b_109_Participation</f>
        <v>0</v>
      </c>
      <c r="AE56">
        <f>'4b'!F119</f>
        <v>0</v>
      </c>
      <c r="AF56">
        <f>'4b'!G119</f>
        <v>0</v>
      </c>
      <c r="AG56">
        <f>'4b'!H119</f>
        <v>0</v>
      </c>
      <c r="AH56">
        <f>'4b'!I119</f>
        <v>0</v>
      </c>
      <c r="AI56">
        <f>'4b'!J119</f>
        <v>0</v>
      </c>
    </row>
    <row r="57" spans="1:35" x14ac:dyDescent="0.25">
      <c r="A57">
        <f t="shared" si="17"/>
        <v>0</v>
      </c>
      <c r="B57">
        <f t="shared" si="18"/>
        <v>0</v>
      </c>
      <c r="C57">
        <f t="shared" si="19"/>
        <v>0</v>
      </c>
      <c r="D57">
        <f t="shared" si="20"/>
        <v>0</v>
      </c>
      <c r="E57">
        <f t="shared" si="21"/>
        <v>0</v>
      </c>
      <c r="F57">
        <f>'D-RepLevel'!$F$2</f>
        <v>0</v>
      </c>
      <c r="G57">
        <f>'D-RepLevel'!$G$2</f>
        <v>0</v>
      </c>
      <c r="H57">
        <f t="shared" si="22"/>
        <v>0</v>
      </c>
      <c r="I57" t="str">
        <f>IF(ISERROR(INDEX('1b'!$C$5:$C$21, MATCH("Primary Business Line", '1b'!$H$5:$H$21, FALSE), 1)), "None Selected", INDEX('1b'!$C$5:$C$21, MATCH("Primary Business Line", '1b'!$H$5:$H$21, FALSE), 1))</f>
        <v>None Selected</v>
      </c>
      <c r="J57">
        <f>'D-3'!$J$2</f>
        <v>0</v>
      </c>
      <c r="K57">
        <f>COUNTIF('4a'!$E$6:$E$29, "Direct")+COUNTIF('4a'!$E$6:$E$29, "Indirect")+COUNTIF('4a'!$E$6:$E$29, "Both")</f>
        <v>0</v>
      </c>
      <c r="L57">
        <f t="shared" si="23"/>
        <v>0</v>
      </c>
      <c r="M57">
        <f t="shared" si="24"/>
        <v>0</v>
      </c>
      <c r="N57">
        <f t="shared" si="25"/>
        <v>0</v>
      </c>
      <c r="O57">
        <f t="shared" si="26"/>
        <v>2015</v>
      </c>
      <c r="P57">
        <f t="shared" si="27"/>
        <v>0</v>
      </c>
      <c r="Q57">
        <f t="shared" si="28"/>
        <v>0</v>
      </c>
      <c r="R57">
        <f t="shared" si="29"/>
        <v>0</v>
      </c>
      <c r="S57">
        <f t="shared" si="30"/>
        <v>0</v>
      </c>
      <c r="T57">
        <f>COUNTIF('9a'!$K$22:$K$32, "Yes")+COUNTIF('9a'!$O$22:$O$32, "Yes")</f>
        <v>0</v>
      </c>
      <c r="U57" t="str">
        <f t="shared" si="31"/>
        <v>No Expenditures</v>
      </c>
      <c r="V57" t="str">
        <f t="shared" si="32"/>
        <v>No Expenditures</v>
      </c>
      <c r="W57">
        <f t="shared" si="33"/>
        <v>0</v>
      </c>
      <c r="X57" t="str">
        <f>'D-Risk'!$AO$25</f>
        <v>Insufficient Data</v>
      </c>
      <c r="Y57" t="str">
        <f>'D-Risk'!$AO$26</f>
        <v>Insufficient Data</v>
      </c>
      <c r="Z57" t="str">
        <f>'D-Risk'!$AO$27</f>
        <v>Uncalculated</v>
      </c>
      <c r="AA57">
        <v>110</v>
      </c>
      <c r="AB57" t="s">
        <v>2261</v>
      </c>
      <c r="AC57" t="s">
        <v>631</v>
      </c>
      <c r="AD57">
        <f>Q4b_110_Participation</f>
        <v>0</v>
      </c>
      <c r="AE57">
        <f>'4b'!F120</f>
        <v>0</v>
      </c>
      <c r="AF57">
        <f>'4b'!G120</f>
        <v>0</v>
      </c>
      <c r="AG57">
        <f>'4b'!H120</f>
        <v>0</v>
      </c>
      <c r="AH57">
        <f>'4b'!I120</f>
        <v>0</v>
      </c>
      <c r="AI57">
        <f>'4b'!J120</f>
        <v>0</v>
      </c>
    </row>
  </sheetData>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9"/>
  <sheetViews>
    <sheetView zoomScale="70" zoomScaleNormal="70" workbookViewId="0">
      <selection activeCell="C7" sqref="C7:D7"/>
    </sheetView>
  </sheetViews>
  <sheetFormatPr defaultRowHeight="15" x14ac:dyDescent="0.25"/>
  <sheetData>
    <row r="1" spans="1:3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2250</v>
      </c>
      <c r="AB1" t="s">
        <v>2251</v>
      </c>
      <c r="AC1" t="s">
        <v>2252</v>
      </c>
      <c r="AD1" t="s">
        <v>184</v>
      </c>
      <c r="AE1" t="s">
        <v>2253</v>
      </c>
      <c r="AF1" t="s">
        <v>2254</v>
      </c>
      <c r="AG1" t="s">
        <v>2255</v>
      </c>
      <c r="AH1" t="s">
        <v>2256</v>
      </c>
      <c r="AI1" t="s">
        <v>2257</v>
      </c>
    </row>
    <row r="2" spans="1:35" x14ac:dyDescent="0.25">
      <c r="A2">
        <f t="shared" ref="A2:A49" si="0">Q_RP_B_DSSCAGE_01</f>
        <v>0</v>
      </c>
      <c r="B2">
        <f t="shared" ref="B2:B49" si="1">Q1a_A_LocationName</f>
        <v>0</v>
      </c>
      <c r="C2">
        <f t="shared" ref="C2:C49" si="2">Q1a_A_LocOrgName</f>
        <v>0</v>
      </c>
      <c r="D2">
        <f t="shared" ref="D2:D49" si="3">Q1a_B_Parent1_Name</f>
        <v>0</v>
      </c>
      <c r="E2">
        <f t="shared" ref="E2:E49" si="4">Q_RP_A_MultiResponse</f>
        <v>0</v>
      </c>
      <c r="F2">
        <f>'D-RepLevel'!$F$2</f>
        <v>0</v>
      </c>
      <c r="G2">
        <f>'D-RepLevel'!$G$2</f>
        <v>0</v>
      </c>
      <c r="H2">
        <f t="shared" ref="H2:H49"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49" si="6">Q4b_A_NumUSGPrograms</f>
        <v>0</v>
      </c>
      <c r="M2">
        <f t="shared" ref="M2:M49" si="7">Q6_A_Employees_Year3</f>
        <v>0</v>
      </c>
      <c r="N2">
        <f t="shared" ref="N2:N49" si="8">Q6_B_Employee_H1B_Total+Q6_B_Employee_H2B_Total+Q6_B_Employee_F1_Total+Q6_B_Employee_GreenCard_Total+Q6_B_Employee_Other_Total</f>
        <v>0</v>
      </c>
      <c r="O2">
        <f t="shared" ref="O2:O49" si="9">Year3</f>
        <v>2015</v>
      </c>
      <c r="P2">
        <f t="shared" ref="P2:P49" si="10">Q7_A_TotalSales_US_Year3+Q7_A_TotalSales_NonUS_Year3</f>
        <v>0</v>
      </c>
      <c r="Q2">
        <f t="shared" ref="Q2:Q49" si="11">Q7_B_DefSales_US_Year3_Pct*Q7_A_TotalSales_US_Year3+Q7_B_DefSales_NonUS_Year3_Pct*Q7_A_TotalSales_NonUS_Year3</f>
        <v>0</v>
      </c>
      <c r="R2">
        <f t="shared" ref="R2:R49" si="12">Q9a_B_Physical_Year3</f>
        <v>0</v>
      </c>
      <c r="S2">
        <f t="shared" ref="S2:S49" si="13">Q9a_B_Cyber_Year3</f>
        <v>0</v>
      </c>
      <c r="T2">
        <f>COUNTIF('9a'!$K$22:$K$32, "Yes")+COUNTIF('9a'!$O$22:$O$32, "Yes")</f>
        <v>0</v>
      </c>
      <c r="U2" t="str">
        <f t="shared" ref="U2:U49" si="14">IF(Q12_OpEx_Year3=0, "No Expenditures", Q9b_A_PhysicalSpending_Year3/(Q12_OpEx_Year3))</f>
        <v>No Expenditures</v>
      </c>
      <c r="V2" t="str">
        <f t="shared" ref="V2:V49" si="15">IF(Q12_OpEx_Year3=0, "No Expenditures", Q9b_A_CyberSpending_Year3/(Q12_OpEx_Year3))</f>
        <v>No Expenditures</v>
      </c>
      <c r="W2">
        <f t="shared" ref="W2:W49" si="16">Q9b_C_Pct_CSI_External</f>
        <v>0</v>
      </c>
      <c r="X2" t="str">
        <f>'D-Risk'!$AO$25</f>
        <v>Insufficient Data</v>
      </c>
      <c r="Y2" t="str">
        <f>'D-Risk'!$AO$26</f>
        <v>Insufficient Data</v>
      </c>
      <c r="Z2" t="str">
        <f>'D-Risk'!$AO$27</f>
        <v>Uncalculated</v>
      </c>
      <c r="AA2">
        <v>111</v>
      </c>
      <c r="AB2" t="s">
        <v>2261</v>
      </c>
      <c r="AC2" t="s">
        <v>632</v>
      </c>
      <c r="AD2">
        <f>Q4b_111_Participation</f>
        <v>0</v>
      </c>
      <c r="AE2">
        <f>'4b'!F121</f>
        <v>0</v>
      </c>
      <c r="AF2">
        <f>'4b'!G121</f>
        <v>0</v>
      </c>
      <c r="AG2">
        <f>'4b'!H121</f>
        <v>0</v>
      </c>
      <c r="AH2">
        <f>'4b'!I121</f>
        <v>0</v>
      </c>
      <c r="AI2">
        <f>'4b'!J121</f>
        <v>0</v>
      </c>
    </row>
    <row r="3" spans="1:35"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v>112</v>
      </c>
      <c r="AB3" t="s">
        <v>2261</v>
      </c>
      <c r="AC3" t="s">
        <v>633</v>
      </c>
      <c r="AD3">
        <f>Q4b_112_Participation</f>
        <v>0</v>
      </c>
      <c r="AE3">
        <f>'4b'!F122</f>
        <v>0</v>
      </c>
      <c r="AF3">
        <f>'4b'!G122</f>
        <v>0</v>
      </c>
      <c r="AG3">
        <f>'4b'!H122</f>
        <v>0</v>
      </c>
      <c r="AH3">
        <f>'4b'!I122</f>
        <v>0</v>
      </c>
      <c r="AI3">
        <f>'4b'!J122</f>
        <v>0</v>
      </c>
    </row>
    <row r="4" spans="1:35"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v>113</v>
      </c>
      <c r="AB4" t="s">
        <v>2261</v>
      </c>
      <c r="AC4" t="s">
        <v>634</v>
      </c>
      <c r="AD4">
        <f>Q4b_113_Participation</f>
        <v>0</v>
      </c>
      <c r="AE4">
        <f>'4b'!F123</f>
        <v>0</v>
      </c>
      <c r="AF4">
        <f>'4b'!G123</f>
        <v>0</v>
      </c>
      <c r="AG4">
        <f>'4b'!H123</f>
        <v>0</v>
      </c>
      <c r="AH4">
        <f>'4b'!I123</f>
        <v>0</v>
      </c>
      <c r="AI4">
        <f>'4b'!J123</f>
        <v>0</v>
      </c>
    </row>
    <row r="5" spans="1:35"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v>114</v>
      </c>
      <c r="AB5" t="s">
        <v>2261</v>
      </c>
      <c r="AC5" t="s">
        <v>635</v>
      </c>
      <c r="AD5">
        <f>Q4b_114_Participation</f>
        <v>0</v>
      </c>
      <c r="AE5">
        <f>'4b'!F124</f>
        <v>0</v>
      </c>
      <c r="AF5">
        <f>'4b'!G124</f>
        <v>0</v>
      </c>
      <c r="AG5">
        <f>'4b'!H124</f>
        <v>0</v>
      </c>
      <c r="AH5">
        <f>'4b'!I124</f>
        <v>0</v>
      </c>
      <c r="AI5">
        <f>'4b'!J124</f>
        <v>0</v>
      </c>
    </row>
    <row r="6" spans="1:35"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v>115</v>
      </c>
      <c r="AB6" t="s">
        <v>2261</v>
      </c>
      <c r="AC6" t="s">
        <v>636</v>
      </c>
      <c r="AD6">
        <f>Q4b_115_Participation</f>
        <v>0</v>
      </c>
      <c r="AE6">
        <f>'4b'!F125</f>
        <v>0</v>
      </c>
      <c r="AF6">
        <f>'4b'!G125</f>
        <v>0</v>
      </c>
      <c r="AG6">
        <f>'4b'!H125</f>
        <v>0</v>
      </c>
      <c r="AH6">
        <f>'4b'!I125</f>
        <v>0</v>
      </c>
      <c r="AI6">
        <f>'4b'!J125</f>
        <v>0</v>
      </c>
    </row>
    <row r="7" spans="1:35"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v>116</v>
      </c>
      <c r="AB7" t="s">
        <v>2261</v>
      </c>
      <c r="AC7" t="s">
        <v>637</v>
      </c>
      <c r="AD7">
        <f>Q4b_116_Participation</f>
        <v>0</v>
      </c>
      <c r="AE7">
        <f>'4b'!F126</f>
        <v>0</v>
      </c>
      <c r="AF7">
        <f>'4b'!G126</f>
        <v>0</v>
      </c>
      <c r="AG7">
        <f>'4b'!H126</f>
        <v>0</v>
      </c>
      <c r="AH7">
        <f>'4b'!I126</f>
        <v>0</v>
      </c>
      <c r="AI7">
        <f>'4b'!J126</f>
        <v>0</v>
      </c>
    </row>
    <row r="8" spans="1:35"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v>117</v>
      </c>
      <c r="AB8" t="s">
        <v>2261</v>
      </c>
      <c r="AC8" t="s">
        <v>638</v>
      </c>
      <c r="AD8">
        <f>Q4b_117_Participation</f>
        <v>0</v>
      </c>
      <c r="AE8">
        <f>'4b'!F127</f>
        <v>0</v>
      </c>
      <c r="AF8">
        <f>'4b'!G127</f>
        <v>0</v>
      </c>
      <c r="AG8">
        <f>'4b'!H127</f>
        <v>0</v>
      </c>
      <c r="AH8">
        <f>'4b'!I127</f>
        <v>0</v>
      </c>
      <c r="AI8">
        <f>'4b'!J127</f>
        <v>0</v>
      </c>
    </row>
    <row r="9" spans="1:35"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v>118</v>
      </c>
      <c r="AB9" t="s">
        <v>2261</v>
      </c>
      <c r="AC9" t="s">
        <v>639</v>
      </c>
      <c r="AD9">
        <f>Q4b_118_Participation</f>
        <v>0</v>
      </c>
      <c r="AE9">
        <f>'4b'!F128</f>
        <v>0</v>
      </c>
      <c r="AF9">
        <f>'4b'!G128</f>
        <v>0</v>
      </c>
      <c r="AG9">
        <f>'4b'!H128</f>
        <v>0</v>
      </c>
      <c r="AH9">
        <f>'4b'!I128</f>
        <v>0</v>
      </c>
      <c r="AI9">
        <f>'4b'!J128</f>
        <v>0</v>
      </c>
    </row>
    <row r="10" spans="1:35"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v>119</v>
      </c>
      <c r="AB10" t="s">
        <v>2261</v>
      </c>
      <c r="AC10" t="s">
        <v>640</v>
      </c>
      <c r="AD10">
        <f>Q4b_119_Participation</f>
        <v>0</v>
      </c>
      <c r="AE10">
        <f>'4b'!F129</f>
        <v>0</v>
      </c>
      <c r="AF10">
        <f>'4b'!G129</f>
        <v>0</v>
      </c>
      <c r="AG10">
        <f>'4b'!H129</f>
        <v>0</v>
      </c>
      <c r="AH10">
        <f>'4b'!I129</f>
        <v>0</v>
      </c>
      <c r="AI10">
        <f>'4b'!J129</f>
        <v>0</v>
      </c>
    </row>
    <row r="11" spans="1:35"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v>120</v>
      </c>
      <c r="AB11" t="s">
        <v>2261</v>
      </c>
      <c r="AC11" t="s">
        <v>641</v>
      </c>
      <c r="AD11">
        <f>Q4b_120_Participation</f>
        <v>0</v>
      </c>
      <c r="AE11">
        <f>'4b'!F130</f>
        <v>0</v>
      </c>
      <c r="AF11">
        <f>'4b'!G130</f>
        <v>0</v>
      </c>
      <c r="AG11">
        <f>'4b'!H130</f>
        <v>0</v>
      </c>
      <c r="AH11">
        <f>'4b'!I130</f>
        <v>0</v>
      </c>
      <c r="AI11">
        <f>'4b'!J130</f>
        <v>0</v>
      </c>
    </row>
    <row r="12" spans="1:35"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v>121</v>
      </c>
      <c r="AB12" t="s">
        <v>2261</v>
      </c>
      <c r="AC12" t="s">
        <v>642</v>
      </c>
      <c r="AD12">
        <f>Q4b_121_Participation</f>
        <v>0</v>
      </c>
      <c r="AE12">
        <f>'4b'!F131</f>
        <v>0</v>
      </c>
      <c r="AF12">
        <f>'4b'!G131</f>
        <v>0</v>
      </c>
      <c r="AG12">
        <f>'4b'!H131</f>
        <v>0</v>
      </c>
      <c r="AH12">
        <f>'4b'!I131</f>
        <v>0</v>
      </c>
      <c r="AI12">
        <f>'4b'!J131</f>
        <v>0</v>
      </c>
    </row>
    <row r="13" spans="1:35"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v>122</v>
      </c>
      <c r="AB13" t="s">
        <v>2261</v>
      </c>
      <c r="AC13" t="s">
        <v>643</v>
      </c>
      <c r="AD13">
        <f>Q4b_122_Participation</f>
        <v>0</v>
      </c>
      <c r="AE13">
        <f>'4b'!F132</f>
        <v>0</v>
      </c>
      <c r="AF13">
        <f>'4b'!G132</f>
        <v>0</v>
      </c>
      <c r="AG13">
        <f>'4b'!H132</f>
        <v>0</v>
      </c>
      <c r="AH13">
        <f>'4b'!I132</f>
        <v>0</v>
      </c>
      <c r="AI13">
        <f>'4b'!J132</f>
        <v>0</v>
      </c>
    </row>
    <row r="14" spans="1:35"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v>123</v>
      </c>
      <c r="AB14" t="s">
        <v>2261</v>
      </c>
      <c r="AC14" t="s">
        <v>644</v>
      </c>
      <c r="AD14">
        <f>Q4b_123_Participation</f>
        <v>0</v>
      </c>
      <c r="AE14">
        <f>'4b'!F133</f>
        <v>0</v>
      </c>
      <c r="AF14">
        <f>'4b'!G133</f>
        <v>0</v>
      </c>
      <c r="AG14">
        <f>'4b'!H133</f>
        <v>0</v>
      </c>
      <c r="AH14">
        <f>'4b'!I133</f>
        <v>0</v>
      </c>
      <c r="AI14">
        <f>'4b'!J133</f>
        <v>0</v>
      </c>
    </row>
    <row r="15" spans="1:35"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v>124</v>
      </c>
      <c r="AB15" t="s">
        <v>2261</v>
      </c>
      <c r="AC15" t="s">
        <v>645</v>
      </c>
      <c r="AD15">
        <f>Q4b_124_Participation</f>
        <v>0</v>
      </c>
      <c r="AE15">
        <f>'4b'!F134</f>
        <v>0</v>
      </c>
      <c r="AF15">
        <f>'4b'!G134</f>
        <v>0</v>
      </c>
      <c r="AG15">
        <f>'4b'!H134</f>
        <v>0</v>
      </c>
      <c r="AH15">
        <f>'4b'!I134</f>
        <v>0</v>
      </c>
      <c r="AI15">
        <f>'4b'!J134</f>
        <v>0</v>
      </c>
    </row>
    <row r="16" spans="1:35"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v>125</v>
      </c>
      <c r="AB16" t="s">
        <v>2261</v>
      </c>
      <c r="AC16" t="s">
        <v>646</v>
      </c>
      <c r="AD16">
        <f>Q4b_125_Participation</f>
        <v>0</v>
      </c>
      <c r="AE16">
        <f>'4b'!F135</f>
        <v>0</v>
      </c>
      <c r="AF16">
        <f>'4b'!G135</f>
        <v>0</v>
      </c>
      <c r="AG16">
        <f>'4b'!H135</f>
        <v>0</v>
      </c>
      <c r="AH16">
        <f>'4b'!I135</f>
        <v>0</v>
      </c>
      <c r="AI16">
        <f>'4b'!J135</f>
        <v>0</v>
      </c>
    </row>
    <row r="17" spans="1:35"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v>126</v>
      </c>
      <c r="AB17" t="s">
        <v>2261</v>
      </c>
      <c r="AC17" t="s">
        <v>647</v>
      </c>
      <c r="AD17">
        <f>Q4b_126_Participation</f>
        <v>0</v>
      </c>
      <c r="AE17">
        <f>'4b'!F136</f>
        <v>0</v>
      </c>
      <c r="AF17">
        <f>'4b'!G136</f>
        <v>0</v>
      </c>
      <c r="AG17">
        <f>'4b'!H136</f>
        <v>0</v>
      </c>
      <c r="AH17">
        <f>'4b'!I136</f>
        <v>0</v>
      </c>
      <c r="AI17">
        <f>'4b'!J136</f>
        <v>0</v>
      </c>
    </row>
    <row r="18" spans="1:35"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v>127</v>
      </c>
      <c r="AB18" t="s">
        <v>2261</v>
      </c>
      <c r="AC18" t="s">
        <v>648</v>
      </c>
      <c r="AD18">
        <f>Q4b_127_Participation</f>
        <v>0</v>
      </c>
      <c r="AE18">
        <f>'4b'!F137</f>
        <v>0</v>
      </c>
      <c r="AF18">
        <f>'4b'!G137</f>
        <v>0</v>
      </c>
      <c r="AG18">
        <f>'4b'!H137</f>
        <v>0</v>
      </c>
      <c r="AH18">
        <f>'4b'!I137</f>
        <v>0</v>
      </c>
      <c r="AI18">
        <f>'4b'!J137</f>
        <v>0</v>
      </c>
    </row>
    <row r="19" spans="1:35"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v>128</v>
      </c>
      <c r="AB19" t="s">
        <v>2261</v>
      </c>
      <c r="AC19" t="s">
        <v>649</v>
      </c>
      <c r="AD19">
        <f>Q4b_128_Participation</f>
        <v>0</v>
      </c>
      <c r="AE19">
        <f>'4b'!F138</f>
        <v>0</v>
      </c>
      <c r="AF19">
        <f>'4b'!G138</f>
        <v>0</v>
      </c>
      <c r="AG19">
        <f>'4b'!H138</f>
        <v>0</v>
      </c>
      <c r="AH19">
        <f>'4b'!I138</f>
        <v>0</v>
      </c>
      <c r="AI19">
        <f>'4b'!J138</f>
        <v>0</v>
      </c>
    </row>
    <row r="20" spans="1:35"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v>129</v>
      </c>
      <c r="AB20" t="s">
        <v>2261</v>
      </c>
      <c r="AC20" t="s">
        <v>650</v>
      </c>
      <c r="AD20">
        <f>Q4b_129_Participation</f>
        <v>0</v>
      </c>
      <c r="AE20">
        <f>'4b'!F139</f>
        <v>0</v>
      </c>
      <c r="AF20">
        <f>'4b'!G139</f>
        <v>0</v>
      </c>
      <c r="AG20">
        <f>'4b'!H139</f>
        <v>0</v>
      </c>
      <c r="AH20">
        <f>'4b'!I139</f>
        <v>0</v>
      </c>
      <c r="AI20">
        <f>'4b'!J139</f>
        <v>0</v>
      </c>
    </row>
    <row r="21" spans="1:35"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v>130</v>
      </c>
      <c r="AB21" t="s">
        <v>2261</v>
      </c>
      <c r="AC21" t="s">
        <v>651</v>
      </c>
      <c r="AD21">
        <f>Q4b_130_Participation</f>
        <v>0</v>
      </c>
      <c r="AE21">
        <f>'4b'!F140</f>
        <v>0</v>
      </c>
      <c r="AF21">
        <f>'4b'!G140</f>
        <v>0</v>
      </c>
      <c r="AG21">
        <f>'4b'!H140</f>
        <v>0</v>
      </c>
      <c r="AH21">
        <f>'4b'!I140</f>
        <v>0</v>
      </c>
      <c r="AI21">
        <f>'4b'!J140</f>
        <v>0</v>
      </c>
    </row>
    <row r="22" spans="1:35"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v>131</v>
      </c>
      <c r="AB22" t="s">
        <v>2261</v>
      </c>
      <c r="AC22" t="s">
        <v>652</v>
      </c>
      <c r="AD22">
        <f>Q4b_131_Participation</f>
        <v>0</v>
      </c>
      <c r="AE22">
        <f>'4b'!F141</f>
        <v>0</v>
      </c>
      <c r="AF22">
        <f>'4b'!G141</f>
        <v>0</v>
      </c>
      <c r="AG22">
        <f>'4b'!H141</f>
        <v>0</v>
      </c>
      <c r="AH22">
        <f>'4b'!I141</f>
        <v>0</v>
      </c>
      <c r="AI22">
        <f>'4b'!J141</f>
        <v>0</v>
      </c>
    </row>
    <row r="23" spans="1:35"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v>132</v>
      </c>
      <c r="AB23" t="s">
        <v>2261</v>
      </c>
      <c r="AC23" t="s">
        <v>653</v>
      </c>
      <c r="AD23">
        <f>Q4b_132_Participation</f>
        <v>0</v>
      </c>
      <c r="AE23">
        <f>'4b'!F142</f>
        <v>0</v>
      </c>
      <c r="AF23">
        <f>'4b'!G142</f>
        <v>0</v>
      </c>
      <c r="AG23">
        <f>'4b'!H142</f>
        <v>0</v>
      </c>
      <c r="AH23">
        <f>'4b'!I142</f>
        <v>0</v>
      </c>
      <c r="AI23">
        <f>'4b'!J142</f>
        <v>0</v>
      </c>
    </row>
    <row r="24" spans="1:35"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v>133</v>
      </c>
      <c r="AB24" t="s">
        <v>2261</v>
      </c>
      <c r="AC24" t="s">
        <v>654</v>
      </c>
      <c r="AD24">
        <f>Q4b_133_Participation</f>
        <v>0</v>
      </c>
      <c r="AE24">
        <f>'4b'!F143</f>
        <v>0</v>
      </c>
      <c r="AF24">
        <f>'4b'!G143</f>
        <v>0</v>
      </c>
      <c r="AG24">
        <f>'4b'!H143</f>
        <v>0</v>
      </c>
      <c r="AH24">
        <f>'4b'!I143</f>
        <v>0</v>
      </c>
      <c r="AI24">
        <f>'4b'!J143</f>
        <v>0</v>
      </c>
    </row>
    <row r="25" spans="1:35"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v>134</v>
      </c>
      <c r="AB25" t="s">
        <v>2261</v>
      </c>
      <c r="AC25" t="s">
        <v>655</v>
      </c>
      <c r="AD25">
        <f>Q4b_134_Participation</f>
        <v>0</v>
      </c>
      <c r="AE25">
        <f>'4b'!F144</f>
        <v>0</v>
      </c>
      <c r="AF25">
        <f>'4b'!G144</f>
        <v>0</v>
      </c>
      <c r="AG25">
        <f>'4b'!H144</f>
        <v>0</v>
      </c>
      <c r="AH25">
        <f>'4b'!I144</f>
        <v>0</v>
      </c>
      <c r="AI25">
        <f>'4b'!J144</f>
        <v>0</v>
      </c>
    </row>
    <row r="26" spans="1:35"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v>135</v>
      </c>
      <c r="AB26" t="s">
        <v>2261</v>
      </c>
      <c r="AC26" t="s">
        <v>656</v>
      </c>
      <c r="AD26">
        <f>Q4b_135_Participation</f>
        <v>0</v>
      </c>
      <c r="AE26">
        <f>'4b'!F145</f>
        <v>0</v>
      </c>
      <c r="AF26">
        <f>'4b'!G145</f>
        <v>0</v>
      </c>
      <c r="AG26">
        <f>'4b'!H145</f>
        <v>0</v>
      </c>
      <c r="AH26">
        <f>'4b'!I145</f>
        <v>0</v>
      </c>
      <c r="AI26">
        <f>'4b'!J145</f>
        <v>0</v>
      </c>
    </row>
    <row r="27" spans="1:35"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v>136</v>
      </c>
      <c r="AB27" t="s">
        <v>2261</v>
      </c>
      <c r="AC27" t="s">
        <v>657</v>
      </c>
      <c r="AD27">
        <f>Q4b_136_Participation</f>
        <v>0</v>
      </c>
      <c r="AE27">
        <f>'4b'!F146</f>
        <v>0</v>
      </c>
      <c r="AF27">
        <f>'4b'!G146</f>
        <v>0</v>
      </c>
      <c r="AG27">
        <f>'4b'!H146</f>
        <v>0</v>
      </c>
      <c r="AH27">
        <f>'4b'!I146</f>
        <v>0</v>
      </c>
      <c r="AI27">
        <f>'4b'!J146</f>
        <v>0</v>
      </c>
    </row>
    <row r="28" spans="1:35"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v>137</v>
      </c>
      <c r="AB28" t="s">
        <v>2261</v>
      </c>
      <c r="AC28" t="s">
        <v>658</v>
      </c>
      <c r="AD28">
        <f>Q4b_137_Participation</f>
        <v>0</v>
      </c>
      <c r="AE28">
        <f>'4b'!F147</f>
        <v>0</v>
      </c>
      <c r="AF28">
        <f>'4b'!G147</f>
        <v>0</v>
      </c>
      <c r="AG28">
        <f>'4b'!H147</f>
        <v>0</v>
      </c>
      <c r="AH28">
        <f>'4b'!I147</f>
        <v>0</v>
      </c>
      <c r="AI28">
        <f>'4b'!J147</f>
        <v>0</v>
      </c>
    </row>
    <row r="29" spans="1:35"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v>138</v>
      </c>
      <c r="AB29" t="s">
        <v>2261</v>
      </c>
      <c r="AC29" t="s">
        <v>659</v>
      </c>
      <c r="AD29">
        <f>Q4b_138_Participation</f>
        <v>0</v>
      </c>
      <c r="AE29">
        <f>'4b'!F148</f>
        <v>0</v>
      </c>
      <c r="AF29">
        <f>'4b'!G148</f>
        <v>0</v>
      </c>
      <c r="AG29">
        <f>'4b'!H148</f>
        <v>0</v>
      </c>
      <c r="AH29">
        <f>'4b'!I148</f>
        <v>0</v>
      </c>
      <c r="AI29">
        <f>'4b'!J148</f>
        <v>0</v>
      </c>
    </row>
    <row r="30" spans="1:35"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v>139</v>
      </c>
      <c r="AB30" t="s">
        <v>2261</v>
      </c>
      <c r="AC30" t="s">
        <v>660</v>
      </c>
      <c r="AD30">
        <f>Q4b_139_Participation</f>
        <v>0</v>
      </c>
      <c r="AE30">
        <f>'4b'!F149</f>
        <v>0</v>
      </c>
      <c r="AF30">
        <f>'4b'!G149</f>
        <v>0</v>
      </c>
      <c r="AG30">
        <f>'4b'!H149</f>
        <v>0</v>
      </c>
      <c r="AH30">
        <f>'4b'!I149</f>
        <v>0</v>
      </c>
      <c r="AI30">
        <f>'4b'!J149</f>
        <v>0</v>
      </c>
    </row>
    <row r="31" spans="1:35"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v>140</v>
      </c>
      <c r="AB31" t="s">
        <v>2261</v>
      </c>
      <c r="AC31" t="s">
        <v>661</v>
      </c>
      <c r="AD31">
        <f>Q4b_140_Participation</f>
        <v>0</v>
      </c>
      <c r="AE31">
        <f>'4b'!F150</f>
        <v>0</v>
      </c>
      <c r="AF31">
        <f>'4b'!G150</f>
        <v>0</v>
      </c>
      <c r="AG31">
        <f>'4b'!H150</f>
        <v>0</v>
      </c>
      <c r="AH31">
        <f>'4b'!I150</f>
        <v>0</v>
      </c>
      <c r="AI31">
        <f>'4b'!J150</f>
        <v>0</v>
      </c>
    </row>
    <row r="32" spans="1:35"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v>141</v>
      </c>
      <c r="AB32" t="s">
        <v>2261</v>
      </c>
      <c r="AC32" t="s">
        <v>662</v>
      </c>
      <c r="AD32">
        <f>Q4b_141_Participation</f>
        <v>0</v>
      </c>
      <c r="AE32">
        <f>'4b'!F151</f>
        <v>0</v>
      </c>
      <c r="AF32">
        <f>'4b'!G151</f>
        <v>0</v>
      </c>
      <c r="AG32">
        <f>'4b'!H151</f>
        <v>0</v>
      </c>
      <c r="AH32">
        <f>'4b'!I151</f>
        <v>0</v>
      </c>
      <c r="AI32">
        <f>'4b'!J151</f>
        <v>0</v>
      </c>
    </row>
    <row r="33" spans="1:35"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v>142</v>
      </c>
      <c r="AB33" t="s">
        <v>2261</v>
      </c>
      <c r="AC33" t="s">
        <v>663</v>
      </c>
      <c r="AD33">
        <f>Q4b_142_Participation</f>
        <v>0</v>
      </c>
      <c r="AE33">
        <f>'4b'!F152</f>
        <v>0</v>
      </c>
      <c r="AF33">
        <f>'4b'!G152</f>
        <v>0</v>
      </c>
      <c r="AG33">
        <f>'4b'!H152</f>
        <v>0</v>
      </c>
      <c r="AH33">
        <f>'4b'!I152</f>
        <v>0</v>
      </c>
      <c r="AI33">
        <f>'4b'!J152</f>
        <v>0</v>
      </c>
    </row>
    <row r="34" spans="1:35" x14ac:dyDescent="0.25">
      <c r="A34">
        <f t="shared" si="0"/>
        <v>0</v>
      </c>
      <c r="B34">
        <f t="shared" si="1"/>
        <v>0</v>
      </c>
      <c r="C34">
        <f t="shared" si="2"/>
        <v>0</v>
      </c>
      <c r="D34">
        <f t="shared" si="3"/>
        <v>0</v>
      </c>
      <c r="E34">
        <f t="shared" si="4"/>
        <v>0</v>
      </c>
      <c r="F34">
        <f>'D-RepLevel'!$F$2</f>
        <v>0</v>
      </c>
      <c r="G34">
        <f>'D-RepLevel'!$G$2</f>
        <v>0</v>
      </c>
      <c r="H34">
        <f t="shared" si="5"/>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si="6"/>
        <v>0</v>
      </c>
      <c r="M34">
        <f t="shared" si="7"/>
        <v>0</v>
      </c>
      <c r="N34">
        <f t="shared" si="8"/>
        <v>0</v>
      </c>
      <c r="O34">
        <f t="shared" si="9"/>
        <v>2015</v>
      </c>
      <c r="P34">
        <f t="shared" si="10"/>
        <v>0</v>
      </c>
      <c r="Q34">
        <f t="shared" si="11"/>
        <v>0</v>
      </c>
      <c r="R34">
        <f t="shared" si="12"/>
        <v>0</v>
      </c>
      <c r="S34">
        <f t="shared" si="13"/>
        <v>0</v>
      </c>
      <c r="T34">
        <f>COUNTIF('9a'!$K$22:$K$32, "Yes")+COUNTIF('9a'!$O$22:$O$32, "Yes")</f>
        <v>0</v>
      </c>
      <c r="U34" t="str">
        <f t="shared" si="14"/>
        <v>No Expenditures</v>
      </c>
      <c r="V34" t="str">
        <f t="shared" si="15"/>
        <v>No Expenditures</v>
      </c>
      <c r="W34">
        <f t="shared" si="16"/>
        <v>0</v>
      </c>
      <c r="X34" t="str">
        <f>'D-Risk'!$AO$25</f>
        <v>Insufficient Data</v>
      </c>
      <c r="Y34" t="str">
        <f>'D-Risk'!$AO$26</f>
        <v>Insufficient Data</v>
      </c>
      <c r="Z34" t="str">
        <f>'D-Risk'!$AO$27</f>
        <v>Uncalculated</v>
      </c>
      <c r="AA34">
        <v>143</v>
      </c>
      <c r="AB34" t="s">
        <v>2261</v>
      </c>
      <c r="AC34" t="s">
        <v>664</v>
      </c>
      <c r="AD34">
        <f>Q4b_143_Participation</f>
        <v>0</v>
      </c>
      <c r="AE34">
        <f>'4b'!F153</f>
        <v>0</v>
      </c>
      <c r="AF34">
        <f>'4b'!G153</f>
        <v>0</v>
      </c>
      <c r="AG34">
        <f>'4b'!H153</f>
        <v>0</v>
      </c>
      <c r="AH34">
        <f>'4b'!I153</f>
        <v>0</v>
      </c>
      <c r="AI34">
        <f>'4b'!J153</f>
        <v>0</v>
      </c>
    </row>
    <row r="35" spans="1:35" x14ac:dyDescent="0.25">
      <c r="A35">
        <f t="shared" si="0"/>
        <v>0</v>
      </c>
      <c r="B35">
        <f t="shared" si="1"/>
        <v>0</v>
      </c>
      <c r="C35">
        <f t="shared" si="2"/>
        <v>0</v>
      </c>
      <c r="D35">
        <f t="shared" si="3"/>
        <v>0</v>
      </c>
      <c r="E35">
        <f t="shared" si="4"/>
        <v>0</v>
      </c>
      <c r="F35">
        <f>'D-RepLevel'!$F$2</f>
        <v>0</v>
      </c>
      <c r="G35">
        <f>'D-RepLevel'!$G$2</f>
        <v>0</v>
      </c>
      <c r="H35">
        <f t="shared" si="5"/>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6"/>
        <v>0</v>
      </c>
      <c r="M35">
        <f t="shared" si="7"/>
        <v>0</v>
      </c>
      <c r="N35">
        <f t="shared" si="8"/>
        <v>0</v>
      </c>
      <c r="O35">
        <f t="shared" si="9"/>
        <v>2015</v>
      </c>
      <c r="P35">
        <f t="shared" si="10"/>
        <v>0</v>
      </c>
      <c r="Q35">
        <f t="shared" si="11"/>
        <v>0</v>
      </c>
      <c r="R35">
        <f t="shared" si="12"/>
        <v>0</v>
      </c>
      <c r="S35">
        <f t="shared" si="13"/>
        <v>0</v>
      </c>
      <c r="T35">
        <f>COUNTIF('9a'!$K$22:$K$32, "Yes")+COUNTIF('9a'!$O$22:$O$32, "Yes")</f>
        <v>0</v>
      </c>
      <c r="U35" t="str">
        <f t="shared" si="14"/>
        <v>No Expenditures</v>
      </c>
      <c r="V35" t="str">
        <f t="shared" si="15"/>
        <v>No Expenditures</v>
      </c>
      <c r="W35">
        <f t="shared" si="16"/>
        <v>0</v>
      </c>
      <c r="X35" t="str">
        <f>'D-Risk'!$AO$25</f>
        <v>Insufficient Data</v>
      </c>
      <c r="Y35" t="str">
        <f>'D-Risk'!$AO$26</f>
        <v>Insufficient Data</v>
      </c>
      <c r="Z35" t="str">
        <f>'D-Risk'!$AO$27</f>
        <v>Uncalculated</v>
      </c>
      <c r="AA35">
        <v>144</v>
      </c>
      <c r="AB35" t="s">
        <v>2261</v>
      </c>
      <c r="AC35" t="s">
        <v>665</v>
      </c>
      <c r="AD35">
        <f>Q4b_144_Participation</f>
        <v>0</v>
      </c>
      <c r="AE35">
        <f>'4b'!F154</f>
        <v>0</v>
      </c>
      <c r="AF35">
        <f>'4b'!G154</f>
        <v>0</v>
      </c>
      <c r="AG35">
        <f>'4b'!H154</f>
        <v>0</v>
      </c>
      <c r="AH35">
        <f>'4b'!I154</f>
        <v>0</v>
      </c>
      <c r="AI35">
        <f>'4b'!J154</f>
        <v>0</v>
      </c>
    </row>
    <row r="36" spans="1:35" x14ac:dyDescent="0.25">
      <c r="A36">
        <f t="shared" si="0"/>
        <v>0</v>
      </c>
      <c r="B36">
        <f t="shared" si="1"/>
        <v>0</v>
      </c>
      <c r="C36">
        <f t="shared" si="2"/>
        <v>0</v>
      </c>
      <c r="D36">
        <f t="shared" si="3"/>
        <v>0</v>
      </c>
      <c r="E36">
        <f t="shared" si="4"/>
        <v>0</v>
      </c>
      <c r="F36">
        <f>'D-RepLevel'!$F$2</f>
        <v>0</v>
      </c>
      <c r="G36">
        <f>'D-RepLevel'!$G$2</f>
        <v>0</v>
      </c>
      <c r="H36">
        <f t="shared" si="5"/>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6"/>
        <v>0</v>
      </c>
      <c r="M36">
        <f t="shared" si="7"/>
        <v>0</v>
      </c>
      <c r="N36">
        <f t="shared" si="8"/>
        <v>0</v>
      </c>
      <c r="O36">
        <f t="shared" si="9"/>
        <v>2015</v>
      </c>
      <c r="P36">
        <f t="shared" si="10"/>
        <v>0</v>
      </c>
      <c r="Q36">
        <f t="shared" si="11"/>
        <v>0</v>
      </c>
      <c r="R36">
        <f t="shared" si="12"/>
        <v>0</v>
      </c>
      <c r="S36">
        <f t="shared" si="13"/>
        <v>0</v>
      </c>
      <c r="T36">
        <f>COUNTIF('9a'!$K$22:$K$32, "Yes")+COUNTIF('9a'!$O$22:$O$32, "Yes")</f>
        <v>0</v>
      </c>
      <c r="U36" t="str">
        <f t="shared" si="14"/>
        <v>No Expenditures</v>
      </c>
      <c r="V36" t="str">
        <f t="shared" si="15"/>
        <v>No Expenditures</v>
      </c>
      <c r="W36">
        <f t="shared" si="16"/>
        <v>0</v>
      </c>
      <c r="X36" t="str">
        <f>'D-Risk'!$AO$25</f>
        <v>Insufficient Data</v>
      </c>
      <c r="Y36" t="str">
        <f>'D-Risk'!$AO$26</f>
        <v>Insufficient Data</v>
      </c>
      <c r="Z36" t="str">
        <f>'D-Risk'!$AO$27</f>
        <v>Uncalculated</v>
      </c>
      <c r="AA36">
        <v>145</v>
      </c>
      <c r="AB36" t="s">
        <v>2261</v>
      </c>
      <c r="AC36" t="s">
        <v>666</v>
      </c>
      <c r="AD36">
        <f>Q4b_145_Participation</f>
        <v>0</v>
      </c>
      <c r="AE36">
        <f>'4b'!F155</f>
        <v>0</v>
      </c>
      <c r="AF36">
        <f>'4b'!G155</f>
        <v>0</v>
      </c>
      <c r="AG36">
        <f>'4b'!H155</f>
        <v>0</v>
      </c>
      <c r="AH36">
        <f>'4b'!I155</f>
        <v>0</v>
      </c>
      <c r="AI36">
        <f>'4b'!J155</f>
        <v>0</v>
      </c>
    </row>
    <row r="37" spans="1:35" x14ac:dyDescent="0.25">
      <c r="A37">
        <f t="shared" si="0"/>
        <v>0</v>
      </c>
      <c r="B37">
        <f t="shared" si="1"/>
        <v>0</v>
      </c>
      <c r="C37">
        <f t="shared" si="2"/>
        <v>0</v>
      </c>
      <c r="D37">
        <f t="shared" si="3"/>
        <v>0</v>
      </c>
      <c r="E37">
        <f t="shared" si="4"/>
        <v>0</v>
      </c>
      <c r="F37">
        <f>'D-RepLevel'!$F$2</f>
        <v>0</v>
      </c>
      <c r="G37">
        <f>'D-RepLevel'!$G$2</f>
        <v>0</v>
      </c>
      <c r="H37">
        <f t="shared" si="5"/>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6"/>
        <v>0</v>
      </c>
      <c r="M37">
        <f t="shared" si="7"/>
        <v>0</v>
      </c>
      <c r="N37">
        <f t="shared" si="8"/>
        <v>0</v>
      </c>
      <c r="O37">
        <f t="shared" si="9"/>
        <v>2015</v>
      </c>
      <c r="P37">
        <f t="shared" si="10"/>
        <v>0</v>
      </c>
      <c r="Q37">
        <f t="shared" si="11"/>
        <v>0</v>
      </c>
      <c r="R37">
        <f t="shared" si="12"/>
        <v>0</v>
      </c>
      <c r="S37">
        <f t="shared" si="13"/>
        <v>0</v>
      </c>
      <c r="T37">
        <f>COUNTIF('9a'!$K$22:$K$32, "Yes")+COUNTIF('9a'!$O$22:$O$32, "Yes")</f>
        <v>0</v>
      </c>
      <c r="U37" t="str">
        <f t="shared" si="14"/>
        <v>No Expenditures</v>
      </c>
      <c r="V37" t="str">
        <f t="shared" si="15"/>
        <v>No Expenditures</v>
      </c>
      <c r="W37">
        <f t="shared" si="16"/>
        <v>0</v>
      </c>
      <c r="X37" t="str">
        <f>'D-Risk'!$AO$25</f>
        <v>Insufficient Data</v>
      </c>
      <c r="Y37" t="str">
        <f>'D-Risk'!$AO$26</f>
        <v>Insufficient Data</v>
      </c>
      <c r="Z37" t="str">
        <f>'D-Risk'!$AO$27</f>
        <v>Uncalculated</v>
      </c>
      <c r="AA37">
        <v>146</v>
      </c>
      <c r="AB37" t="s">
        <v>2261</v>
      </c>
      <c r="AC37" t="s">
        <v>667</v>
      </c>
      <c r="AD37">
        <f>Q4b_146_Participation</f>
        <v>0</v>
      </c>
      <c r="AE37">
        <f>'4b'!F156</f>
        <v>0</v>
      </c>
      <c r="AF37">
        <f>'4b'!G156</f>
        <v>0</v>
      </c>
      <c r="AG37">
        <f>'4b'!H156</f>
        <v>0</v>
      </c>
      <c r="AH37">
        <f>'4b'!I156</f>
        <v>0</v>
      </c>
      <c r="AI37">
        <f>'4b'!J156</f>
        <v>0</v>
      </c>
    </row>
    <row r="38" spans="1:35" x14ac:dyDescent="0.25">
      <c r="A38">
        <f t="shared" si="0"/>
        <v>0</v>
      </c>
      <c r="B38">
        <f t="shared" si="1"/>
        <v>0</v>
      </c>
      <c r="C38">
        <f t="shared" si="2"/>
        <v>0</v>
      </c>
      <c r="D38">
        <f t="shared" si="3"/>
        <v>0</v>
      </c>
      <c r="E38">
        <f t="shared" si="4"/>
        <v>0</v>
      </c>
      <c r="F38">
        <f>'D-RepLevel'!$F$2</f>
        <v>0</v>
      </c>
      <c r="G38">
        <f>'D-RepLevel'!$G$2</f>
        <v>0</v>
      </c>
      <c r="H38">
        <f t="shared" si="5"/>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6"/>
        <v>0</v>
      </c>
      <c r="M38">
        <f t="shared" si="7"/>
        <v>0</v>
      </c>
      <c r="N38">
        <f t="shared" si="8"/>
        <v>0</v>
      </c>
      <c r="O38">
        <f t="shared" si="9"/>
        <v>2015</v>
      </c>
      <c r="P38">
        <f t="shared" si="10"/>
        <v>0</v>
      </c>
      <c r="Q38">
        <f t="shared" si="11"/>
        <v>0</v>
      </c>
      <c r="R38">
        <f t="shared" si="12"/>
        <v>0</v>
      </c>
      <c r="S38">
        <f t="shared" si="13"/>
        <v>0</v>
      </c>
      <c r="T38">
        <f>COUNTIF('9a'!$K$22:$K$32, "Yes")+COUNTIF('9a'!$O$22:$O$32, "Yes")</f>
        <v>0</v>
      </c>
      <c r="U38" t="str">
        <f t="shared" si="14"/>
        <v>No Expenditures</v>
      </c>
      <c r="V38" t="str">
        <f t="shared" si="15"/>
        <v>No Expenditures</v>
      </c>
      <c r="W38">
        <f t="shared" si="16"/>
        <v>0</v>
      </c>
      <c r="X38" t="str">
        <f>'D-Risk'!$AO$25</f>
        <v>Insufficient Data</v>
      </c>
      <c r="Y38" t="str">
        <f>'D-Risk'!$AO$26</f>
        <v>Insufficient Data</v>
      </c>
      <c r="Z38" t="str">
        <f>'D-Risk'!$AO$27</f>
        <v>Uncalculated</v>
      </c>
      <c r="AA38">
        <v>147</v>
      </c>
      <c r="AB38" t="s">
        <v>2261</v>
      </c>
      <c r="AC38" t="s">
        <v>668</v>
      </c>
      <c r="AD38">
        <f>Q4b_147_Participation</f>
        <v>0</v>
      </c>
      <c r="AE38">
        <f>'4b'!F157</f>
        <v>0</v>
      </c>
      <c r="AF38">
        <f>'4b'!G157</f>
        <v>0</v>
      </c>
      <c r="AG38">
        <f>'4b'!H157</f>
        <v>0</v>
      </c>
      <c r="AH38">
        <f>'4b'!I157</f>
        <v>0</v>
      </c>
      <c r="AI38">
        <f>'4b'!J157</f>
        <v>0</v>
      </c>
    </row>
    <row r="39" spans="1:35" x14ac:dyDescent="0.25">
      <c r="A39">
        <f t="shared" si="0"/>
        <v>0</v>
      </c>
      <c r="B39">
        <f t="shared" si="1"/>
        <v>0</v>
      </c>
      <c r="C39">
        <f t="shared" si="2"/>
        <v>0</v>
      </c>
      <c r="D39">
        <f t="shared" si="3"/>
        <v>0</v>
      </c>
      <c r="E39">
        <f t="shared" si="4"/>
        <v>0</v>
      </c>
      <c r="F39">
        <f>'D-RepLevel'!$F$2</f>
        <v>0</v>
      </c>
      <c r="G39">
        <f>'D-RepLevel'!$G$2</f>
        <v>0</v>
      </c>
      <c r="H39">
        <f t="shared" si="5"/>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6"/>
        <v>0</v>
      </c>
      <c r="M39">
        <f t="shared" si="7"/>
        <v>0</v>
      </c>
      <c r="N39">
        <f t="shared" si="8"/>
        <v>0</v>
      </c>
      <c r="O39">
        <f t="shared" si="9"/>
        <v>2015</v>
      </c>
      <c r="P39">
        <f t="shared" si="10"/>
        <v>0</v>
      </c>
      <c r="Q39">
        <f t="shared" si="11"/>
        <v>0</v>
      </c>
      <c r="R39">
        <f t="shared" si="12"/>
        <v>0</v>
      </c>
      <c r="S39">
        <f t="shared" si="13"/>
        <v>0</v>
      </c>
      <c r="T39">
        <f>COUNTIF('9a'!$K$22:$K$32, "Yes")+COUNTIF('9a'!$O$22:$O$32, "Yes")</f>
        <v>0</v>
      </c>
      <c r="U39" t="str">
        <f t="shared" si="14"/>
        <v>No Expenditures</v>
      </c>
      <c r="V39" t="str">
        <f t="shared" si="15"/>
        <v>No Expenditures</v>
      </c>
      <c r="W39">
        <f t="shared" si="16"/>
        <v>0</v>
      </c>
      <c r="X39" t="str">
        <f>'D-Risk'!$AO$25</f>
        <v>Insufficient Data</v>
      </c>
      <c r="Y39" t="str">
        <f>'D-Risk'!$AO$26</f>
        <v>Insufficient Data</v>
      </c>
      <c r="Z39" t="str">
        <f>'D-Risk'!$AO$27</f>
        <v>Uncalculated</v>
      </c>
      <c r="AA39">
        <v>148</v>
      </c>
      <c r="AB39" t="s">
        <v>2261</v>
      </c>
      <c r="AC39" t="s">
        <v>669</v>
      </c>
      <c r="AD39">
        <f>Q4b_148_Participation</f>
        <v>0</v>
      </c>
      <c r="AE39">
        <f>'4b'!F158</f>
        <v>0</v>
      </c>
      <c r="AF39">
        <f>'4b'!G158</f>
        <v>0</v>
      </c>
      <c r="AG39">
        <f>'4b'!H158</f>
        <v>0</v>
      </c>
      <c r="AH39">
        <f>'4b'!I158</f>
        <v>0</v>
      </c>
      <c r="AI39">
        <f>'4b'!J158</f>
        <v>0</v>
      </c>
    </row>
    <row r="40" spans="1:35" x14ac:dyDescent="0.25">
      <c r="A40">
        <f t="shared" si="0"/>
        <v>0</v>
      </c>
      <c r="B40">
        <f t="shared" si="1"/>
        <v>0</v>
      </c>
      <c r="C40">
        <f t="shared" si="2"/>
        <v>0</v>
      </c>
      <c r="D40">
        <f t="shared" si="3"/>
        <v>0</v>
      </c>
      <c r="E40">
        <f t="shared" si="4"/>
        <v>0</v>
      </c>
      <c r="F40">
        <f>'D-RepLevel'!$F$2</f>
        <v>0</v>
      </c>
      <c r="G40">
        <f>'D-RepLevel'!$G$2</f>
        <v>0</v>
      </c>
      <c r="H40">
        <f t="shared" si="5"/>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6"/>
        <v>0</v>
      </c>
      <c r="M40">
        <f t="shared" si="7"/>
        <v>0</v>
      </c>
      <c r="N40">
        <f t="shared" si="8"/>
        <v>0</v>
      </c>
      <c r="O40">
        <f t="shared" si="9"/>
        <v>2015</v>
      </c>
      <c r="P40">
        <f t="shared" si="10"/>
        <v>0</v>
      </c>
      <c r="Q40">
        <f t="shared" si="11"/>
        <v>0</v>
      </c>
      <c r="R40">
        <f t="shared" si="12"/>
        <v>0</v>
      </c>
      <c r="S40">
        <f t="shared" si="13"/>
        <v>0</v>
      </c>
      <c r="T40">
        <f>COUNTIF('9a'!$K$22:$K$32, "Yes")+COUNTIF('9a'!$O$22:$O$32, "Yes")</f>
        <v>0</v>
      </c>
      <c r="U40" t="str">
        <f t="shared" si="14"/>
        <v>No Expenditures</v>
      </c>
      <c r="V40" t="str">
        <f t="shared" si="15"/>
        <v>No Expenditures</v>
      </c>
      <c r="W40">
        <f t="shared" si="16"/>
        <v>0</v>
      </c>
      <c r="X40" t="str">
        <f>'D-Risk'!$AO$25</f>
        <v>Insufficient Data</v>
      </c>
      <c r="Y40" t="str">
        <f>'D-Risk'!$AO$26</f>
        <v>Insufficient Data</v>
      </c>
      <c r="Z40" t="str">
        <f>'D-Risk'!$AO$27</f>
        <v>Uncalculated</v>
      </c>
      <c r="AA40">
        <v>149</v>
      </c>
      <c r="AB40" t="s">
        <v>2261</v>
      </c>
      <c r="AC40" t="s">
        <v>670</v>
      </c>
      <c r="AD40">
        <f>Q4b_149_Participation</f>
        <v>0</v>
      </c>
      <c r="AE40">
        <f>'4b'!F159</f>
        <v>0</v>
      </c>
      <c r="AF40">
        <f>'4b'!G159</f>
        <v>0</v>
      </c>
      <c r="AG40">
        <f>'4b'!H159</f>
        <v>0</v>
      </c>
      <c r="AH40">
        <f>'4b'!I159</f>
        <v>0</v>
      </c>
      <c r="AI40">
        <f>'4b'!J159</f>
        <v>0</v>
      </c>
    </row>
    <row r="41" spans="1:35" x14ac:dyDescent="0.25">
      <c r="A41">
        <f t="shared" si="0"/>
        <v>0</v>
      </c>
      <c r="B41">
        <f t="shared" si="1"/>
        <v>0</v>
      </c>
      <c r="C41">
        <f t="shared" si="2"/>
        <v>0</v>
      </c>
      <c r="D41">
        <f t="shared" si="3"/>
        <v>0</v>
      </c>
      <c r="E41">
        <f t="shared" si="4"/>
        <v>0</v>
      </c>
      <c r="F41">
        <f>'D-RepLevel'!$F$2</f>
        <v>0</v>
      </c>
      <c r="G41">
        <f>'D-RepLevel'!$G$2</f>
        <v>0</v>
      </c>
      <c r="H41">
        <f t="shared" si="5"/>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6"/>
        <v>0</v>
      </c>
      <c r="M41">
        <f t="shared" si="7"/>
        <v>0</v>
      </c>
      <c r="N41">
        <f t="shared" si="8"/>
        <v>0</v>
      </c>
      <c r="O41">
        <f t="shared" si="9"/>
        <v>2015</v>
      </c>
      <c r="P41">
        <f t="shared" si="10"/>
        <v>0</v>
      </c>
      <c r="Q41">
        <f t="shared" si="11"/>
        <v>0</v>
      </c>
      <c r="R41">
        <f t="shared" si="12"/>
        <v>0</v>
      </c>
      <c r="S41">
        <f t="shared" si="13"/>
        <v>0</v>
      </c>
      <c r="T41">
        <f>COUNTIF('9a'!$K$22:$K$32, "Yes")+COUNTIF('9a'!$O$22:$O$32, "Yes")</f>
        <v>0</v>
      </c>
      <c r="U41" t="str">
        <f t="shared" si="14"/>
        <v>No Expenditures</v>
      </c>
      <c r="V41" t="str">
        <f t="shared" si="15"/>
        <v>No Expenditures</v>
      </c>
      <c r="W41">
        <f t="shared" si="16"/>
        <v>0</v>
      </c>
      <c r="X41" t="str">
        <f>'D-Risk'!$AO$25</f>
        <v>Insufficient Data</v>
      </c>
      <c r="Y41" t="str">
        <f>'D-Risk'!$AO$26</f>
        <v>Insufficient Data</v>
      </c>
      <c r="Z41" t="str">
        <f>'D-Risk'!$AO$27</f>
        <v>Uncalculated</v>
      </c>
      <c r="AA41">
        <v>150</v>
      </c>
      <c r="AB41" t="s">
        <v>2261</v>
      </c>
      <c r="AC41" t="s">
        <v>671</v>
      </c>
      <c r="AD41">
        <f>Q4b_150_Participation</f>
        <v>0</v>
      </c>
      <c r="AE41">
        <f>'4b'!F160</f>
        <v>0</v>
      </c>
      <c r="AF41">
        <f>'4b'!G160</f>
        <v>0</v>
      </c>
      <c r="AG41">
        <f>'4b'!H160</f>
        <v>0</v>
      </c>
      <c r="AH41">
        <f>'4b'!I160</f>
        <v>0</v>
      </c>
      <c r="AI41">
        <f>'4b'!J160</f>
        <v>0</v>
      </c>
    </row>
    <row r="42" spans="1:35" x14ac:dyDescent="0.25">
      <c r="A42">
        <f t="shared" si="0"/>
        <v>0</v>
      </c>
      <c r="B42">
        <f t="shared" si="1"/>
        <v>0</v>
      </c>
      <c r="C42">
        <f t="shared" si="2"/>
        <v>0</v>
      </c>
      <c r="D42">
        <f t="shared" si="3"/>
        <v>0</v>
      </c>
      <c r="E42">
        <f t="shared" si="4"/>
        <v>0</v>
      </c>
      <c r="F42">
        <f>'D-RepLevel'!$F$2</f>
        <v>0</v>
      </c>
      <c r="G42">
        <f>'D-RepLevel'!$G$2</f>
        <v>0</v>
      </c>
      <c r="H42">
        <f t="shared" si="5"/>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6"/>
        <v>0</v>
      </c>
      <c r="M42">
        <f t="shared" si="7"/>
        <v>0</v>
      </c>
      <c r="N42">
        <f t="shared" si="8"/>
        <v>0</v>
      </c>
      <c r="O42">
        <f t="shared" si="9"/>
        <v>2015</v>
      </c>
      <c r="P42">
        <f t="shared" si="10"/>
        <v>0</v>
      </c>
      <c r="Q42">
        <f t="shared" si="11"/>
        <v>0</v>
      </c>
      <c r="R42">
        <f t="shared" si="12"/>
        <v>0</v>
      </c>
      <c r="S42">
        <f t="shared" si="13"/>
        <v>0</v>
      </c>
      <c r="T42">
        <f>COUNTIF('9a'!$K$22:$K$32, "Yes")+COUNTIF('9a'!$O$22:$O$32, "Yes")</f>
        <v>0</v>
      </c>
      <c r="U42" t="str">
        <f t="shared" si="14"/>
        <v>No Expenditures</v>
      </c>
      <c r="V42" t="str">
        <f t="shared" si="15"/>
        <v>No Expenditures</v>
      </c>
      <c r="W42">
        <f t="shared" si="16"/>
        <v>0</v>
      </c>
      <c r="X42" t="str">
        <f>'D-Risk'!$AO$25</f>
        <v>Insufficient Data</v>
      </c>
      <c r="Y42" t="str">
        <f>'D-Risk'!$AO$26</f>
        <v>Insufficient Data</v>
      </c>
      <c r="Z42" t="str">
        <f>'D-Risk'!$AO$27</f>
        <v>Uncalculated</v>
      </c>
      <c r="AA42">
        <v>151</v>
      </c>
      <c r="AB42" t="s">
        <v>2261</v>
      </c>
      <c r="AC42" t="s">
        <v>672</v>
      </c>
      <c r="AD42">
        <f>Q4b_151_Participation</f>
        <v>0</v>
      </c>
      <c r="AE42">
        <f>'4b'!F161</f>
        <v>0</v>
      </c>
      <c r="AF42">
        <f>'4b'!G161</f>
        <v>0</v>
      </c>
      <c r="AG42">
        <f>'4b'!H161</f>
        <v>0</v>
      </c>
      <c r="AH42">
        <f>'4b'!I161</f>
        <v>0</v>
      </c>
      <c r="AI42">
        <f>'4b'!J161</f>
        <v>0</v>
      </c>
    </row>
    <row r="43" spans="1:35" x14ac:dyDescent="0.25">
      <c r="A43">
        <f t="shared" si="0"/>
        <v>0</v>
      </c>
      <c r="B43">
        <f t="shared" si="1"/>
        <v>0</v>
      </c>
      <c r="C43">
        <f t="shared" si="2"/>
        <v>0</v>
      </c>
      <c r="D43">
        <f t="shared" si="3"/>
        <v>0</v>
      </c>
      <c r="E43">
        <f t="shared" si="4"/>
        <v>0</v>
      </c>
      <c r="F43">
        <f>'D-RepLevel'!$F$2</f>
        <v>0</v>
      </c>
      <c r="G43">
        <f>'D-RepLevel'!$G$2</f>
        <v>0</v>
      </c>
      <c r="H43">
        <f t="shared" si="5"/>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6"/>
        <v>0</v>
      </c>
      <c r="M43">
        <f t="shared" si="7"/>
        <v>0</v>
      </c>
      <c r="N43">
        <f t="shared" si="8"/>
        <v>0</v>
      </c>
      <c r="O43">
        <f t="shared" si="9"/>
        <v>2015</v>
      </c>
      <c r="P43">
        <f t="shared" si="10"/>
        <v>0</v>
      </c>
      <c r="Q43">
        <f t="shared" si="11"/>
        <v>0</v>
      </c>
      <c r="R43">
        <f t="shared" si="12"/>
        <v>0</v>
      </c>
      <c r="S43">
        <f t="shared" si="13"/>
        <v>0</v>
      </c>
      <c r="T43">
        <f>COUNTIF('9a'!$K$22:$K$32, "Yes")+COUNTIF('9a'!$O$22:$O$32, "Yes")</f>
        <v>0</v>
      </c>
      <c r="U43" t="str">
        <f t="shared" si="14"/>
        <v>No Expenditures</v>
      </c>
      <c r="V43" t="str">
        <f t="shared" si="15"/>
        <v>No Expenditures</v>
      </c>
      <c r="W43">
        <f t="shared" si="16"/>
        <v>0</v>
      </c>
      <c r="X43" t="str">
        <f>'D-Risk'!$AO$25</f>
        <v>Insufficient Data</v>
      </c>
      <c r="Y43" t="str">
        <f>'D-Risk'!$AO$26</f>
        <v>Insufficient Data</v>
      </c>
      <c r="Z43" t="str">
        <f>'D-Risk'!$AO$27</f>
        <v>Uncalculated</v>
      </c>
      <c r="AA43">
        <v>152</v>
      </c>
      <c r="AB43" t="s">
        <v>2261</v>
      </c>
      <c r="AC43" t="s">
        <v>673</v>
      </c>
      <c r="AD43">
        <f>Q4b_152_Participation</f>
        <v>0</v>
      </c>
      <c r="AE43">
        <f>'4b'!F162</f>
        <v>0</v>
      </c>
      <c r="AF43">
        <f>'4b'!G162</f>
        <v>0</v>
      </c>
      <c r="AG43">
        <f>'4b'!H162</f>
        <v>0</v>
      </c>
      <c r="AH43">
        <f>'4b'!I162</f>
        <v>0</v>
      </c>
      <c r="AI43">
        <f>'4b'!J162</f>
        <v>0</v>
      </c>
    </row>
    <row r="44" spans="1:35" x14ac:dyDescent="0.25">
      <c r="A44">
        <f t="shared" si="0"/>
        <v>0</v>
      </c>
      <c r="B44">
        <f t="shared" si="1"/>
        <v>0</v>
      </c>
      <c r="C44">
        <f t="shared" si="2"/>
        <v>0</v>
      </c>
      <c r="D44">
        <f t="shared" si="3"/>
        <v>0</v>
      </c>
      <c r="E44">
        <f t="shared" si="4"/>
        <v>0</v>
      </c>
      <c r="F44">
        <f>'D-RepLevel'!$F$2</f>
        <v>0</v>
      </c>
      <c r="G44">
        <f>'D-RepLevel'!$G$2</f>
        <v>0</v>
      </c>
      <c r="H44">
        <f t="shared" si="5"/>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6"/>
        <v>0</v>
      </c>
      <c r="M44">
        <f t="shared" si="7"/>
        <v>0</v>
      </c>
      <c r="N44">
        <f t="shared" si="8"/>
        <v>0</v>
      </c>
      <c r="O44">
        <f t="shared" si="9"/>
        <v>2015</v>
      </c>
      <c r="P44">
        <f t="shared" si="10"/>
        <v>0</v>
      </c>
      <c r="Q44">
        <f t="shared" si="11"/>
        <v>0</v>
      </c>
      <c r="R44">
        <f t="shared" si="12"/>
        <v>0</v>
      </c>
      <c r="S44">
        <f t="shared" si="13"/>
        <v>0</v>
      </c>
      <c r="T44">
        <f>COUNTIF('9a'!$K$22:$K$32, "Yes")+COUNTIF('9a'!$O$22:$O$32, "Yes")</f>
        <v>0</v>
      </c>
      <c r="U44" t="str">
        <f t="shared" si="14"/>
        <v>No Expenditures</v>
      </c>
      <c r="V44" t="str">
        <f t="shared" si="15"/>
        <v>No Expenditures</v>
      </c>
      <c r="W44">
        <f t="shared" si="16"/>
        <v>0</v>
      </c>
      <c r="X44" t="str">
        <f>'D-Risk'!$AO$25</f>
        <v>Insufficient Data</v>
      </c>
      <c r="Y44" t="str">
        <f>'D-Risk'!$AO$26</f>
        <v>Insufficient Data</v>
      </c>
      <c r="Z44" t="str">
        <f>'D-Risk'!$AO$27</f>
        <v>Uncalculated</v>
      </c>
      <c r="AA44">
        <v>153</v>
      </c>
      <c r="AB44" t="s">
        <v>2261</v>
      </c>
      <c r="AC44" t="s">
        <v>674</v>
      </c>
      <c r="AD44">
        <f>Q4b_153_Participation</f>
        <v>0</v>
      </c>
      <c r="AE44">
        <f>'4b'!F163</f>
        <v>0</v>
      </c>
      <c r="AF44">
        <f>'4b'!G163</f>
        <v>0</v>
      </c>
      <c r="AG44">
        <f>'4b'!H163</f>
        <v>0</v>
      </c>
      <c r="AH44">
        <f>'4b'!I163</f>
        <v>0</v>
      </c>
      <c r="AI44">
        <f>'4b'!J163</f>
        <v>0</v>
      </c>
    </row>
    <row r="45" spans="1:35" x14ac:dyDescent="0.25">
      <c r="A45">
        <f t="shared" si="0"/>
        <v>0</v>
      </c>
      <c r="B45">
        <f t="shared" si="1"/>
        <v>0</v>
      </c>
      <c r="C45">
        <f t="shared" si="2"/>
        <v>0</v>
      </c>
      <c r="D45">
        <f t="shared" si="3"/>
        <v>0</v>
      </c>
      <c r="E45">
        <f t="shared" si="4"/>
        <v>0</v>
      </c>
      <c r="F45">
        <f>'D-RepLevel'!$F$2</f>
        <v>0</v>
      </c>
      <c r="G45">
        <f>'D-RepLevel'!$G$2</f>
        <v>0</v>
      </c>
      <c r="H45">
        <f t="shared" si="5"/>
        <v>0</v>
      </c>
      <c r="I45" t="str">
        <f>IF(ISERROR(INDEX('1b'!$C$5:$C$21, MATCH("Primary Business Line", '1b'!$H$5:$H$21, FALSE), 1)), "None Selected", INDEX('1b'!$C$5:$C$21, MATCH("Primary Business Line", '1b'!$H$5:$H$21, FALSE), 1))</f>
        <v>None Selected</v>
      </c>
      <c r="J45">
        <f>'D-3'!$J$2</f>
        <v>0</v>
      </c>
      <c r="K45">
        <f>COUNTIF('4a'!$E$6:$E$29, "Direct")+COUNTIF('4a'!$E$6:$E$29, "Indirect")+COUNTIF('4a'!$E$6:$E$29, "Both")</f>
        <v>0</v>
      </c>
      <c r="L45">
        <f t="shared" si="6"/>
        <v>0</v>
      </c>
      <c r="M45">
        <f t="shared" si="7"/>
        <v>0</v>
      </c>
      <c r="N45">
        <f t="shared" si="8"/>
        <v>0</v>
      </c>
      <c r="O45">
        <f t="shared" si="9"/>
        <v>2015</v>
      </c>
      <c r="P45">
        <f t="shared" si="10"/>
        <v>0</v>
      </c>
      <c r="Q45">
        <f t="shared" si="11"/>
        <v>0</v>
      </c>
      <c r="R45">
        <f t="shared" si="12"/>
        <v>0</v>
      </c>
      <c r="S45">
        <f t="shared" si="13"/>
        <v>0</v>
      </c>
      <c r="T45">
        <f>COUNTIF('9a'!$K$22:$K$32, "Yes")+COUNTIF('9a'!$O$22:$O$32, "Yes")</f>
        <v>0</v>
      </c>
      <c r="U45" t="str">
        <f t="shared" si="14"/>
        <v>No Expenditures</v>
      </c>
      <c r="V45" t="str">
        <f t="shared" si="15"/>
        <v>No Expenditures</v>
      </c>
      <c r="W45">
        <f t="shared" si="16"/>
        <v>0</v>
      </c>
      <c r="X45" t="str">
        <f>'D-Risk'!$AO$25</f>
        <v>Insufficient Data</v>
      </c>
      <c r="Y45" t="str">
        <f>'D-Risk'!$AO$26</f>
        <v>Insufficient Data</v>
      </c>
      <c r="Z45" t="str">
        <f>'D-Risk'!$AO$27</f>
        <v>Uncalculated</v>
      </c>
      <c r="AA45">
        <v>154</v>
      </c>
      <c r="AB45" t="s">
        <v>2261</v>
      </c>
      <c r="AC45" t="s">
        <v>675</v>
      </c>
      <c r="AD45">
        <f>Q4b_154_Participation</f>
        <v>0</v>
      </c>
      <c r="AE45">
        <f>'4b'!F164</f>
        <v>0</v>
      </c>
      <c r="AF45">
        <f>'4b'!G164</f>
        <v>0</v>
      </c>
      <c r="AG45">
        <f>'4b'!H164</f>
        <v>0</v>
      </c>
      <c r="AH45">
        <f>'4b'!I164</f>
        <v>0</v>
      </c>
      <c r="AI45">
        <f>'4b'!J164</f>
        <v>0</v>
      </c>
    </row>
    <row r="46" spans="1:35" x14ac:dyDescent="0.25">
      <c r="A46">
        <f t="shared" si="0"/>
        <v>0</v>
      </c>
      <c r="B46">
        <f t="shared" si="1"/>
        <v>0</v>
      </c>
      <c r="C46">
        <f t="shared" si="2"/>
        <v>0</v>
      </c>
      <c r="D46">
        <f t="shared" si="3"/>
        <v>0</v>
      </c>
      <c r="E46">
        <f t="shared" si="4"/>
        <v>0</v>
      </c>
      <c r="F46">
        <f>'D-RepLevel'!$F$2</f>
        <v>0</v>
      </c>
      <c r="G46">
        <f>'D-RepLevel'!$G$2</f>
        <v>0</v>
      </c>
      <c r="H46">
        <f t="shared" si="5"/>
        <v>0</v>
      </c>
      <c r="I46" t="str">
        <f>IF(ISERROR(INDEX('1b'!$C$5:$C$21, MATCH("Primary Business Line", '1b'!$H$5:$H$21, FALSE), 1)), "None Selected", INDEX('1b'!$C$5:$C$21, MATCH("Primary Business Line", '1b'!$H$5:$H$21, FALSE), 1))</f>
        <v>None Selected</v>
      </c>
      <c r="J46">
        <f>'D-3'!$J$2</f>
        <v>0</v>
      </c>
      <c r="K46">
        <f>COUNTIF('4a'!$E$6:$E$29, "Direct")+COUNTIF('4a'!$E$6:$E$29, "Indirect")+COUNTIF('4a'!$E$6:$E$29, "Both")</f>
        <v>0</v>
      </c>
      <c r="L46">
        <f t="shared" si="6"/>
        <v>0</v>
      </c>
      <c r="M46">
        <f t="shared" si="7"/>
        <v>0</v>
      </c>
      <c r="N46">
        <f t="shared" si="8"/>
        <v>0</v>
      </c>
      <c r="O46">
        <f t="shared" si="9"/>
        <v>2015</v>
      </c>
      <c r="P46">
        <f t="shared" si="10"/>
        <v>0</v>
      </c>
      <c r="Q46">
        <f t="shared" si="11"/>
        <v>0</v>
      </c>
      <c r="R46">
        <f t="shared" si="12"/>
        <v>0</v>
      </c>
      <c r="S46">
        <f t="shared" si="13"/>
        <v>0</v>
      </c>
      <c r="T46">
        <f>COUNTIF('9a'!$K$22:$K$32, "Yes")+COUNTIF('9a'!$O$22:$O$32, "Yes")</f>
        <v>0</v>
      </c>
      <c r="U46" t="str">
        <f t="shared" si="14"/>
        <v>No Expenditures</v>
      </c>
      <c r="V46" t="str">
        <f t="shared" si="15"/>
        <v>No Expenditures</v>
      </c>
      <c r="W46">
        <f t="shared" si="16"/>
        <v>0</v>
      </c>
      <c r="X46" t="str">
        <f>'D-Risk'!$AO$25</f>
        <v>Insufficient Data</v>
      </c>
      <c r="Y46" t="str">
        <f>'D-Risk'!$AO$26</f>
        <v>Insufficient Data</v>
      </c>
      <c r="Z46" t="str">
        <f>'D-Risk'!$AO$27</f>
        <v>Uncalculated</v>
      </c>
      <c r="AA46">
        <v>155</v>
      </c>
      <c r="AB46" t="s">
        <v>676</v>
      </c>
      <c r="AC46" t="s">
        <v>677</v>
      </c>
      <c r="AD46">
        <f>Q4b_155_Participation</f>
        <v>0</v>
      </c>
      <c r="AE46">
        <f>'4b'!F165</f>
        <v>0</v>
      </c>
      <c r="AF46">
        <f>'4b'!G165</f>
        <v>0</v>
      </c>
      <c r="AG46">
        <f>'4b'!H165</f>
        <v>0</v>
      </c>
      <c r="AH46">
        <f>'4b'!I165</f>
        <v>0</v>
      </c>
      <c r="AI46">
        <f>'4b'!J165</f>
        <v>0</v>
      </c>
    </row>
    <row r="47" spans="1:35" x14ac:dyDescent="0.25">
      <c r="A47">
        <f t="shared" si="0"/>
        <v>0</v>
      </c>
      <c r="B47">
        <f t="shared" si="1"/>
        <v>0</v>
      </c>
      <c r="C47">
        <f t="shared" si="2"/>
        <v>0</v>
      </c>
      <c r="D47">
        <f t="shared" si="3"/>
        <v>0</v>
      </c>
      <c r="E47">
        <f t="shared" si="4"/>
        <v>0</v>
      </c>
      <c r="F47">
        <f>'D-RepLevel'!$F$2</f>
        <v>0</v>
      </c>
      <c r="G47">
        <f>'D-RepLevel'!$G$2</f>
        <v>0</v>
      </c>
      <c r="H47">
        <f t="shared" si="5"/>
        <v>0</v>
      </c>
      <c r="I47" t="str">
        <f>IF(ISERROR(INDEX('1b'!$C$5:$C$21, MATCH("Primary Business Line", '1b'!$H$5:$H$21, FALSE), 1)), "None Selected", INDEX('1b'!$C$5:$C$21, MATCH("Primary Business Line", '1b'!$H$5:$H$21, FALSE), 1))</f>
        <v>None Selected</v>
      </c>
      <c r="J47">
        <f>'D-3'!$J$2</f>
        <v>0</v>
      </c>
      <c r="K47">
        <f>COUNTIF('4a'!$E$6:$E$29, "Direct")+COUNTIF('4a'!$E$6:$E$29, "Indirect")+COUNTIF('4a'!$E$6:$E$29, "Both")</f>
        <v>0</v>
      </c>
      <c r="L47">
        <f t="shared" si="6"/>
        <v>0</v>
      </c>
      <c r="M47">
        <f t="shared" si="7"/>
        <v>0</v>
      </c>
      <c r="N47">
        <f t="shared" si="8"/>
        <v>0</v>
      </c>
      <c r="O47">
        <f t="shared" si="9"/>
        <v>2015</v>
      </c>
      <c r="P47">
        <f t="shared" si="10"/>
        <v>0</v>
      </c>
      <c r="Q47">
        <f t="shared" si="11"/>
        <v>0</v>
      </c>
      <c r="R47">
        <f t="shared" si="12"/>
        <v>0</v>
      </c>
      <c r="S47">
        <f t="shared" si="13"/>
        <v>0</v>
      </c>
      <c r="T47">
        <f>COUNTIF('9a'!$K$22:$K$32, "Yes")+COUNTIF('9a'!$O$22:$O$32, "Yes")</f>
        <v>0</v>
      </c>
      <c r="U47" t="str">
        <f t="shared" si="14"/>
        <v>No Expenditures</v>
      </c>
      <c r="V47" t="str">
        <f t="shared" si="15"/>
        <v>No Expenditures</v>
      </c>
      <c r="W47">
        <f t="shared" si="16"/>
        <v>0</v>
      </c>
      <c r="X47" t="str">
        <f>'D-Risk'!$AO$25</f>
        <v>Insufficient Data</v>
      </c>
      <c r="Y47" t="str">
        <f>'D-Risk'!$AO$26</f>
        <v>Insufficient Data</v>
      </c>
      <c r="Z47" t="str">
        <f>'D-Risk'!$AO$27</f>
        <v>Uncalculated</v>
      </c>
      <c r="AA47">
        <v>156</v>
      </c>
      <c r="AB47" t="s">
        <v>676</v>
      </c>
      <c r="AC47" t="s">
        <v>678</v>
      </c>
      <c r="AD47">
        <f>Q4b_156_Participation</f>
        <v>0</v>
      </c>
      <c r="AE47">
        <f>'4b'!F166</f>
        <v>0</v>
      </c>
      <c r="AF47">
        <f>'4b'!G166</f>
        <v>0</v>
      </c>
      <c r="AG47">
        <f>'4b'!H166</f>
        <v>0</v>
      </c>
      <c r="AH47">
        <f>'4b'!I166</f>
        <v>0</v>
      </c>
      <c r="AI47">
        <f>'4b'!J166</f>
        <v>0</v>
      </c>
    </row>
    <row r="48" spans="1:35" x14ac:dyDescent="0.25">
      <c r="A48">
        <f t="shared" si="0"/>
        <v>0</v>
      </c>
      <c r="B48">
        <f t="shared" si="1"/>
        <v>0</v>
      </c>
      <c r="C48">
        <f t="shared" si="2"/>
        <v>0</v>
      </c>
      <c r="D48">
        <f t="shared" si="3"/>
        <v>0</v>
      </c>
      <c r="E48">
        <f t="shared" si="4"/>
        <v>0</v>
      </c>
      <c r="F48">
        <f>'D-RepLevel'!$F$2</f>
        <v>0</v>
      </c>
      <c r="G48">
        <f>'D-RepLevel'!$G$2</f>
        <v>0</v>
      </c>
      <c r="H48">
        <f t="shared" si="5"/>
        <v>0</v>
      </c>
      <c r="I48" t="str">
        <f>IF(ISERROR(INDEX('1b'!$C$5:$C$21, MATCH("Primary Business Line", '1b'!$H$5:$H$21, FALSE), 1)), "None Selected", INDEX('1b'!$C$5:$C$21, MATCH("Primary Business Line", '1b'!$H$5:$H$21, FALSE), 1))</f>
        <v>None Selected</v>
      </c>
      <c r="J48">
        <f>'D-3'!$J$2</f>
        <v>0</v>
      </c>
      <c r="K48">
        <f>COUNTIF('4a'!$E$6:$E$29, "Direct")+COUNTIF('4a'!$E$6:$E$29, "Indirect")+COUNTIF('4a'!$E$6:$E$29, "Both")</f>
        <v>0</v>
      </c>
      <c r="L48">
        <f t="shared" si="6"/>
        <v>0</v>
      </c>
      <c r="M48">
        <f t="shared" si="7"/>
        <v>0</v>
      </c>
      <c r="N48">
        <f t="shared" si="8"/>
        <v>0</v>
      </c>
      <c r="O48">
        <f t="shared" si="9"/>
        <v>2015</v>
      </c>
      <c r="P48">
        <f t="shared" si="10"/>
        <v>0</v>
      </c>
      <c r="Q48">
        <f t="shared" si="11"/>
        <v>0</v>
      </c>
      <c r="R48">
        <f t="shared" si="12"/>
        <v>0</v>
      </c>
      <c r="S48">
        <f t="shared" si="13"/>
        <v>0</v>
      </c>
      <c r="T48">
        <f>COUNTIF('9a'!$K$22:$K$32, "Yes")+COUNTIF('9a'!$O$22:$O$32, "Yes")</f>
        <v>0</v>
      </c>
      <c r="U48" t="str">
        <f t="shared" si="14"/>
        <v>No Expenditures</v>
      </c>
      <c r="V48" t="str">
        <f t="shared" si="15"/>
        <v>No Expenditures</v>
      </c>
      <c r="W48">
        <f t="shared" si="16"/>
        <v>0</v>
      </c>
      <c r="X48" t="str">
        <f>'D-Risk'!$AO$25</f>
        <v>Insufficient Data</v>
      </c>
      <c r="Y48" t="str">
        <f>'D-Risk'!$AO$26</f>
        <v>Insufficient Data</v>
      </c>
      <c r="Z48" t="str">
        <f>'D-Risk'!$AO$27</f>
        <v>Uncalculated</v>
      </c>
      <c r="AA48">
        <v>157</v>
      </c>
      <c r="AB48" t="s">
        <v>676</v>
      </c>
      <c r="AC48" t="s">
        <v>679</v>
      </c>
      <c r="AD48">
        <f>Q4b_157_Participation</f>
        <v>0</v>
      </c>
      <c r="AE48">
        <f>'4b'!F167</f>
        <v>0</v>
      </c>
      <c r="AF48">
        <f>'4b'!G167</f>
        <v>0</v>
      </c>
      <c r="AG48">
        <f>'4b'!H167</f>
        <v>0</v>
      </c>
      <c r="AH48">
        <f>'4b'!I167</f>
        <v>0</v>
      </c>
      <c r="AI48">
        <f>'4b'!J167</f>
        <v>0</v>
      </c>
    </row>
    <row r="49" spans="1:35" x14ac:dyDescent="0.25">
      <c r="A49">
        <f t="shared" si="0"/>
        <v>0</v>
      </c>
      <c r="B49">
        <f t="shared" si="1"/>
        <v>0</v>
      </c>
      <c r="C49">
        <f t="shared" si="2"/>
        <v>0</v>
      </c>
      <c r="D49">
        <f t="shared" si="3"/>
        <v>0</v>
      </c>
      <c r="E49">
        <f t="shared" si="4"/>
        <v>0</v>
      </c>
      <c r="F49">
        <f>'D-RepLevel'!$F$2</f>
        <v>0</v>
      </c>
      <c r="G49">
        <f>'D-RepLevel'!$G$2</f>
        <v>0</v>
      </c>
      <c r="H49">
        <f t="shared" si="5"/>
        <v>0</v>
      </c>
      <c r="I49" t="str">
        <f>IF(ISERROR(INDEX('1b'!$C$5:$C$21, MATCH("Primary Business Line", '1b'!$H$5:$H$21, FALSE), 1)), "None Selected", INDEX('1b'!$C$5:$C$21, MATCH("Primary Business Line", '1b'!$H$5:$H$21, FALSE), 1))</f>
        <v>None Selected</v>
      </c>
      <c r="J49">
        <f>'D-3'!$J$2</f>
        <v>0</v>
      </c>
      <c r="K49">
        <f>COUNTIF('4a'!$E$6:$E$29, "Direct")+COUNTIF('4a'!$E$6:$E$29, "Indirect")+COUNTIF('4a'!$E$6:$E$29, "Both")</f>
        <v>0</v>
      </c>
      <c r="L49">
        <f t="shared" si="6"/>
        <v>0</v>
      </c>
      <c r="M49">
        <f t="shared" si="7"/>
        <v>0</v>
      </c>
      <c r="N49">
        <f t="shared" si="8"/>
        <v>0</v>
      </c>
      <c r="O49">
        <f t="shared" si="9"/>
        <v>2015</v>
      </c>
      <c r="P49">
        <f t="shared" si="10"/>
        <v>0</v>
      </c>
      <c r="Q49">
        <f t="shared" si="11"/>
        <v>0</v>
      </c>
      <c r="R49">
        <f t="shared" si="12"/>
        <v>0</v>
      </c>
      <c r="S49">
        <f t="shared" si="13"/>
        <v>0</v>
      </c>
      <c r="T49">
        <f>COUNTIF('9a'!$K$22:$K$32, "Yes")+COUNTIF('9a'!$O$22:$O$32, "Yes")</f>
        <v>0</v>
      </c>
      <c r="U49" t="str">
        <f t="shared" si="14"/>
        <v>No Expenditures</v>
      </c>
      <c r="V49" t="str">
        <f t="shared" si="15"/>
        <v>No Expenditures</v>
      </c>
      <c r="W49">
        <f t="shared" si="16"/>
        <v>0</v>
      </c>
      <c r="X49" t="str">
        <f>'D-Risk'!$AO$25</f>
        <v>Insufficient Data</v>
      </c>
      <c r="Y49" t="str">
        <f>'D-Risk'!$AO$26</f>
        <v>Insufficient Data</v>
      </c>
      <c r="Z49" t="str">
        <f>'D-Risk'!$AO$27</f>
        <v>Uncalculated</v>
      </c>
      <c r="AA49">
        <v>158</v>
      </c>
      <c r="AB49" t="s">
        <v>676</v>
      </c>
      <c r="AC49" t="s">
        <v>680</v>
      </c>
      <c r="AD49">
        <f>Q4b_158_Participation</f>
        <v>0</v>
      </c>
      <c r="AE49">
        <f>'4b'!F168</f>
        <v>0</v>
      </c>
      <c r="AF49">
        <f>'4b'!G168</f>
        <v>0</v>
      </c>
      <c r="AG49">
        <f>'4b'!H168</f>
        <v>0</v>
      </c>
      <c r="AH49">
        <f>'4b'!I168</f>
        <v>0</v>
      </c>
      <c r="AI49">
        <f>'4b'!J168</f>
        <v>0</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53"/>
  <sheetViews>
    <sheetView zoomScale="70" zoomScaleNormal="70" workbookViewId="0">
      <selection activeCell="C7" sqref="C7:D7"/>
    </sheetView>
  </sheetViews>
  <sheetFormatPr defaultRowHeight="15" x14ac:dyDescent="0.25"/>
  <sheetData>
    <row r="1" spans="1:3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2250</v>
      </c>
      <c r="AB1" t="s">
        <v>2251</v>
      </c>
      <c r="AC1" t="s">
        <v>2252</v>
      </c>
      <c r="AD1" t="s">
        <v>184</v>
      </c>
      <c r="AE1" t="s">
        <v>2253</v>
      </c>
      <c r="AF1" t="s">
        <v>2254</v>
      </c>
      <c r="AG1" t="s">
        <v>2255</v>
      </c>
      <c r="AH1" t="s">
        <v>2256</v>
      </c>
      <c r="AI1" t="s">
        <v>2257</v>
      </c>
    </row>
    <row r="2" spans="1:35" x14ac:dyDescent="0.25">
      <c r="A2">
        <f t="shared" ref="A2:A33" si="0">Q_RP_B_DSSCAGE_01</f>
        <v>0</v>
      </c>
      <c r="B2">
        <f t="shared" ref="B2:B33" si="1">Q1a_A_LocationName</f>
        <v>0</v>
      </c>
      <c r="C2">
        <f t="shared" ref="C2:C33" si="2">Q1a_A_LocOrgName</f>
        <v>0</v>
      </c>
      <c r="D2">
        <f t="shared" ref="D2:D33" si="3">Q1a_B_Parent1_Name</f>
        <v>0</v>
      </c>
      <c r="E2">
        <f t="shared" ref="E2:E33" si="4">Q_RP_A_MultiResponse</f>
        <v>0</v>
      </c>
      <c r="F2">
        <f>'D-RepLevel'!$F$2</f>
        <v>0</v>
      </c>
      <c r="G2">
        <f>'D-RepLevel'!$G$2</f>
        <v>0</v>
      </c>
      <c r="H2">
        <f t="shared" ref="H2:H33"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3" si="6">Q4b_A_NumUSGPrograms</f>
        <v>0</v>
      </c>
      <c r="M2">
        <f t="shared" ref="M2:M33" si="7">Q6_A_Employees_Year3</f>
        <v>0</v>
      </c>
      <c r="N2">
        <f t="shared" ref="N2:N33" si="8">Q6_B_Employee_H1B_Total+Q6_B_Employee_H2B_Total+Q6_B_Employee_F1_Total+Q6_B_Employee_GreenCard_Total+Q6_B_Employee_Other_Total</f>
        <v>0</v>
      </c>
      <c r="O2">
        <f t="shared" ref="O2:O33" si="9">Year3</f>
        <v>2015</v>
      </c>
      <c r="P2">
        <f t="shared" ref="P2:P33" si="10">Q7_A_TotalSales_US_Year3+Q7_A_TotalSales_NonUS_Year3</f>
        <v>0</v>
      </c>
      <c r="Q2">
        <f t="shared" ref="Q2:Q33" si="11">Q7_B_DefSales_US_Year3_Pct*Q7_A_TotalSales_US_Year3+Q7_B_DefSales_NonUS_Year3_Pct*Q7_A_TotalSales_NonUS_Year3</f>
        <v>0</v>
      </c>
      <c r="R2">
        <f t="shared" ref="R2:R33" si="12">Q9a_B_Physical_Year3</f>
        <v>0</v>
      </c>
      <c r="S2">
        <f t="shared" ref="S2:S33" si="13">Q9a_B_Cyber_Year3</f>
        <v>0</v>
      </c>
      <c r="T2">
        <f>COUNTIF('9a'!$K$22:$K$32, "Yes")+COUNTIF('9a'!$O$22:$O$32, "Yes")</f>
        <v>0</v>
      </c>
      <c r="U2" t="str">
        <f t="shared" ref="U2:U33" si="14">IF(Q12_OpEx_Year3=0, "No Expenditures", Q9b_A_PhysicalSpending_Year3/(Q12_OpEx_Year3))</f>
        <v>No Expenditures</v>
      </c>
      <c r="V2" t="str">
        <f t="shared" ref="V2:V33" si="15">IF(Q12_OpEx_Year3=0, "No Expenditures", Q9b_A_CyberSpending_Year3/(Q12_OpEx_Year3))</f>
        <v>No Expenditures</v>
      </c>
      <c r="W2">
        <f t="shared" ref="W2:W33" si="16">Q9b_C_Pct_CSI_External</f>
        <v>0</v>
      </c>
      <c r="X2" t="str">
        <f>'D-Risk'!$AO$25</f>
        <v>Insufficient Data</v>
      </c>
      <c r="Y2" t="str">
        <f>'D-Risk'!$AO$26</f>
        <v>Insufficient Data</v>
      </c>
      <c r="Z2" t="str">
        <f>'D-Risk'!$AO$27</f>
        <v>Uncalculated</v>
      </c>
      <c r="AA2">
        <v>159</v>
      </c>
      <c r="AB2" t="s">
        <v>681</v>
      </c>
      <c r="AC2" t="s">
        <v>682</v>
      </c>
      <c r="AD2">
        <f>Q4b_159_Participation</f>
        <v>0</v>
      </c>
      <c r="AE2">
        <f>'4b'!F169</f>
        <v>0</v>
      </c>
      <c r="AF2">
        <f>'4b'!G169</f>
        <v>0</v>
      </c>
      <c r="AG2">
        <f>'4b'!H169</f>
        <v>0</v>
      </c>
      <c r="AH2">
        <f>'4b'!I169</f>
        <v>0</v>
      </c>
      <c r="AI2">
        <f>'4b'!J169</f>
        <v>0</v>
      </c>
    </row>
    <row r="3" spans="1:35"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v>160</v>
      </c>
      <c r="AB3" t="s">
        <v>681</v>
      </c>
      <c r="AC3" t="s">
        <v>683</v>
      </c>
      <c r="AD3">
        <f>Q4b_160_Participation</f>
        <v>0</v>
      </c>
      <c r="AE3">
        <f>'4b'!F170</f>
        <v>0</v>
      </c>
      <c r="AF3">
        <f>'4b'!G170</f>
        <v>0</v>
      </c>
      <c r="AG3">
        <f>'4b'!H170</f>
        <v>0</v>
      </c>
      <c r="AH3">
        <f>'4b'!I170</f>
        <v>0</v>
      </c>
      <c r="AI3">
        <f>'4b'!J170</f>
        <v>0</v>
      </c>
    </row>
    <row r="4" spans="1:35"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v>161</v>
      </c>
      <c r="AB4" t="s">
        <v>681</v>
      </c>
      <c r="AC4" t="s">
        <v>684</v>
      </c>
      <c r="AD4">
        <f>Q4b_161_Participation</f>
        <v>0</v>
      </c>
      <c r="AE4">
        <f>'4b'!F171</f>
        <v>0</v>
      </c>
      <c r="AF4">
        <f>'4b'!G171</f>
        <v>0</v>
      </c>
      <c r="AG4">
        <f>'4b'!H171</f>
        <v>0</v>
      </c>
      <c r="AH4">
        <f>'4b'!I171</f>
        <v>0</v>
      </c>
      <c r="AI4">
        <f>'4b'!J171</f>
        <v>0</v>
      </c>
    </row>
    <row r="5" spans="1:35"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v>162</v>
      </c>
      <c r="AB5" t="s">
        <v>681</v>
      </c>
      <c r="AC5" t="s">
        <v>685</v>
      </c>
      <c r="AD5">
        <f>Q4b_162_Participation</f>
        <v>0</v>
      </c>
      <c r="AE5">
        <f>'4b'!F172</f>
        <v>0</v>
      </c>
      <c r="AF5">
        <f>'4b'!G172</f>
        <v>0</v>
      </c>
      <c r="AG5">
        <f>'4b'!H172</f>
        <v>0</v>
      </c>
      <c r="AH5">
        <f>'4b'!I172</f>
        <v>0</v>
      </c>
      <c r="AI5">
        <f>'4b'!J172</f>
        <v>0</v>
      </c>
    </row>
    <row r="6" spans="1:35"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v>163</v>
      </c>
      <c r="AB6" t="s">
        <v>681</v>
      </c>
      <c r="AC6" t="s">
        <v>686</v>
      </c>
      <c r="AD6">
        <f>Q4b_163_Participation</f>
        <v>0</v>
      </c>
      <c r="AE6">
        <f>'4b'!F173</f>
        <v>0</v>
      </c>
      <c r="AF6">
        <f>'4b'!G173</f>
        <v>0</v>
      </c>
      <c r="AG6">
        <f>'4b'!H173</f>
        <v>0</v>
      </c>
      <c r="AH6">
        <f>'4b'!I173</f>
        <v>0</v>
      </c>
      <c r="AI6">
        <f>'4b'!J173</f>
        <v>0</v>
      </c>
    </row>
    <row r="7" spans="1:35"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v>164</v>
      </c>
      <c r="AB7" t="s">
        <v>681</v>
      </c>
      <c r="AC7" t="s">
        <v>687</v>
      </c>
      <c r="AD7">
        <f>Q4b_164_Participation</f>
        <v>0</v>
      </c>
      <c r="AE7">
        <f>'4b'!F174</f>
        <v>0</v>
      </c>
      <c r="AF7">
        <f>'4b'!G174</f>
        <v>0</v>
      </c>
      <c r="AG7">
        <f>'4b'!H174</f>
        <v>0</v>
      </c>
      <c r="AH7">
        <f>'4b'!I174</f>
        <v>0</v>
      </c>
      <c r="AI7">
        <f>'4b'!J174</f>
        <v>0</v>
      </c>
    </row>
    <row r="8" spans="1:35"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v>165</v>
      </c>
      <c r="AB8" t="s">
        <v>681</v>
      </c>
      <c r="AC8" t="s">
        <v>688</v>
      </c>
      <c r="AD8">
        <f>Q4b_165_Participation</f>
        <v>0</v>
      </c>
      <c r="AE8">
        <f>'4b'!F175</f>
        <v>0</v>
      </c>
      <c r="AF8">
        <f>'4b'!G175</f>
        <v>0</v>
      </c>
      <c r="AG8">
        <f>'4b'!H175</f>
        <v>0</v>
      </c>
      <c r="AH8">
        <f>'4b'!I175</f>
        <v>0</v>
      </c>
      <c r="AI8">
        <f>'4b'!J175</f>
        <v>0</v>
      </c>
    </row>
    <row r="9" spans="1:35"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v>166</v>
      </c>
      <c r="AB9" t="s">
        <v>681</v>
      </c>
      <c r="AC9" t="s">
        <v>689</v>
      </c>
      <c r="AD9">
        <f>Q4b_166_Participation</f>
        <v>0</v>
      </c>
      <c r="AE9">
        <f>'4b'!F176</f>
        <v>0</v>
      </c>
      <c r="AF9">
        <f>'4b'!G176</f>
        <v>0</v>
      </c>
      <c r="AG9">
        <f>'4b'!H176</f>
        <v>0</v>
      </c>
      <c r="AH9">
        <f>'4b'!I176</f>
        <v>0</v>
      </c>
      <c r="AI9">
        <f>'4b'!J176</f>
        <v>0</v>
      </c>
    </row>
    <row r="10" spans="1:35"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v>167</v>
      </c>
      <c r="AB10" t="s">
        <v>681</v>
      </c>
      <c r="AC10" t="s">
        <v>690</v>
      </c>
      <c r="AD10">
        <f>Q4b_167_Participation</f>
        <v>0</v>
      </c>
      <c r="AE10">
        <f>'4b'!F177</f>
        <v>0</v>
      </c>
      <c r="AF10">
        <f>'4b'!G177</f>
        <v>0</v>
      </c>
      <c r="AG10">
        <f>'4b'!H177</f>
        <v>0</v>
      </c>
      <c r="AH10">
        <f>'4b'!I177</f>
        <v>0</v>
      </c>
      <c r="AI10">
        <f>'4b'!J177</f>
        <v>0</v>
      </c>
    </row>
    <row r="11" spans="1:35"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v>168</v>
      </c>
      <c r="AB11" t="s">
        <v>681</v>
      </c>
      <c r="AC11" t="s">
        <v>691</v>
      </c>
      <c r="AD11">
        <f>Q4b_168_Participation</f>
        <v>0</v>
      </c>
      <c r="AE11">
        <f>'4b'!F178</f>
        <v>0</v>
      </c>
      <c r="AF11">
        <f>'4b'!G178</f>
        <v>0</v>
      </c>
      <c r="AG11">
        <f>'4b'!H178</f>
        <v>0</v>
      </c>
      <c r="AH11">
        <f>'4b'!I178</f>
        <v>0</v>
      </c>
      <c r="AI11">
        <f>'4b'!J178</f>
        <v>0</v>
      </c>
    </row>
    <row r="12" spans="1:35"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v>169</v>
      </c>
      <c r="AB12" t="s">
        <v>681</v>
      </c>
      <c r="AC12" t="s">
        <v>692</v>
      </c>
      <c r="AD12">
        <f>Q4b_169_Participation</f>
        <v>0</v>
      </c>
      <c r="AE12">
        <f>'4b'!F179</f>
        <v>0</v>
      </c>
      <c r="AF12">
        <f>'4b'!G179</f>
        <v>0</v>
      </c>
      <c r="AG12">
        <f>'4b'!H179</f>
        <v>0</v>
      </c>
      <c r="AH12">
        <f>'4b'!I179</f>
        <v>0</v>
      </c>
      <c r="AI12">
        <f>'4b'!J179</f>
        <v>0</v>
      </c>
    </row>
    <row r="13" spans="1:35"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v>170</v>
      </c>
      <c r="AB13" t="s">
        <v>681</v>
      </c>
      <c r="AC13" t="s">
        <v>693</v>
      </c>
      <c r="AD13">
        <f>Q4b_170_Participation</f>
        <v>0</v>
      </c>
      <c r="AE13">
        <f>'4b'!F180</f>
        <v>0</v>
      </c>
      <c r="AF13">
        <f>'4b'!G180</f>
        <v>0</v>
      </c>
      <c r="AG13">
        <f>'4b'!H180</f>
        <v>0</v>
      </c>
      <c r="AH13">
        <f>'4b'!I180</f>
        <v>0</v>
      </c>
      <c r="AI13">
        <f>'4b'!J180</f>
        <v>0</v>
      </c>
    </row>
    <row r="14" spans="1:35"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v>171</v>
      </c>
      <c r="AB14" t="s">
        <v>681</v>
      </c>
      <c r="AC14" t="s">
        <v>694</v>
      </c>
      <c r="AD14">
        <f>Q4b_171_Participation</f>
        <v>0</v>
      </c>
      <c r="AE14">
        <f>'4b'!F181</f>
        <v>0</v>
      </c>
      <c r="AF14">
        <f>'4b'!G181</f>
        <v>0</v>
      </c>
      <c r="AG14">
        <f>'4b'!H181</f>
        <v>0</v>
      </c>
      <c r="AH14">
        <f>'4b'!I181</f>
        <v>0</v>
      </c>
      <c r="AI14">
        <f>'4b'!J181</f>
        <v>0</v>
      </c>
    </row>
    <row r="15" spans="1:35"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v>172</v>
      </c>
      <c r="AB15" t="s">
        <v>681</v>
      </c>
      <c r="AC15" t="s">
        <v>695</v>
      </c>
      <c r="AD15">
        <f>Q4b_172_Participation</f>
        <v>0</v>
      </c>
      <c r="AE15">
        <f>'4b'!F182</f>
        <v>0</v>
      </c>
      <c r="AF15">
        <f>'4b'!G182</f>
        <v>0</v>
      </c>
      <c r="AG15">
        <f>'4b'!H182</f>
        <v>0</v>
      </c>
      <c r="AH15">
        <f>'4b'!I182</f>
        <v>0</v>
      </c>
      <c r="AI15">
        <f>'4b'!J182</f>
        <v>0</v>
      </c>
    </row>
    <row r="16" spans="1:35"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v>173</v>
      </c>
      <c r="AB16" t="s">
        <v>681</v>
      </c>
      <c r="AC16" t="s">
        <v>696</v>
      </c>
      <c r="AD16">
        <f>Q4b_173_Participation</f>
        <v>0</v>
      </c>
      <c r="AE16">
        <f>'4b'!F183</f>
        <v>0</v>
      </c>
      <c r="AF16">
        <f>'4b'!G183</f>
        <v>0</v>
      </c>
      <c r="AG16">
        <f>'4b'!H183</f>
        <v>0</v>
      </c>
      <c r="AH16">
        <f>'4b'!I183</f>
        <v>0</v>
      </c>
      <c r="AI16">
        <f>'4b'!J183</f>
        <v>0</v>
      </c>
    </row>
    <row r="17" spans="1:35"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v>174</v>
      </c>
      <c r="AB17" t="s">
        <v>681</v>
      </c>
      <c r="AC17" t="s">
        <v>697</v>
      </c>
      <c r="AD17">
        <f>Q4b_174_Participation</f>
        <v>0</v>
      </c>
      <c r="AE17">
        <f>'4b'!F184</f>
        <v>0</v>
      </c>
      <c r="AF17">
        <f>'4b'!G184</f>
        <v>0</v>
      </c>
      <c r="AG17">
        <f>'4b'!H184</f>
        <v>0</v>
      </c>
      <c r="AH17">
        <f>'4b'!I184</f>
        <v>0</v>
      </c>
      <c r="AI17">
        <f>'4b'!J184</f>
        <v>0</v>
      </c>
    </row>
    <row r="18" spans="1:35"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v>175</v>
      </c>
      <c r="AB18" t="s">
        <v>681</v>
      </c>
      <c r="AC18" t="s">
        <v>698</v>
      </c>
      <c r="AD18">
        <f>Q4b_175_Participation</f>
        <v>0</v>
      </c>
      <c r="AE18">
        <f>'4b'!F185</f>
        <v>0</v>
      </c>
      <c r="AF18">
        <f>'4b'!G185</f>
        <v>0</v>
      </c>
      <c r="AG18">
        <f>'4b'!H185</f>
        <v>0</v>
      </c>
      <c r="AH18">
        <f>'4b'!I185</f>
        <v>0</v>
      </c>
      <c r="AI18">
        <f>'4b'!J185</f>
        <v>0</v>
      </c>
    </row>
    <row r="19" spans="1:35"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v>176</v>
      </c>
      <c r="AB19" t="s">
        <v>681</v>
      </c>
      <c r="AC19" t="s">
        <v>699</v>
      </c>
      <c r="AD19">
        <f>Q4b_176_Participation</f>
        <v>0</v>
      </c>
      <c r="AE19">
        <f>'4b'!F186</f>
        <v>0</v>
      </c>
      <c r="AF19">
        <f>'4b'!G186</f>
        <v>0</v>
      </c>
      <c r="AG19">
        <f>'4b'!H186</f>
        <v>0</v>
      </c>
      <c r="AH19">
        <f>'4b'!I186</f>
        <v>0</v>
      </c>
      <c r="AI19">
        <f>'4b'!J186</f>
        <v>0</v>
      </c>
    </row>
    <row r="20" spans="1:35"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v>177</v>
      </c>
      <c r="AB20" t="s">
        <v>681</v>
      </c>
      <c r="AC20" t="s">
        <v>700</v>
      </c>
      <c r="AD20">
        <f>Q4b_177_Participation</f>
        <v>0</v>
      </c>
      <c r="AE20">
        <f>'4b'!F187</f>
        <v>0</v>
      </c>
      <c r="AF20">
        <f>'4b'!G187</f>
        <v>0</v>
      </c>
      <c r="AG20">
        <f>'4b'!H187</f>
        <v>0</v>
      </c>
      <c r="AH20">
        <f>'4b'!I187</f>
        <v>0</v>
      </c>
      <c r="AI20">
        <f>'4b'!J187</f>
        <v>0</v>
      </c>
    </row>
    <row r="21" spans="1:35"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v>178</v>
      </c>
      <c r="AB21" t="s">
        <v>681</v>
      </c>
      <c r="AC21" t="s">
        <v>701</v>
      </c>
      <c r="AD21">
        <f>Q4b_178_Participation</f>
        <v>0</v>
      </c>
      <c r="AE21">
        <f>'4b'!F188</f>
        <v>0</v>
      </c>
      <c r="AF21">
        <f>'4b'!G188</f>
        <v>0</v>
      </c>
      <c r="AG21">
        <f>'4b'!H188</f>
        <v>0</v>
      </c>
      <c r="AH21">
        <f>'4b'!I188</f>
        <v>0</v>
      </c>
      <c r="AI21">
        <f>'4b'!J188</f>
        <v>0</v>
      </c>
    </row>
    <row r="22" spans="1:35"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v>179</v>
      </c>
      <c r="AB22" t="s">
        <v>681</v>
      </c>
      <c r="AC22" t="s">
        <v>702</v>
      </c>
      <c r="AD22">
        <f>Q4b_179_Participation</f>
        <v>0</v>
      </c>
      <c r="AE22">
        <f>'4b'!F189</f>
        <v>0</v>
      </c>
      <c r="AF22">
        <f>'4b'!G189</f>
        <v>0</v>
      </c>
      <c r="AG22">
        <f>'4b'!H189</f>
        <v>0</v>
      </c>
      <c r="AH22">
        <f>'4b'!I189</f>
        <v>0</v>
      </c>
      <c r="AI22">
        <f>'4b'!J189</f>
        <v>0</v>
      </c>
    </row>
    <row r="23" spans="1:35"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v>180</v>
      </c>
      <c r="AB23" t="s">
        <v>681</v>
      </c>
      <c r="AC23" t="s">
        <v>703</v>
      </c>
      <c r="AD23">
        <f>Q4b_180_Participation</f>
        <v>0</v>
      </c>
      <c r="AE23">
        <f>'4b'!F190</f>
        <v>0</v>
      </c>
      <c r="AF23">
        <f>'4b'!G190</f>
        <v>0</v>
      </c>
      <c r="AG23">
        <f>'4b'!H190</f>
        <v>0</v>
      </c>
      <c r="AH23">
        <f>'4b'!I190</f>
        <v>0</v>
      </c>
      <c r="AI23">
        <f>'4b'!J190</f>
        <v>0</v>
      </c>
    </row>
    <row r="24" spans="1:35"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v>181</v>
      </c>
      <c r="AB24" t="s">
        <v>681</v>
      </c>
      <c r="AC24" t="s">
        <v>704</v>
      </c>
      <c r="AD24">
        <f>Q4b_181_Participation</f>
        <v>0</v>
      </c>
      <c r="AE24">
        <f>'4b'!F191</f>
        <v>0</v>
      </c>
      <c r="AF24">
        <f>'4b'!G191</f>
        <v>0</v>
      </c>
      <c r="AG24">
        <f>'4b'!H191</f>
        <v>0</v>
      </c>
      <c r="AH24">
        <f>'4b'!I191</f>
        <v>0</v>
      </c>
      <c r="AI24">
        <f>'4b'!J191</f>
        <v>0</v>
      </c>
    </row>
    <row r="25" spans="1:35"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v>182</v>
      </c>
      <c r="AB25" t="s">
        <v>681</v>
      </c>
      <c r="AC25" t="s">
        <v>705</v>
      </c>
      <c r="AD25">
        <f>Q4b_182_Participation</f>
        <v>0</v>
      </c>
      <c r="AE25">
        <f>'4b'!F192</f>
        <v>0</v>
      </c>
      <c r="AF25">
        <f>'4b'!G192</f>
        <v>0</v>
      </c>
      <c r="AG25">
        <f>'4b'!H192</f>
        <v>0</v>
      </c>
      <c r="AH25">
        <f>'4b'!I192</f>
        <v>0</v>
      </c>
      <c r="AI25">
        <f>'4b'!J192</f>
        <v>0</v>
      </c>
    </row>
    <row r="26" spans="1:35"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v>183</v>
      </c>
      <c r="AB26" t="s">
        <v>681</v>
      </c>
      <c r="AC26" t="s">
        <v>706</v>
      </c>
      <c r="AD26">
        <f>Q4b_183_Participation</f>
        <v>0</v>
      </c>
      <c r="AE26">
        <f>'4b'!F193</f>
        <v>0</v>
      </c>
      <c r="AF26">
        <f>'4b'!G193</f>
        <v>0</v>
      </c>
      <c r="AG26">
        <f>'4b'!H193</f>
        <v>0</v>
      </c>
      <c r="AH26">
        <f>'4b'!I193</f>
        <v>0</v>
      </c>
      <c r="AI26">
        <f>'4b'!J193</f>
        <v>0</v>
      </c>
    </row>
    <row r="27" spans="1:35"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v>184</v>
      </c>
      <c r="AB27" t="s">
        <v>681</v>
      </c>
      <c r="AC27" t="s">
        <v>707</v>
      </c>
      <c r="AD27">
        <f>Q4b_184_Participation</f>
        <v>0</v>
      </c>
      <c r="AE27">
        <f>'4b'!F194</f>
        <v>0</v>
      </c>
      <c r="AF27">
        <f>'4b'!G194</f>
        <v>0</v>
      </c>
      <c r="AG27">
        <f>'4b'!H194</f>
        <v>0</v>
      </c>
      <c r="AH27">
        <f>'4b'!I194</f>
        <v>0</v>
      </c>
      <c r="AI27">
        <f>'4b'!J194</f>
        <v>0</v>
      </c>
    </row>
    <row r="28" spans="1:35"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v>185</v>
      </c>
      <c r="AB28" t="s">
        <v>681</v>
      </c>
      <c r="AC28" t="s">
        <v>708</v>
      </c>
      <c r="AD28">
        <f>Q4b_185_Participation</f>
        <v>0</v>
      </c>
      <c r="AE28">
        <f>'4b'!F195</f>
        <v>0</v>
      </c>
      <c r="AF28">
        <f>'4b'!G195</f>
        <v>0</v>
      </c>
      <c r="AG28">
        <f>'4b'!H195</f>
        <v>0</v>
      </c>
      <c r="AH28">
        <f>'4b'!I195</f>
        <v>0</v>
      </c>
      <c r="AI28">
        <f>'4b'!J195</f>
        <v>0</v>
      </c>
    </row>
    <row r="29" spans="1:35"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v>186</v>
      </c>
      <c r="AB29" t="s">
        <v>681</v>
      </c>
      <c r="AC29" t="s">
        <v>709</v>
      </c>
      <c r="AD29">
        <f>Q4b_186_Participation</f>
        <v>0</v>
      </c>
      <c r="AE29">
        <f>'4b'!F196</f>
        <v>0</v>
      </c>
      <c r="AF29">
        <f>'4b'!G196</f>
        <v>0</v>
      </c>
      <c r="AG29">
        <f>'4b'!H196</f>
        <v>0</v>
      </c>
      <c r="AH29">
        <f>'4b'!I196</f>
        <v>0</v>
      </c>
      <c r="AI29">
        <f>'4b'!J196</f>
        <v>0</v>
      </c>
    </row>
    <row r="30" spans="1:35"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v>187</v>
      </c>
      <c r="AB30" t="s">
        <v>681</v>
      </c>
      <c r="AC30" t="s">
        <v>710</v>
      </c>
      <c r="AD30">
        <f>Q4b_187_Participation</f>
        <v>0</v>
      </c>
      <c r="AE30">
        <f>'4b'!F197</f>
        <v>0</v>
      </c>
      <c r="AF30">
        <f>'4b'!G197</f>
        <v>0</v>
      </c>
      <c r="AG30">
        <f>'4b'!H197</f>
        <v>0</v>
      </c>
      <c r="AH30">
        <f>'4b'!I197</f>
        <v>0</v>
      </c>
      <c r="AI30">
        <f>'4b'!J197</f>
        <v>0</v>
      </c>
    </row>
    <row r="31" spans="1:35"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v>188</v>
      </c>
      <c r="AB31" t="s">
        <v>681</v>
      </c>
      <c r="AC31" t="s">
        <v>711</v>
      </c>
      <c r="AD31">
        <f>Q4b_188_Participation</f>
        <v>0</v>
      </c>
      <c r="AE31">
        <f>'4b'!F198</f>
        <v>0</v>
      </c>
      <c r="AF31">
        <f>'4b'!G198</f>
        <v>0</v>
      </c>
      <c r="AG31">
        <f>'4b'!H198</f>
        <v>0</v>
      </c>
      <c r="AH31">
        <f>'4b'!I198</f>
        <v>0</v>
      </c>
      <c r="AI31">
        <f>'4b'!J198</f>
        <v>0</v>
      </c>
    </row>
    <row r="32" spans="1:35"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v>189</v>
      </c>
      <c r="AB32" t="s">
        <v>681</v>
      </c>
      <c r="AC32" t="s">
        <v>712</v>
      </c>
      <c r="AD32">
        <f>Q4b_189_Participation</f>
        <v>0</v>
      </c>
      <c r="AE32">
        <f>'4b'!F199</f>
        <v>0</v>
      </c>
      <c r="AF32">
        <f>'4b'!G199</f>
        <v>0</v>
      </c>
      <c r="AG32">
        <f>'4b'!H199</f>
        <v>0</v>
      </c>
      <c r="AH32">
        <f>'4b'!I199</f>
        <v>0</v>
      </c>
      <c r="AI32">
        <f>'4b'!J199</f>
        <v>0</v>
      </c>
    </row>
    <row r="33" spans="1:35"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v>190</v>
      </c>
      <c r="AB33" t="s">
        <v>681</v>
      </c>
      <c r="AC33" t="s">
        <v>713</v>
      </c>
      <c r="AD33">
        <f>Q4b_190_Participation</f>
        <v>0</v>
      </c>
      <c r="AE33">
        <f>'4b'!F200</f>
        <v>0</v>
      </c>
      <c r="AF33">
        <f>'4b'!G200</f>
        <v>0</v>
      </c>
      <c r="AG33">
        <f>'4b'!H200</f>
        <v>0</v>
      </c>
      <c r="AH33">
        <f>'4b'!I200</f>
        <v>0</v>
      </c>
      <c r="AI33">
        <f>'4b'!J200</f>
        <v>0</v>
      </c>
    </row>
    <row r="34" spans="1:35" x14ac:dyDescent="0.25">
      <c r="A34">
        <f t="shared" ref="A34:A53" si="17">Q_RP_B_DSSCAGE_01</f>
        <v>0</v>
      </c>
      <c r="B34">
        <f t="shared" ref="B34:B53" si="18">Q1a_A_LocationName</f>
        <v>0</v>
      </c>
      <c r="C34">
        <f t="shared" ref="C34:C53" si="19">Q1a_A_LocOrgName</f>
        <v>0</v>
      </c>
      <c r="D34">
        <f t="shared" ref="D34:D53" si="20">Q1a_B_Parent1_Name</f>
        <v>0</v>
      </c>
      <c r="E34">
        <f t="shared" ref="E34:E53" si="21">Q_RP_A_MultiResponse</f>
        <v>0</v>
      </c>
      <c r="F34">
        <f>'D-RepLevel'!$F$2</f>
        <v>0</v>
      </c>
      <c r="G34">
        <f>'D-RepLevel'!$G$2</f>
        <v>0</v>
      </c>
      <c r="H34">
        <f t="shared" ref="H34:H53" si="22">Q1a_A_OnlyLoc_YN</f>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ref="L34:L53" si="23">Q4b_A_NumUSGPrograms</f>
        <v>0</v>
      </c>
      <c r="M34">
        <f t="shared" ref="M34:M53" si="24">Q6_A_Employees_Year3</f>
        <v>0</v>
      </c>
      <c r="N34">
        <f t="shared" ref="N34:N53" si="25">Q6_B_Employee_H1B_Total+Q6_B_Employee_H2B_Total+Q6_B_Employee_F1_Total+Q6_B_Employee_GreenCard_Total+Q6_B_Employee_Other_Total</f>
        <v>0</v>
      </c>
      <c r="O34">
        <f t="shared" ref="O34:O53" si="26">Year3</f>
        <v>2015</v>
      </c>
      <c r="P34">
        <f t="shared" ref="P34:P53" si="27">Q7_A_TotalSales_US_Year3+Q7_A_TotalSales_NonUS_Year3</f>
        <v>0</v>
      </c>
      <c r="Q34">
        <f t="shared" ref="Q34:Q53" si="28">Q7_B_DefSales_US_Year3_Pct*Q7_A_TotalSales_US_Year3+Q7_B_DefSales_NonUS_Year3_Pct*Q7_A_TotalSales_NonUS_Year3</f>
        <v>0</v>
      </c>
      <c r="R34">
        <f t="shared" ref="R34:R53" si="29">Q9a_B_Physical_Year3</f>
        <v>0</v>
      </c>
      <c r="S34">
        <f t="shared" ref="S34:S53" si="30">Q9a_B_Cyber_Year3</f>
        <v>0</v>
      </c>
      <c r="T34">
        <f>COUNTIF('9a'!$K$22:$K$32, "Yes")+COUNTIF('9a'!$O$22:$O$32, "Yes")</f>
        <v>0</v>
      </c>
      <c r="U34" t="str">
        <f t="shared" ref="U34:U53" si="31">IF(Q12_OpEx_Year3=0, "No Expenditures", Q9b_A_PhysicalSpending_Year3/(Q12_OpEx_Year3))</f>
        <v>No Expenditures</v>
      </c>
      <c r="V34" t="str">
        <f t="shared" ref="V34:V53" si="32">IF(Q12_OpEx_Year3=0, "No Expenditures", Q9b_A_CyberSpending_Year3/(Q12_OpEx_Year3))</f>
        <v>No Expenditures</v>
      </c>
      <c r="W34">
        <f t="shared" ref="W34:W53" si="33">Q9b_C_Pct_CSI_External</f>
        <v>0</v>
      </c>
      <c r="X34" t="str">
        <f>'D-Risk'!$AO$25</f>
        <v>Insufficient Data</v>
      </c>
      <c r="Y34" t="str">
        <f>'D-Risk'!$AO$26</f>
        <v>Insufficient Data</v>
      </c>
      <c r="Z34" t="str">
        <f>'D-Risk'!$AO$27</f>
        <v>Uncalculated</v>
      </c>
      <c r="AA34">
        <v>191</v>
      </c>
      <c r="AB34" t="s">
        <v>681</v>
      </c>
      <c r="AC34" t="s">
        <v>714</v>
      </c>
      <c r="AD34">
        <f>Q4b_191_Participation</f>
        <v>0</v>
      </c>
      <c r="AE34">
        <f>'4b'!F201</f>
        <v>0</v>
      </c>
      <c r="AF34">
        <f>'4b'!G201</f>
        <v>0</v>
      </c>
      <c r="AG34">
        <f>'4b'!H201</f>
        <v>0</v>
      </c>
      <c r="AH34">
        <f>'4b'!I201</f>
        <v>0</v>
      </c>
      <c r="AI34">
        <f>'4b'!J201</f>
        <v>0</v>
      </c>
    </row>
    <row r="35" spans="1:35" x14ac:dyDescent="0.25">
      <c r="A35">
        <f t="shared" si="17"/>
        <v>0</v>
      </c>
      <c r="B35">
        <f t="shared" si="18"/>
        <v>0</v>
      </c>
      <c r="C35">
        <f t="shared" si="19"/>
        <v>0</v>
      </c>
      <c r="D35">
        <f t="shared" si="20"/>
        <v>0</v>
      </c>
      <c r="E35">
        <f t="shared" si="21"/>
        <v>0</v>
      </c>
      <c r="F35">
        <f>'D-RepLevel'!$F$2</f>
        <v>0</v>
      </c>
      <c r="G35">
        <f>'D-RepLevel'!$G$2</f>
        <v>0</v>
      </c>
      <c r="H35">
        <f t="shared" si="22"/>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23"/>
        <v>0</v>
      </c>
      <c r="M35">
        <f t="shared" si="24"/>
        <v>0</v>
      </c>
      <c r="N35">
        <f t="shared" si="25"/>
        <v>0</v>
      </c>
      <c r="O35">
        <f t="shared" si="26"/>
        <v>2015</v>
      </c>
      <c r="P35">
        <f t="shared" si="27"/>
        <v>0</v>
      </c>
      <c r="Q35">
        <f t="shared" si="28"/>
        <v>0</v>
      </c>
      <c r="R35">
        <f t="shared" si="29"/>
        <v>0</v>
      </c>
      <c r="S35">
        <f t="shared" si="30"/>
        <v>0</v>
      </c>
      <c r="T35">
        <f>COUNTIF('9a'!$K$22:$K$32, "Yes")+COUNTIF('9a'!$O$22:$O$32, "Yes")</f>
        <v>0</v>
      </c>
      <c r="U35" t="str">
        <f t="shared" si="31"/>
        <v>No Expenditures</v>
      </c>
      <c r="V35" t="str">
        <f t="shared" si="32"/>
        <v>No Expenditures</v>
      </c>
      <c r="W35">
        <f t="shared" si="33"/>
        <v>0</v>
      </c>
      <c r="X35" t="str">
        <f>'D-Risk'!$AO$25</f>
        <v>Insufficient Data</v>
      </c>
      <c r="Y35" t="str">
        <f>'D-Risk'!$AO$26</f>
        <v>Insufficient Data</v>
      </c>
      <c r="Z35" t="str">
        <f>'D-Risk'!$AO$27</f>
        <v>Uncalculated</v>
      </c>
      <c r="AA35">
        <v>192</v>
      </c>
      <c r="AB35" t="s">
        <v>681</v>
      </c>
      <c r="AC35" t="s">
        <v>715</v>
      </c>
      <c r="AD35">
        <f>Q4b_192_Participation</f>
        <v>0</v>
      </c>
      <c r="AE35">
        <f>'4b'!F202</f>
        <v>0</v>
      </c>
      <c r="AF35">
        <f>'4b'!G202</f>
        <v>0</v>
      </c>
      <c r="AG35">
        <f>'4b'!H202</f>
        <v>0</v>
      </c>
      <c r="AH35">
        <f>'4b'!I202</f>
        <v>0</v>
      </c>
      <c r="AI35">
        <f>'4b'!J202</f>
        <v>0</v>
      </c>
    </row>
    <row r="36" spans="1:35" x14ac:dyDescent="0.25">
      <c r="A36">
        <f t="shared" si="17"/>
        <v>0</v>
      </c>
      <c r="B36">
        <f t="shared" si="18"/>
        <v>0</v>
      </c>
      <c r="C36">
        <f t="shared" si="19"/>
        <v>0</v>
      </c>
      <c r="D36">
        <f t="shared" si="20"/>
        <v>0</v>
      </c>
      <c r="E36">
        <f t="shared" si="21"/>
        <v>0</v>
      </c>
      <c r="F36">
        <f>'D-RepLevel'!$F$2</f>
        <v>0</v>
      </c>
      <c r="G36">
        <f>'D-RepLevel'!$G$2</f>
        <v>0</v>
      </c>
      <c r="H36">
        <f t="shared" si="22"/>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23"/>
        <v>0</v>
      </c>
      <c r="M36">
        <f t="shared" si="24"/>
        <v>0</v>
      </c>
      <c r="N36">
        <f t="shared" si="25"/>
        <v>0</v>
      </c>
      <c r="O36">
        <f t="shared" si="26"/>
        <v>2015</v>
      </c>
      <c r="P36">
        <f t="shared" si="27"/>
        <v>0</v>
      </c>
      <c r="Q36">
        <f t="shared" si="28"/>
        <v>0</v>
      </c>
      <c r="R36">
        <f t="shared" si="29"/>
        <v>0</v>
      </c>
      <c r="S36">
        <f t="shared" si="30"/>
        <v>0</v>
      </c>
      <c r="T36">
        <f>COUNTIF('9a'!$K$22:$K$32, "Yes")+COUNTIF('9a'!$O$22:$O$32, "Yes")</f>
        <v>0</v>
      </c>
      <c r="U36" t="str">
        <f t="shared" si="31"/>
        <v>No Expenditures</v>
      </c>
      <c r="V36" t="str">
        <f t="shared" si="32"/>
        <v>No Expenditures</v>
      </c>
      <c r="W36">
        <f t="shared" si="33"/>
        <v>0</v>
      </c>
      <c r="X36" t="str">
        <f>'D-Risk'!$AO$25</f>
        <v>Insufficient Data</v>
      </c>
      <c r="Y36" t="str">
        <f>'D-Risk'!$AO$26</f>
        <v>Insufficient Data</v>
      </c>
      <c r="Z36" t="str">
        <f>'D-Risk'!$AO$27</f>
        <v>Uncalculated</v>
      </c>
      <c r="AA36">
        <v>193</v>
      </c>
      <c r="AB36" t="s">
        <v>681</v>
      </c>
      <c r="AC36" t="s">
        <v>716</v>
      </c>
      <c r="AD36">
        <f>Q4b_193_Participation</f>
        <v>0</v>
      </c>
      <c r="AE36">
        <f>'4b'!F203</f>
        <v>0</v>
      </c>
      <c r="AF36">
        <f>'4b'!G203</f>
        <v>0</v>
      </c>
      <c r="AG36">
        <f>'4b'!H203</f>
        <v>0</v>
      </c>
      <c r="AH36">
        <f>'4b'!I203</f>
        <v>0</v>
      </c>
      <c r="AI36">
        <f>'4b'!J203</f>
        <v>0</v>
      </c>
    </row>
    <row r="37" spans="1:35" x14ac:dyDescent="0.25">
      <c r="A37">
        <f t="shared" si="17"/>
        <v>0</v>
      </c>
      <c r="B37">
        <f t="shared" si="18"/>
        <v>0</v>
      </c>
      <c r="C37">
        <f t="shared" si="19"/>
        <v>0</v>
      </c>
      <c r="D37">
        <f t="shared" si="20"/>
        <v>0</v>
      </c>
      <c r="E37">
        <f t="shared" si="21"/>
        <v>0</v>
      </c>
      <c r="F37">
        <f>'D-RepLevel'!$F$2</f>
        <v>0</v>
      </c>
      <c r="G37">
        <f>'D-RepLevel'!$G$2</f>
        <v>0</v>
      </c>
      <c r="H37">
        <f t="shared" si="22"/>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23"/>
        <v>0</v>
      </c>
      <c r="M37">
        <f t="shared" si="24"/>
        <v>0</v>
      </c>
      <c r="N37">
        <f t="shared" si="25"/>
        <v>0</v>
      </c>
      <c r="O37">
        <f t="shared" si="26"/>
        <v>2015</v>
      </c>
      <c r="P37">
        <f t="shared" si="27"/>
        <v>0</v>
      </c>
      <c r="Q37">
        <f t="shared" si="28"/>
        <v>0</v>
      </c>
      <c r="R37">
        <f t="shared" si="29"/>
        <v>0</v>
      </c>
      <c r="S37">
        <f t="shared" si="30"/>
        <v>0</v>
      </c>
      <c r="T37">
        <f>COUNTIF('9a'!$K$22:$K$32, "Yes")+COUNTIF('9a'!$O$22:$O$32, "Yes")</f>
        <v>0</v>
      </c>
      <c r="U37" t="str">
        <f t="shared" si="31"/>
        <v>No Expenditures</v>
      </c>
      <c r="V37" t="str">
        <f t="shared" si="32"/>
        <v>No Expenditures</v>
      </c>
      <c r="W37">
        <f t="shared" si="33"/>
        <v>0</v>
      </c>
      <c r="X37" t="str">
        <f>'D-Risk'!$AO$25</f>
        <v>Insufficient Data</v>
      </c>
      <c r="Y37" t="str">
        <f>'D-Risk'!$AO$26</f>
        <v>Insufficient Data</v>
      </c>
      <c r="Z37" t="str">
        <f>'D-Risk'!$AO$27</f>
        <v>Uncalculated</v>
      </c>
      <c r="AA37">
        <v>194</v>
      </c>
      <c r="AB37" t="s">
        <v>681</v>
      </c>
      <c r="AC37" t="s">
        <v>717</v>
      </c>
      <c r="AD37">
        <f>Q4b_194_Participation</f>
        <v>0</v>
      </c>
      <c r="AE37">
        <f>'4b'!F204</f>
        <v>0</v>
      </c>
      <c r="AF37">
        <f>'4b'!G204</f>
        <v>0</v>
      </c>
      <c r="AG37">
        <f>'4b'!H204</f>
        <v>0</v>
      </c>
      <c r="AH37">
        <f>'4b'!I204</f>
        <v>0</v>
      </c>
      <c r="AI37">
        <f>'4b'!J204</f>
        <v>0</v>
      </c>
    </row>
    <row r="38" spans="1:35" x14ac:dyDescent="0.25">
      <c r="A38">
        <f t="shared" si="17"/>
        <v>0</v>
      </c>
      <c r="B38">
        <f t="shared" si="18"/>
        <v>0</v>
      </c>
      <c r="C38">
        <f t="shared" si="19"/>
        <v>0</v>
      </c>
      <c r="D38">
        <f t="shared" si="20"/>
        <v>0</v>
      </c>
      <c r="E38">
        <f t="shared" si="21"/>
        <v>0</v>
      </c>
      <c r="F38">
        <f>'D-RepLevel'!$F$2</f>
        <v>0</v>
      </c>
      <c r="G38">
        <f>'D-RepLevel'!$G$2</f>
        <v>0</v>
      </c>
      <c r="H38">
        <f t="shared" si="22"/>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23"/>
        <v>0</v>
      </c>
      <c r="M38">
        <f t="shared" si="24"/>
        <v>0</v>
      </c>
      <c r="N38">
        <f t="shared" si="25"/>
        <v>0</v>
      </c>
      <c r="O38">
        <f t="shared" si="26"/>
        <v>2015</v>
      </c>
      <c r="P38">
        <f t="shared" si="27"/>
        <v>0</v>
      </c>
      <c r="Q38">
        <f t="shared" si="28"/>
        <v>0</v>
      </c>
      <c r="R38">
        <f t="shared" si="29"/>
        <v>0</v>
      </c>
      <c r="S38">
        <f t="shared" si="30"/>
        <v>0</v>
      </c>
      <c r="T38">
        <f>COUNTIF('9a'!$K$22:$K$32, "Yes")+COUNTIF('9a'!$O$22:$O$32, "Yes")</f>
        <v>0</v>
      </c>
      <c r="U38" t="str">
        <f t="shared" si="31"/>
        <v>No Expenditures</v>
      </c>
      <c r="V38" t="str">
        <f t="shared" si="32"/>
        <v>No Expenditures</v>
      </c>
      <c r="W38">
        <f t="shared" si="33"/>
        <v>0</v>
      </c>
      <c r="X38" t="str">
        <f>'D-Risk'!$AO$25</f>
        <v>Insufficient Data</v>
      </c>
      <c r="Y38" t="str">
        <f>'D-Risk'!$AO$26</f>
        <v>Insufficient Data</v>
      </c>
      <c r="Z38" t="str">
        <f>'D-Risk'!$AO$27</f>
        <v>Uncalculated</v>
      </c>
      <c r="AA38">
        <v>195</v>
      </c>
      <c r="AB38" t="s">
        <v>681</v>
      </c>
      <c r="AC38" t="s">
        <v>718</v>
      </c>
      <c r="AD38">
        <f>Q4b_195_Participation</f>
        <v>0</v>
      </c>
      <c r="AE38">
        <f>'4b'!F205</f>
        <v>0</v>
      </c>
      <c r="AF38">
        <f>'4b'!G205</f>
        <v>0</v>
      </c>
      <c r="AG38">
        <f>'4b'!H205</f>
        <v>0</v>
      </c>
      <c r="AH38">
        <f>'4b'!I205</f>
        <v>0</v>
      </c>
      <c r="AI38">
        <f>'4b'!J205</f>
        <v>0</v>
      </c>
    </row>
    <row r="39" spans="1:35" x14ac:dyDescent="0.25">
      <c r="A39">
        <f t="shared" si="17"/>
        <v>0</v>
      </c>
      <c r="B39">
        <f t="shared" si="18"/>
        <v>0</v>
      </c>
      <c r="C39">
        <f t="shared" si="19"/>
        <v>0</v>
      </c>
      <c r="D39">
        <f t="shared" si="20"/>
        <v>0</v>
      </c>
      <c r="E39">
        <f t="shared" si="21"/>
        <v>0</v>
      </c>
      <c r="F39">
        <f>'D-RepLevel'!$F$2</f>
        <v>0</v>
      </c>
      <c r="G39">
        <f>'D-RepLevel'!$G$2</f>
        <v>0</v>
      </c>
      <c r="H39">
        <f t="shared" si="22"/>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23"/>
        <v>0</v>
      </c>
      <c r="M39">
        <f t="shared" si="24"/>
        <v>0</v>
      </c>
      <c r="N39">
        <f t="shared" si="25"/>
        <v>0</v>
      </c>
      <c r="O39">
        <f t="shared" si="26"/>
        <v>2015</v>
      </c>
      <c r="P39">
        <f t="shared" si="27"/>
        <v>0</v>
      </c>
      <c r="Q39">
        <f t="shared" si="28"/>
        <v>0</v>
      </c>
      <c r="R39">
        <f t="shared" si="29"/>
        <v>0</v>
      </c>
      <c r="S39">
        <f t="shared" si="30"/>
        <v>0</v>
      </c>
      <c r="T39">
        <f>COUNTIF('9a'!$K$22:$K$32, "Yes")+COUNTIF('9a'!$O$22:$O$32, "Yes")</f>
        <v>0</v>
      </c>
      <c r="U39" t="str">
        <f t="shared" si="31"/>
        <v>No Expenditures</v>
      </c>
      <c r="V39" t="str">
        <f t="shared" si="32"/>
        <v>No Expenditures</v>
      </c>
      <c r="W39">
        <f t="shared" si="33"/>
        <v>0</v>
      </c>
      <c r="X39" t="str">
        <f>'D-Risk'!$AO$25</f>
        <v>Insufficient Data</v>
      </c>
      <c r="Y39" t="str">
        <f>'D-Risk'!$AO$26</f>
        <v>Insufficient Data</v>
      </c>
      <c r="Z39" t="str">
        <f>'D-Risk'!$AO$27</f>
        <v>Uncalculated</v>
      </c>
      <c r="AA39">
        <v>196</v>
      </c>
      <c r="AB39" t="s">
        <v>681</v>
      </c>
      <c r="AC39" t="s">
        <v>719</v>
      </c>
      <c r="AD39">
        <f>Q4b_196_Participation</f>
        <v>0</v>
      </c>
      <c r="AE39">
        <f>'4b'!F206</f>
        <v>0</v>
      </c>
      <c r="AF39">
        <f>'4b'!G206</f>
        <v>0</v>
      </c>
      <c r="AG39">
        <f>'4b'!H206</f>
        <v>0</v>
      </c>
      <c r="AH39">
        <f>'4b'!I206</f>
        <v>0</v>
      </c>
      <c r="AI39">
        <f>'4b'!J206</f>
        <v>0</v>
      </c>
    </row>
    <row r="40" spans="1:35" x14ac:dyDescent="0.25">
      <c r="A40">
        <f t="shared" si="17"/>
        <v>0</v>
      </c>
      <c r="B40">
        <f t="shared" si="18"/>
        <v>0</v>
      </c>
      <c r="C40">
        <f t="shared" si="19"/>
        <v>0</v>
      </c>
      <c r="D40">
        <f t="shared" si="20"/>
        <v>0</v>
      </c>
      <c r="E40">
        <f t="shared" si="21"/>
        <v>0</v>
      </c>
      <c r="F40">
        <f>'D-RepLevel'!$F$2</f>
        <v>0</v>
      </c>
      <c r="G40">
        <f>'D-RepLevel'!$G$2</f>
        <v>0</v>
      </c>
      <c r="H40">
        <f t="shared" si="22"/>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23"/>
        <v>0</v>
      </c>
      <c r="M40">
        <f t="shared" si="24"/>
        <v>0</v>
      </c>
      <c r="N40">
        <f t="shared" si="25"/>
        <v>0</v>
      </c>
      <c r="O40">
        <f t="shared" si="26"/>
        <v>2015</v>
      </c>
      <c r="P40">
        <f t="shared" si="27"/>
        <v>0</v>
      </c>
      <c r="Q40">
        <f t="shared" si="28"/>
        <v>0</v>
      </c>
      <c r="R40">
        <f t="shared" si="29"/>
        <v>0</v>
      </c>
      <c r="S40">
        <f t="shared" si="30"/>
        <v>0</v>
      </c>
      <c r="T40">
        <f>COUNTIF('9a'!$K$22:$K$32, "Yes")+COUNTIF('9a'!$O$22:$O$32, "Yes")</f>
        <v>0</v>
      </c>
      <c r="U40" t="str">
        <f t="shared" si="31"/>
        <v>No Expenditures</v>
      </c>
      <c r="V40" t="str">
        <f t="shared" si="32"/>
        <v>No Expenditures</v>
      </c>
      <c r="W40">
        <f t="shared" si="33"/>
        <v>0</v>
      </c>
      <c r="X40" t="str">
        <f>'D-Risk'!$AO$25</f>
        <v>Insufficient Data</v>
      </c>
      <c r="Y40" t="str">
        <f>'D-Risk'!$AO$26</f>
        <v>Insufficient Data</v>
      </c>
      <c r="Z40" t="str">
        <f>'D-Risk'!$AO$27</f>
        <v>Uncalculated</v>
      </c>
      <c r="AA40">
        <v>197</v>
      </c>
      <c r="AB40" t="s">
        <v>681</v>
      </c>
      <c r="AC40" t="s">
        <v>720</v>
      </c>
      <c r="AD40">
        <f>Q4b_197_Participation</f>
        <v>0</v>
      </c>
      <c r="AE40">
        <f>'4b'!F207</f>
        <v>0</v>
      </c>
      <c r="AF40">
        <f>'4b'!G207</f>
        <v>0</v>
      </c>
      <c r="AG40">
        <f>'4b'!H207</f>
        <v>0</v>
      </c>
      <c r="AH40">
        <f>'4b'!I207</f>
        <v>0</v>
      </c>
      <c r="AI40">
        <f>'4b'!J207</f>
        <v>0</v>
      </c>
    </row>
    <row r="41" spans="1:35" x14ac:dyDescent="0.25">
      <c r="A41">
        <f t="shared" si="17"/>
        <v>0</v>
      </c>
      <c r="B41">
        <f t="shared" si="18"/>
        <v>0</v>
      </c>
      <c r="C41">
        <f t="shared" si="19"/>
        <v>0</v>
      </c>
      <c r="D41">
        <f t="shared" si="20"/>
        <v>0</v>
      </c>
      <c r="E41">
        <f t="shared" si="21"/>
        <v>0</v>
      </c>
      <c r="F41">
        <f>'D-RepLevel'!$F$2</f>
        <v>0</v>
      </c>
      <c r="G41">
        <f>'D-RepLevel'!$G$2</f>
        <v>0</v>
      </c>
      <c r="H41">
        <f t="shared" si="22"/>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23"/>
        <v>0</v>
      </c>
      <c r="M41">
        <f t="shared" si="24"/>
        <v>0</v>
      </c>
      <c r="N41">
        <f t="shared" si="25"/>
        <v>0</v>
      </c>
      <c r="O41">
        <f t="shared" si="26"/>
        <v>2015</v>
      </c>
      <c r="P41">
        <f t="shared" si="27"/>
        <v>0</v>
      </c>
      <c r="Q41">
        <f t="shared" si="28"/>
        <v>0</v>
      </c>
      <c r="R41">
        <f t="shared" si="29"/>
        <v>0</v>
      </c>
      <c r="S41">
        <f t="shared" si="30"/>
        <v>0</v>
      </c>
      <c r="T41">
        <f>COUNTIF('9a'!$K$22:$K$32, "Yes")+COUNTIF('9a'!$O$22:$O$32, "Yes")</f>
        <v>0</v>
      </c>
      <c r="U41" t="str">
        <f t="shared" si="31"/>
        <v>No Expenditures</v>
      </c>
      <c r="V41" t="str">
        <f t="shared" si="32"/>
        <v>No Expenditures</v>
      </c>
      <c r="W41">
        <f t="shared" si="33"/>
        <v>0</v>
      </c>
      <c r="X41" t="str">
        <f>'D-Risk'!$AO$25</f>
        <v>Insufficient Data</v>
      </c>
      <c r="Y41" t="str">
        <f>'D-Risk'!$AO$26</f>
        <v>Insufficient Data</v>
      </c>
      <c r="Z41" t="str">
        <f>'D-Risk'!$AO$27</f>
        <v>Uncalculated</v>
      </c>
      <c r="AA41">
        <v>198</v>
      </c>
      <c r="AB41" t="s">
        <v>681</v>
      </c>
      <c r="AC41" t="s">
        <v>721</v>
      </c>
      <c r="AD41">
        <f>Q4b_198_Participation</f>
        <v>0</v>
      </c>
      <c r="AE41">
        <f>'4b'!F208</f>
        <v>0</v>
      </c>
      <c r="AF41">
        <f>'4b'!G208</f>
        <v>0</v>
      </c>
      <c r="AG41">
        <f>'4b'!H208</f>
        <v>0</v>
      </c>
      <c r="AH41">
        <f>'4b'!I208</f>
        <v>0</v>
      </c>
      <c r="AI41">
        <f>'4b'!J208</f>
        <v>0</v>
      </c>
    </row>
    <row r="42" spans="1:35" x14ac:dyDescent="0.25">
      <c r="A42">
        <f t="shared" si="17"/>
        <v>0</v>
      </c>
      <c r="B42">
        <f t="shared" si="18"/>
        <v>0</v>
      </c>
      <c r="C42">
        <f t="shared" si="19"/>
        <v>0</v>
      </c>
      <c r="D42">
        <f t="shared" si="20"/>
        <v>0</v>
      </c>
      <c r="E42">
        <f t="shared" si="21"/>
        <v>0</v>
      </c>
      <c r="F42">
        <f>'D-RepLevel'!$F$2</f>
        <v>0</v>
      </c>
      <c r="G42">
        <f>'D-RepLevel'!$G$2</f>
        <v>0</v>
      </c>
      <c r="H42">
        <f t="shared" si="22"/>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23"/>
        <v>0</v>
      </c>
      <c r="M42">
        <f t="shared" si="24"/>
        <v>0</v>
      </c>
      <c r="N42">
        <f t="shared" si="25"/>
        <v>0</v>
      </c>
      <c r="O42">
        <f t="shared" si="26"/>
        <v>2015</v>
      </c>
      <c r="P42">
        <f t="shared" si="27"/>
        <v>0</v>
      </c>
      <c r="Q42">
        <f t="shared" si="28"/>
        <v>0</v>
      </c>
      <c r="R42">
        <f t="shared" si="29"/>
        <v>0</v>
      </c>
      <c r="S42">
        <f t="shared" si="30"/>
        <v>0</v>
      </c>
      <c r="T42">
        <f>COUNTIF('9a'!$K$22:$K$32, "Yes")+COUNTIF('9a'!$O$22:$O$32, "Yes")</f>
        <v>0</v>
      </c>
      <c r="U42" t="str">
        <f t="shared" si="31"/>
        <v>No Expenditures</v>
      </c>
      <c r="V42" t="str">
        <f t="shared" si="32"/>
        <v>No Expenditures</v>
      </c>
      <c r="W42">
        <f t="shared" si="33"/>
        <v>0</v>
      </c>
      <c r="X42" t="str">
        <f>'D-Risk'!$AO$25</f>
        <v>Insufficient Data</v>
      </c>
      <c r="Y42" t="str">
        <f>'D-Risk'!$AO$26</f>
        <v>Insufficient Data</v>
      </c>
      <c r="Z42" t="str">
        <f>'D-Risk'!$AO$27</f>
        <v>Uncalculated</v>
      </c>
      <c r="AA42">
        <v>199</v>
      </c>
      <c r="AB42" t="s">
        <v>681</v>
      </c>
      <c r="AC42" t="s">
        <v>722</v>
      </c>
      <c r="AD42">
        <f>Q4b_199_Participation</f>
        <v>0</v>
      </c>
      <c r="AE42">
        <f>'4b'!F209</f>
        <v>0</v>
      </c>
      <c r="AF42">
        <f>'4b'!G209</f>
        <v>0</v>
      </c>
      <c r="AG42">
        <f>'4b'!H209</f>
        <v>0</v>
      </c>
      <c r="AH42">
        <f>'4b'!I209</f>
        <v>0</v>
      </c>
      <c r="AI42">
        <f>'4b'!J209</f>
        <v>0</v>
      </c>
    </row>
    <row r="43" spans="1:35" x14ac:dyDescent="0.25">
      <c r="A43">
        <f t="shared" si="17"/>
        <v>0</v>
      </c>
      <c r="B43">
        <f t="shared" si="18"/>
        <v>0</v>
      </c>
      <c r="C43">
        <f t="shared" si="19"/>
        <v>0</v>
      </c>
      <c r="D43">
        <f t="shared" si="20"/>
        <v>0</v>
      </c>
      <c r="E43">
        <f t="shared" si="21"/>
        <v>0</v>
      </c>
      <c r="F43">
        <f>'D-RepLevel'!$F$2</f>
        <v>0</v>
      </c>
      <c r="G43">
        <f>'D-RepLevel'!$G$2</f>
        <v>0</v>
      </c>
      <c r="H43">
        <f t="shared" si="22"/>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23"/>
        <v>0</v>
      </c>
      <c r="M43">
        <f t="shared" si="24"/>
        <v>0</v>
      </c>
      <c r="N43">
        <f t="shared" si="25"/>
        <v>0</v>
      </c>
      <c r="O43">
        <f t="shared" si="26"/>
        <v>2015</v>
      </c>
      <c r="P43">
        <f t="shared" si="27"/>
        <v>0</v>
      </c>
      <c r="Q43">
        <f t="shared" si="28"/>
        <v>0</v>
      </c>
      <c r="R43">
        <f t="shared" si="29"/>
        <v>0</v>
      </c>
      <c r="S43">
        <f t="shared" si="30"/>
        <v>0</v>
      </c>
      <c r="T43">
        <f>COUNTIF('9a'!$K$22:$K$32, "Yes")+COUNTIF('9a'!$O$22:$O$32, "Yes")</f>
        <v>0</v>
      </c>
      <c r="U43" t="str">
        <f t="shared" si="31"/>
        <v>No Expenditures</v>
      </c>
      <c r="V43" t="str">
        <f t="shared" si="32"/>
        <v>No Expenditures</v>
      </c>
      <c r="W43">
        <f t="shared" si="33"/>
        <v>0</v>
      </c>
      <c r="X43" t="str">
        <f>'D-Risk'!$AO$25</f>
        <v>Insufficient Data</v>
      </c>
      <c r="Y43" t="str">
        <f>'D-Risk'!$AO$26</f>
        <v>Insufficient Data</v>
      </c>
      <c r="Z43" t="str">
        <f>'D-Risk'!$AO$27</f>
        <v>Uncalculated</v>
      </c>
      <c r="AA43">
        <v>200</v>
      </c>
      <c r="AB43" t="s">
        <v>681</v>
      </c>
      <c r="AC43" t="s">
        <v>723</v>
      </c>
      <c r="AD43">
        <f>Q4b_200_Participation</f>
        <v>0</v>
      </c>
      <c r="AE43">
        <f>'4b'!F210</f>
        <v>0</v>
      </c>
      <c r="AF43">
        <f>'4b'!G210</f>
        <v>0</v>
      </c>
      <c r="AG43">
        <f>'4b'!H210</f>
        <v>0</v>
      </c>
      <c r="AH43">
        <f>'4b'!I210</f>
        <v>0</v>
      </c>
      <c r="AI43">
        <f>'4b'!J210</f>
        <v>0</v>
      </c>
    </row>
    <row r="44" spans="1:35" x14ac:dyDescent="0.25">
      <c r="A44">
        <f t="shared" si="17"/>
        <v>0</v>
      </c>
      <c r="B44">
        <f t="shared" si="18"/>
        <v>0</v>
      </c>
      <c r="C44">
        <f t="shared" si="19"/>
        <v>0</v>
      </c>
      <c r="D44">
        <f t="shared" si="20"/>
        <v>0</v>
      </c>
      <c r="E44">
        <f t="shared" si="21"/>
        <v>0</v>
      </c>
      <c r="F44">
        <f>'D-RepLevel'!$F$2</f>
        <v>0</v>
      </c>
      <c r="G44">
        <f>'D-RepLevel'!$G$2</f>
        <v>0</v>
      </c>
      <c r="H44">
        <f t="shared" si="22"/>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23"/>
        <v>0</v>
      </c>
      <c r="M44">
        <f t="shared" si="24"/>
        <v>0</v>
      </c>
      <c r="N44">
        <f t="shared" si="25"/>
        <v>0</v>
      </c>
      <c r="O44">
        <f t="shared" si="26"/>
        <v>2015</v>
      </c>
      <c r="P44">
        <f t="shared" si="27"/>
        <v>0</v>
      </c>
      <c r="Q44">
        <f t="shared" si="28"/>
        <v>0</v>
      </c>
      <c r="R44">
        <f t="shared" si="29"/>
        <v>0</v>
      </c>
      <c r="S44">
        <f t="shared" si="30"/>
        <v>0</v>
      </c>
      <c r="T44">
        <f>COUNTIF('9a'!$K$22:$K$32, "Yes")+COUNTIF('9a'!$O$22:$O$32, "Yes")</f>
        <v>0</v>
      </c>
      <c r="U44" t="str">
        <f t="shared" si="31"/>
        <v>No Expenditures</v>
      </c>
      <c r="V44" t="str">
        <f t="shared" si="32"/>
        <v>No Expenditures</v>
      </c>
      <c r="W44">
        <f t="shared" si="33"/>
        <v>0</v>
      </c>
      <c r="X44" t="str">
        <f>'D-Risk'!$AO$25</f>
        <v>Insufficient Data</v>
      </c>
      <c r="Y44" t="str">
        <f>'D-Risk'!$AO$26</f>
        <v>Insufficient Data</v>
      </c>
      <c r="Z44" t="str">
        <f>'D-Risk'!$AO$27</f>
        <v>Uncalculated</v>
      </c>
      <c r="AA44">
        <v>201</v>
      </c>
      <c r="AB44" t="s">
        <v>681</v>
      </c>
      <c r="AC44" t="s">
        <v>724</v>
      </c>
      <c r="AD44">
        <f>Q4b_201_Participation</f>
        <v>0</v>
      </c>
      <c r="AE44">
        <f>'4b'!F211</f>
        <v>0</v>
      </c>
      <c r="AF44">
        <f>'4b'!G211</f>
        <v>0</v>
      </c>
      <c r="AG44">
        <f>'4b'!H211</f>
        <v>0</v>
      </c>
      <c r="AH44">
        <f>'4b'!I211</f>
        <v>0</v>
      </c>
      <c r="AI44">
        <f>'4b'!J211</f>
        <v>0</v>
      </c>
    </row>
    <row r="45" spans="1:35" x14ac:dyDescent="0.25">
      <c r="A45">
        <f t="shared" si="17"/>
        <v>0</v>
      </c>
      <c r="B45">
        <f t="shared" si="18"/>
        <v>0</v>
      </c>
      <c r="C45">
        <f t="shared" si="19"/>
        <v>0</v>
      </c>
      <c r="D45">
        <f t="shared" si="20"/>
        <v>0</v>
      </c>
      <c r="E45">
        <f t="shared" si="21"/>
        <v>0</v>
      </c>
      <c r="F45">
        <f>'D-RepLevel'!$F$2</f>
        <v>0</v>
      </c>
      <c r="G45">
        <f>'D-RepLevel'!$G$2</f>
        <v>0</v>
      </c>
      <c r="H45">
        <f t="shared" si="22"/>
        <v>0</v>
      </c>
      <c r="I45" t="str">
        <f>IF(ISERROR(INDEX('1b'!$C$5:$C$21, MATCH("Primary Business Line", '1b'!$H$5:$H$21, FALSE), 1)), "None Selected", INDEX('1b'!$C$5:$C$21, MATCH("Primary Business Line", '1b'!$H$5:$H$21, FALSE), 1))</f>
        <v>None Selected</v>
      </c>
      <c r="J45">
        <f>'D-3'!$J$2</f>
        <v>0</v>
      </c>
      <c r="K45">
        <f>COUNTIF('4a'!$E$6:$E$29, "Direct")+COUNTIF('4a'!$E$6:$E$29, "Indirect")+COUNTIF('4a'!$E$6:$E$29, "Both")</f>
        <v>0</v>
      </c>
      <c r="L45">
        <f t="shared" si="23"/>
        <v>0</v>
      </c>
      <c r="M45">
        <f t="shared" si="24"/>
        <v>0</v>
      </c>
      <c r="N45">
        <f t="shared" si="25"/>
        <v>0</v>
      </c>
      <c r="O45">
        <f t="shared" si="26"/>
        <v>2015</v>
      </c>
      <c r="P45">
        <f t="shared" si="27"/>
        <v>0</v>
      </c>
      <c r="Q45">
        <f t="shared" si="28"/>
        <v>0</v>
      </c>
      <c r="R45">
        <f t="shared" si="29"/>
        <v>0</v>
      </c>
      <c r="S45">
        <f t="shared" si="30"/>
        <v>0</v>
      </c>
      <c r="T45">
        <f>COUNTIF('9a'!$K$22:$K$32, "Yes")+COUNTIF('9a'!$O$22:$O$32, "Yes")</f>
        <v>0</v>
      </c>
      <c r="U45" t="str">
        <f t="shared" si="31"/>
        <v>No Expenditures</v>
      </c>
      <c r="V45" t="str">
        <f t="shared" si="32"/>
        <v>No Expenditures</v>
      </c>
      <c r="W45">
        <f t="shared" si="33"/>
        <v>0</v>
      </c>
      <c r="X45" t="str">
        <f>'D-Risk'!$AO$25</f>
        <v>Insufficient Data</v>
      </c>
      <c r="Y45" t="str">
        <f>'D-Risk'!$AO$26</f>
        <v>Insufficient Data</v>
      </c>
      <c r="Z45" t="str">
        <f>'D-Risk'!$AO$27</f>
        <v>Uncalculated</v>
      </c>
      <c r="AA45">
        <v>202</v>
      </c>
      <c r="AB45" t="s">
        <v>681</v>
      </c>
      <c r="AC45" t="s">
        <v>725</v>
      </c>
      <c r="AD45">
        <f>Q4b_202_Participation</f>
        <v>0</v>
      </c>
      <c r="AE45">
        <f>'4b'!F212</f>
        <v>0</v>
      </c>
      <c r="AF45">
        <f>'4b'!G212</f>
        <v>0</v>
      </c>
      <c r="AG45">
        <f>'4b'!H212</f>
        <v>0</v>
      </c>
      <c r="AH45">
        <f>'4b'!I212</f>
        <v>0</v>
      </c>
      <c r="AI45">
        <f>'4b'!J212</f>
        <v>0</v>
      </c>
    </row>
    <row r="46" spans="1:35" x14ac:dyDescent="0.25">
      <c r="A46">
        <f t="shared" si="17"/>
        <v>0</v>
      </c>
      <c r="B46">
        <f t="shared" si="18"/>
        <v>0</v>
      </c>
      <c r="C46">
        <f t="shared" si="19"/>
        <v>0</v>
      </c>
      <c r="D46">
        <f t="shared" si="20"/>
        <v>0</v>
      </c>
      <c r="E46">
        <f t="shared" si="21"/>
        <v>0</v>
      </c>
      <c r="F46">
        <f>'D-RepLevel'!$F$2</f>
        <v>0</v>
      </c>
      <c r="G46">
        <f>'D-RepLevel'!$G$2</f>
        <v>0</v>
      </c>
      <c r="H46">
        <f t="shared" si="22"/>
        <v>0</v>
      </c>
      <c r="I46" t="str">
        <f>IF(ISERROR(INDEX('1b'!$C$5:$C$21, MATCH("Primary Business Line", '1b'!$H$5:$H$21, FALSE), 1)), "None Selected", INDEX('1b'!$C$5:$C$21, MATCH("Primary Business Line", '1b'!$H$5:$H$21, FALSE), 1))</f>
        <v>None Selected</v>
      </c>
      <c r="J46">
        <f>'D-3'!$J$2</f>
        <v>0</v>
      </c>
      <c r="K46">
        <f>COUNTIF('4a'!$E$6:$E$29, "Direct")+COUNTIF('4a'!$E$6:$E$29, "Indirect")+COUNTIF('4a'!$E$6:$E$29, "Both")</f>
        <v>0</v>
      </c>
      <c r="L46">
        <f t="shared" si="23"/>
        <v>0</v>
      </c>
      <c r="M46">
        <f t="shared" si="24"/>
        <v>0</v>
      </c>
      <c r="N46">
        <f t="shared" si="25"/>
        <v>0</v>
      </c>
      <c r="O46">
        <f t="shared" si="26"/>
        <v>2015</v>
      </c>
      <c r="P46">
        <f t="shared" si="27"/>
        <v>0</v>
      </c>
      <c r="Q46">
        <f t="shared" si="28"/>
        <v>0</v>
      </c>
      <c r="R46">
        <f t="shared" si="29"/>
        <v>0</v>
      </c>
      <c r="S46">
        <f t="shared" si="30"/>
        <v>0</v>
      </c>
      <c r="T46">
        <f>COUNTIF('9a'!$K$22:$K$32, "Yes")+COUNTIF('9a'!$O$22:$O$32, "Yes")</f>
        <v>0</v>
      </c>
      <c r="U46" t="str">
        <f t="shared" si="31"/>
        <v>No Expenditures</v>
      </c>
      <c r="V46" t="str">
        <f t="shared" si="32"/>
        <v>No Expenditures</v>
      </c>
      <c r="W46">
        <f t="shared" si="33"/>
        <v>0</v>
      </c>
      <c r="X46" t="str">
        <f>'D-Risk'!$AO$25</f>
        <v>Insufficient Data</v>
      </c>
      <c r="Y46" t="str">
        <f>'D-Risk'!$AO$26</f>
        <v>Insufficient Data</v>
      </c>
      <c r="Z46" t="str">
        <f>'D-Risk'!$AO$27</f>
        <v>Uncalculated</v>
      </c>
      <c r="AA46">
        <v>203</v>
      </c>
      <c r="AB46" t="s">
        <v>681</v>
      </c>
      <c r="AC46" t="s">
        <v>726</v>
      </c>
      <c r="AD46">
        <f>Q4b_203_Participation</f>
        <v>0</v>
      </c>
      <c r="AE46">
        <f>'4b'!F213</f>
        <v>0</v>
      </c>
      <c r="AF46">
        <f>'4b'!G213</f>
        <v>0</v>
      </c>
      <c r="AG46">
        <f>'4b'!H213</f>
        <v>0</v>
      </c>
      <c r="AH46">
        <f>'4b'!I213</f>
        <v>0</v>
      </c>
      <c r="AI46">
        <f>'4b'!J213</f>
        <v>0</v>
      </c>
    </row>
    <row r="47" spans="1:35" x14ac:dyDescent="0.25">
      <c r="A47">
        <f t="shared" si="17"/>
        <v>0</v>
      </c>
      <c r="B47">
        <f t="shared" si="18"/>
        <v>0</v>
      </c>
      <c r="C47">
        <f t="shared" si="19"/>
        <v>0</v>
      </c>
      <c r="D47">
        <f t="shared" si="20"/>
        <v>0</v>
      </c>
      <c r="E47">
        <f t="shared" si="21"/>
        <v>0</v>
      </c>
      <c r="F47">
        <f>'D-RepLevel'!$F$2</f>
        <v>0</v>
      </c>
      <c r="G47">
        <f>'D-RepLevel'!$G$2</f>
        <v>0</v>
      </c>
      <c r="H47">
        <f t="shared" si="22"/>
        <v>0</v>
      </c>
      <c r="I47" t="str">
        <f>IF(ISERROR(INDEX('1b'!$C$5:$C$21, MATCH("Primary Business Line", '1b'!$H$5:$H$21, FALSE), 1)), "None Selected", INDEX('1b'!$C$5:$C$21, MATCH("Primary Business Line", '1b'!$H$5:$H$21, FALSE), 1))</f>
        <v>None Selected</v>
      </c>
      <c r="J47">
        <f>'D-3'!$J$2</f>
        <v>0</v>
      </c>
      <c r="K47">
        <f>COUNTIF('4a'!$E$6:$E$29, "Direct")+COUNTIF('4a'!$E$6:$E$29, "Indirect")+COUNTIF('4a'!$E$6:$E$29, "Both")</f>
        <v>0</v>
      </c>
      <c r="L47">
        <f t="shared" si="23"/>
        <v>0</v>
      </c>
      <c r="M47">
        <f t="shared" si="24"/>
        <v>0</v>
      </c>
      <c r="N47">
        <f t="shared" si="25"/>
        <v>0</v>
      </c>
      <c r="O47">
        <f t="shared" si="26"/>
        <v>2015</v>
      </c>
      <c r="P47">
        <f t="shared" si="27"/>
        <v>0</v>
      </c>
      <c r="Q47">
        <f t="shared" si="28"/>
        <v>0</v>
      </c>
      <c r="R47">
        <f t="shared" si="29"/>
        <v>0</v>
      </c>
      <c r="S47">
        <f t="shared" si="30"/>
        <v>0</v>
      </c>
      <c r="T47">
        <f>COUNTIF('9a'!$K$22:$K$32, "Yes")+COUNTIF('9a'!$O$22:$O$32, "Yes")</f>
        <v>0</v>
      </c>
      <c r="U47" t="str">
        <f t="shared" si="31"/>
        <v>No Expenditures</v>
      </c>
      <c r="V47" t="str">
        <f t="shared" si="32"/>
        <v>No Expenditures</v>
      </c>
      <c r="W47">
        <f t="shared" si="33"/>
        <v>0</v>
      </c>
      <c r="X47" t="str">
        <f>'D-Risk'!$AO$25</f>
        <v>Insufficient Data</v>
      </c>
      <c r="Y47" t="str">
        <f>'D-Risk'!$AO$26</f>
        <v>Insufficient Data</v>
      </c>
      <c r="Z47" t="str">
        <f>'D-Risk'!$AO$27</f>
        <v>Uncalculated</v>
      </c>
      <c r="AA47">
        <v>204</v>
      </c>
      <c r="AB47" t="s">
        <v>681</v>
      </c>
      <c r="AC47" t="s">
        <v>727</v>
      </c>
      <c r="AD47">
        <f>Q4b_204_Participation</f>
        <v>0</v>
      </c>
      <c r="AE47">
        <f>'4b'!F214</f>
        <v>0</v>
      </c>
      <c r="AF47">
        <f>'4b'!G214</f>
        <v>0</v>
      </c>
      <c r="AG47">
        <f>'4b'!H214</f>
        <v>0</v>
      </c>
      <c r="AH47">
        <f>'4b'!I214</f>
        <v>0</v>
      </c>
      <c r="AI47">
        <f>'4b'!J214</f>
        <v>0</v>
      </c>
    </row>
    <row r="48" spans="1:35" x14ac:dyDescent="0.25">
      <c r="A48">
        <f t="shared" si="17"/>
        <v>0</v>
      </c>
      <c r="B48">
        <f t="shared" si="18"/>
        <v>0</v>
      </c>
      <c r="C48">
        <f t="shared" si="19"/>
        <v>0</v>
      </c>
      <c r="D48">
        <f t="shared" si="20"/>
        <v>0</v>
      </c>
      <c r="E48">
        <f t="shared" si="21"/>
        <v>0</v>
      </c>
      <c r="F48">
        <f>'D-RepLevel'!$F$2</f>
        <v>0</v>
      </c>
      <c r="G48">
        <f>'D-RepLevel'!$G$2</f>
        <v>0</v>
      </c>
      <c r="H48">
        <f t="shared" si="22"/>
        <v>0</v>
      </c>
      <c r="I48" t="str">
        <f>IF(ISERROR(INDEX('1b'!$C$5:$C$21, MATCH("Primary Business Line", '1b'!$H$5:$H$21, FALSE), 1)), "None Selected", INDEX('1b'!$C$5:$C$21, MATCH("Primary Business Line", '1b'!$H$5:$H$21, FALSE), 1))</f>
        <v>None Selected</v>
      </c>
      <c r="J48">
        <f>'D-3'!$J$2</f>
        <v>0</v>
      </c>
      <c r="K48">
        <f>COUNTIF('4a'!$E$6:$E$29, "Direct")+COUNTIF('4a'!$E$6:$E$29, "Indirect")+COUNTIF('4a'!$E$6:$E$29, "Both")</f>
        <v>0</v>
      </c>
      <c r="L48">
        <f t="shared" si="23"/>
        <v>0</v>
      </c>
      <c r="M48">
        <f t="shared" si="24"/>
        <v>0</v>
      </c>
      <c r="N48">
        <f t="shared" si="25"/>
        <v>0</v>
      </c>
      <c r="O48">
        <f t="shared" si="26"/>
        <v>2015</v>
      </c>
      <c r="P48">
        <f t="shared" si="27"/>
        <v>0</v>
      </c>
      <c r="Q48">
        <f t="shared" si="28"/>
        <v>0</v>
      </c>
      <c r="R48">
        <f t="shared" si="29"/>
        <v>0</v>
      </c>
      <c r="S48">
        <f t="shared" si="30"/>
        <v>0</v>
      </c>
      <c r="T48">
        <f>COUNTIF('9a'!$K$22:$K$32, "Yes")+COUNTIF('9a'!$O$22:$O$32, "Yes")</f>
        <v>0</v>
      </c>
      <c r="U48" t="str">
        <f t="shared" si="31"/>
        <v>No Expenditures</v>
      </c>
      <c r="V48" t="str">
        <f t="shared" si="32"/>
        <v>No Expenditures</v>
      </c>
      <c r="W48">
        <f t="shared" si="33"/>
        <v>0</v>
      </c>
      <c r="X48" t="str">
        <f>'D-Risk'!$AO$25</f>
        <v>Insufficient Data</v>
      </c>
      <c r="Y48" t="str">
        <f>'D-Risk'!$AO$26</f>
        <v>Insufficient Data</v>
      </c>
      <c r="Z48" t="str">
        <f>'D-Risk'!$AO$27</f>
        <v>Uncalculated</v>
      </c>
      <c r="AA48">
        <v>205</v>
      </c>
      <c r="AB48" t="s">
        <v>681</v>
      </c>
      <c r="AC48" t="s">
        <v>728</v>
      </c>
      <c r="AD48">
        <f>Q4b_205_Participation</f>
        <v>0</v>
      </c>
      <c r="AE48">
        <f>'4b'!F215</f>
        <v>0</v>
      </c>
      <c r="AF48">
        <f>'4b'!G215</f>
        <v>0</v>
      </c>
      <c r="AG48">
        <f>'4b'!H215</f>
        <v>0</v>
      </c>
      <c r="AH48">
        <f>'4b'!I215</f>
        <v>0</v>
      </c>
      <c r="AI48">
        <f>'4b'!J215</f>
        <v>0</v>
      </c>
    </row>
    <row r="49" spans="1:35" x14ac:dyDescent="0.25">
      <c r="A49">
        <f t="shared" si="17"/>
        <v>0</v>
      </c>
      <c r="B49">
        <f t="shared" si="18"/>
        <v>0</v>
      </c>
      <c r="C49">
        <f t="shared" si="19"/>
        <v>0</v>
      </c>
      <c r="D49">
        <f t="shared" si="20"/>
        <v>0</v>
      </c>
      <c r="E49">
        <f t="shared" si="21"/>
        <v>0</v>
      </c>
      <c r="F49">
        <f>'D-RepLevel'!$F$2</f>
        <v>0</v>
      </c>
      <c r="G49">
        <f>'D-RepLevel'!$G$2</f>
        <v>0</v>
      </c>
      <c r="H49">
        <f t="shared" si="22"/>
        <v>0</v>
      </c>
      <c r="I49" t="str">
        <f>IF(ISERROR(INDEX('1b'!$C$5:$C$21, MATCH("Primary Business Line", '1b'!$H$5:$H$21, FALSE), 1)), "None Selected", INDEX('1b'!$C$5:$C$21, MATCH("Primary Business Line", '1b'!$H$5:$H$21, FALSE), 1))</f>
        <v>None Selected</v>
      </c>
      <c r="J49">
        <f>'D-3'!$J$2</f>
        <v>0</v>
      </c>
      <c r="K49">
        <f>COUNTIF('4a'!$E$6:$E$29, "Direct")+COUNTIF('4a'!$E$6:$E$29, "Indirect")+COUNTIF('4a'!$E$6:$E$29, "Both")</f>
        <v>0</v>
      </c>
      <c r="L49">
        <f t="shared" si="23"/>
        <v>0</v>
      </c>
      <c r="M49">
        <f t="shared" si="24"/>
        <v>0</v>
      </c>
      <c r="N49">
        <f t="shared" si="25"/>
        <v>0</v>
      </c>
      <c r="O49">
        <f t="shared" si="26"/>
        <v>2015</v>
      </c>
      <c r="P49">
        <f t="shared" si="27"/>
        <v>0</v>
      </c>
      <c r="Q49">
        <f t="shared" si="28"/>
        <v>0</v>
      </c>
      <c r="R49">
        <f t="shared" si="29"/>
        <v>0</v>
      </c>
      <c r="S49">
        <f t="shared" si="30"/>
        <v>0</v>
      </c>
      <c r="T49">
        <f>COUNTIF('9a'!$K$22:$K$32, "Yes")+COUNTIF('9a'!$O$22:$O$32, "Yes")</f>
        <v>0</v>
      </c>
      <c r="U49" t="str">
        <f t="shared" si="31"/>
        <v>No Expenditures</v>
      </c>
      <c r="V49" t="str">
        <f t="shared" si="32"/>
        <v>No Expenditures</v>
      </c>
      <c r="W49">
        <f t="shared" si="33"/>
        <v>0</v>
      </c>
      <c r="X49" t="str">
        <f>'D-Risk'!$AO$25</f>
        <v>Insufficient Data</v>
      </c>
      <c r="Y49" t="str">
        <f>'D-Risk'!$AO$26</f>
        <v>Insufficient Data</v>
      </c>
      <c r="Z49" t="str">
        <f>'D-Risk'!$AO$27</f>
        <v>Uncalculated</v>
      </c>
      <c r="AA49">
        <v>206</v>
      </c>
      <c r="AB49" t="s">
        <v>681</v>
      </c>
      <c r="AC49" t="s">
        <v>729</v>
      </c>
      <c r="AD49">
        <f>Q4b_206_Participation</f>
        <v>0</v>
      </c>
      <c r="AE49">
        <f>'4b'!F216</f>
        <v>0</v>
      </c>
      <c r="AF49">
        <f>'4b'!G216</f>
        <v>0</v>
      </c>
      <c r="AG49">
        <f>'4b'!H216</f>
        <v>0</v>
      </c>
      <c r="AH49">
        <f>'4b'!I216</f>
        <v>0</v>
      </c>
      <c r="AI49">
        <f>'4b'!J216</f>
        <v>0</v>
      </c>
    </row>
    <row r="50" spans="1:35" x14ac:dyDescent="0.25">
      <c r="A50">
        <f t="shared" si="17"/>
        <v>0</v>
      </c>
      <c r="B50">
        <f t="shared" si="18"/>
        <v>0</v>
      </c>
      <c r="C50">
        <f t="shared" si="19"/>
        <v>0</v>
      </c>
      <c r="D50">
        <f t="shared" si="20"/>
        <v>0</v>
      </c>
      <c r="E50">
        <f t="shared" si="21"/>
        <v>0</v>
      </c>
      <c r="F50">
        <f>'D-RepLevel'!$F$2</f>
        <v>0</v>
      </c>
      <c r="G50">
        <f>'D-RepLevel'!$G$2</f>
        <v>0</v>
      </c>
      <c r="H50">
        <f t="shared" si="22"/>
        <v>0</v>
      </c>
      <c r="I50" t="str">
        <f>IF(ISERROR(INDEX('1b'!$C$5:$C$21, MATCH("Primary Business Line", '1b'!$H$5:$H$21, FALSE), 1)), "None Selected", INDEX('1b'!$C$5:$C$21, MATCH("Primary Business Line", '1b'!$H$5:$H$21, FALSE), 1))</f>
        <v>None Selected</v>
      </c>
      <c r="J50">
        <f>'D-3'!$J$2</f>
        <v>0</v>
      </c>
      <c r="K50">
        <f>COUNTIF('4a'!$E$6:$E$29, "Direct")+COUNTIF('4a'!$E$6:$E$29, "Indirect")+COUNTIF('4a'!$E$6:$E$29, "Both")</f>
        <v>0</v>
      </c>
      <c r="L50">
        <f t="shared" si="23"/>
        <v>0</v>
      </c>
      <c r="M50">
        <f t="shared" si="24"/>
        <v>0</v>
      </c>
      <c r="N50">
        <f t="shared" si="25"/>
        <v>0</v>
      </c>
      <c r="O50">
        <f t="shared" si="26"/>
        <v>2015</v>
      </c>
      <c r="P50">
        <f t="shared" si="27"/>
        <v>0</v>
      </c>
      <c r="Q50">
        <f t="shared" si="28"/>
        <v>0</v>
      </c>
      <c r="R50">
        <f t="shared" si="29"/>
        <v>0</v>
      </c>
      <c r="S50">
        <f t="shared" si="30"/>
        <v>0</v>
      </c>
      <c r="T50">
        <f>COUNTIF('9a'!$K$22:$K$32, "Yes")+COUNTIF('9a'!$O$22:$O$32, "Yes")</f>
        <v>0</v>
      </c>
      <c r="U50" t="str">
        <f t="shared" si="31"/>
        <v>No Expenditures</v>
      </c>
      <c r="V50" t="str">
        <f t="shared" si="32"/>
        <v>No Expenditures</v>
      </c>
      <c r="W50">
        <f t="shared" si="33"/>
        <v>0</v>
      </c>
      <c r="X50" t="str">
        <f>'D-Risk'!$AO$25</f>
        <v>Insufficient Data</v>
      </c>
      <c r="Y50" t="str">
        <f>'D-Risk'!$AO$26</f>
        <v>Insufficient Data</v>
      </c>
      <c r="Z50" t="str">
        <f>'D-Risk'!$AO$27</f>
        <v>Uncalculated</v>
      </c>
      <c r="AA50">
        <v>207</v>
      </c>
      <c r="AB50" t="s">
        <v>681</v>
      </c>
      <c r="AC50" t="s">
        <v>730</v>
      </c>
      <c r="AD50">
        <f>Q4b_207_Participation</f>
        <v>0</v>
      </c>
      <c r="AE50">
        <f>'4b'!F217</f>
        <v>0</v>
      </c>
      <c r="AF50">
        <f>'4b'!G217</f>
        <v>0</v>
      </c>
      <c r="AG50">
        <f>'4b'!H217</f>
        <v>0</v>
      </c>
      <c r="AH50">
        <f>'4b'!I217</f>
        <v>0</v>
      </c>
      <c r="AI50">
        <f>'4b'!J217</f>
        <v>0</v>
      </c>
    </row>
    <row r="51" spans="1:35" x14ac:dyDescent="0.25">
      <c r="A51">
        <f t="shared" si="17"/>
        <v>0</v>
      </c>
      <c r="B51">
        <f t="shared" si="18"/>
        <v>0</v>
      </c>
      <c r="C51">
        <f t="shared" si="19"/>
        <v>0</v>
      </c>
      <c r="D51">
        <f t="shared" si="20"/>
        <v>0</v>
      </c>
      <c r="E51">
        <f t="shared" si="21"/>
        <v>0</v>
      </c>
      <c r="F51">
        <f>'D-RepLevel'!$F$2</f>
        <v>0</v>
      </c>
      <c r="G51">
        <f>'D-RepLevel'!$G$2</f>
        <v>0</v>
      </c>
      <c r="H51">
        <f t="shared" si="22"/>
        <v>0</v>
      </c>
      <c r="I51" t="str">
        <f>IF(ISERROR(INDEX('1b'!$C$5:$C$21, MATCH("Primary Business Line", '1b'!$H$5:$H$21, FALSE), 1)), "None Selected", INDEX('1b'!$C$5:$C$21, MATCH("Primary Business Line", '1b'!$H$5:$H$21, FALSE), 1))</f>
        <v>None Selected</v>
      </c>
      <c r="J51">
        <f>'D-3'!$J$2</f>
        <v>0</v>
      </c>
      <c r="K51">
        <f>COUNTIF('4a'!$E$6:$E$29, "Direct")+COUNTIF('4a'!$E$6:$E$29, "Indirect")+COUNTIF('4a'!$E$6:$E$29, "Both")</f>
        <v>0</v>
      </c>
      <c r="L51">
        <f t="shared" si="23"/>
        <v>0</v>
      </c>
      <c r="M51">
        <f t="shared" si="24"/>
        <v>0</v>
      </c>
      <c r="N51">
        <f t="shared" si="25"/>
        <v>0</v>
      </c>
      <c r="O51">
        <f t="shared" si="26"/>
        <v>2015</v>
      </c>
      <c r="P51">
        <f t="shared" si="27"/>
        <v>0</v>
      </c>
      <c r="Q51">
        <f t="shared" si="28"/>
        <v>0</v>
      </c>
      <c r="R51">
        <f t="shared" si="29"/>
        <v>0</v>
      </c>
      <c r="S51">
        <f t="shared" si="30"/>
        <v>0</v>
      </c>
      <c r="T51">
        <f>COUNTIF('9a'!$K$22:$K$32, "Yes")+COUNTIF('9a'!$O$22:$O$32, "Yes")</f>
        <v>0</v>
      </c>
      <c r="U51" t="str">
        <f t="shared" si="31"/>
        <v>No Expenditures</v>
      </c>
      <c r="V51" t="str">
        <f t="shared" si="32"/>
        <v>No Expenditures</v>
      </c>
      <c r="W51">
        <f t="shared" si="33"/>
        <v>0</v>
      </c>
      <c r="X51" t="str">
        <f>'D-Risk'!$AO$25</f>
        <v>Insufficient Data</v>
      </c>
      <c r="Y51" t="str">
        <f>'D-Risk'!$AO$26</f>
        <v>Insufficient Data</v>
      </c>
      <c r="Z51" t="str">
        <f>'D-Risk'!$AO$27</f>
        <v>Uncalculated</v>
      </c>
      <c r="AA51">
        <v>208</v>
      </c>
      <c r="AB51" t="s">
        <v>681</v>
      </c>
      <c r="AC51" t="s">
        <v>731</v>
      </c>
      <c r="AD51">
        <f>Q4b_208_Participation</f>
        <v>0</v>
      </c>
      <c r="AE51">
        <f>'4b'!F218</f>
        <v>0</v>
      </c>
      <c r="AF51">
        <f>'4b'!G218</f>
        <v>0</v>
      </c>
      <c r="AG51">
        <f>'4b'!H218</f>
        <v>0</v>
      </c>
      <c r="AH51">
        <f>'4b'!I218</f>
        <v>0</v>
      </c>
      <c r="AI51">
        <f>'4b'!J218</f>
        <v>0</v>
      </c>
    </row>
    <row r="52" spans="1:35" x14ac:dyDescent="0.25">
      <c r="A52">
        <f t="shared" si="17"/>
        <v>0</v>
      </c>
      <c r="B52">
        <f t="shared" si="18"/>
        <v>0</v>
      </c>
      <c r="C52">
        <f t="shared" si="19"/>
        <v>0</v>
      </c>
      <c r="D52">
        <f t="shared" si="20"/>
        <v>0</v>
      </c>
      <c r="E52">
        <f t="shared" si="21"/>
        <v>0</v>
      </c>
      <c r="F52">
        <f>'D-RepLevel'!$F$2</f>
        <v>0</v>
      </c>
      <c r="G52">
        <f>'D-RepLevel'!$G$2</f>
        <v>0</v>
      </c>
      <c r="H52">
        <f t="shared" si="22"/>
        <v>0</v>
      </c>
      <c r="I52" t="str">
        <f>IF(ISERROR(INDEX('1b'!$C$5:$C$21, MATCH("Primary Business Line", '1b'!$H$5:$H$21, FALSE), 1)), "None Selected", INDEX('1b'!$C$5:$C$21, MATCH("Primary Business Line", '1b'!$H$5:$H$21, FALSE), 1))</f>
        <v>None Selected</v>
      </c>
      <c r="J52">
        <f>'D-3'!$J$2</f>
        <v>0</v>
      </c>
      <c r="K52">
        <f>COUNTIF('4a'!$E$6:$E$29, "Direct")+COUNTIF('4a'!$E$6:$E$29, "Indirect")+COUNTIF('4a'!$E$6:$E$29, "Both")</f>
        <v>0</v>
      </c>
      <c r="L52">
        <f t="shared" si="23"/>
        <v>0</v>
      </c>
      <c r="M52">
        <f t="shared" si="24"/>
        <v>0</v>
      </c>
      <c r="N52">
        <f t="shared" si="25"/>
        <v>0</v>
      </c>
      <c r="O52">
        <f t="shared" si="26"/>
        <v>2015</v>
      </c>
      <c r="P52">
        <f t="shared" si="27"/>
        <v>0</v>
      </c>
      <c r="Q52">
        <f t="shared" si="28"/>
        <v>0</v>
      </c>
      <c r="R52">
        <f t="shared" si="29"/>
        <v>0</v>
      </c>
      <c r="S52">
        <f t="shared" si="30"/>
        <v>0</v>
      </c>
      <c r="T52">
        <f>COUNTIF('9a'!$K$22:$K$32, "Yes")+COUNTIF('9a'!$O$22:$O$32, "Yes")</f>
        <v>0</v>
      </c>
      <c r="U52" t="str">
        <f t="shared" si="31"/>
        <v>No Expenditures</v>
      </c>
      <c r="V52" t="str">
        <f t="shared" si="32"/>
        <v>No Expenditures</v>
      </c>
      <c r="W52">
        <f t="shared" si="33"/>
        <v>0</v>
      </c>
      <c r="X52" t="str">
        <f>'D-Risk'!$AO$25</f>
        <v>Insufficient Data</v>
      </c>
      <c r="Y52" t="str">
        <f>'D-Risk'!$AO$26</f>
        <v>Insufficient Data</v>
      </c>
      <c r="Z52" t="str">
        <f>'D-Risk'!$AO$27</f>
        <v>Uncalculated</v>
      </c>
      <c r="AA52">
        <v>209</v>
      </c>
      <c r="AB52" t="s">
        <v>681</v>
      </c>
      <c r="AC52" t="s">
        <v>732</v>
      </c>
      <c r="AD52">
        <f>Q4b_209_Participation</f>
        <v>0</v>
      </c>
      <c r="AE52">
        <f>'4b'!F219</f>
        <v>0</v>
      </c>
      <c r="AF52">
        <f>'4b'!G219</f>
        <v>0</v>
      </c>
      <c r="AG52">
        <f>'4b'!H219</f>
        <v>0</v>
      </c>
      <c r="AH52">
        <f>'4b'!I219</f>
        <v>0</v>
      </c>
      <c r="AI52">
        <f>'4b'!J219</f>
        <v>0</v>
      </c>
    </row>
    <row r="53" spans="1:35" x14ac:dyDescent="0.25">
      <c r="A53">
        <f t="shared" si="17"/>
        <v>0</v>
      </c>
      <c r="B53">
        <f t="shared" si="18"/>
        <v>0</v>
      </c>
      <c r="C53">
        <f t="shared" si="19"/>
        <v>0</v>
      </c>
      <c r="D53">
        <f t="shared" si="20"/>
        <v>0</v>
      </c>
      <c r="E53">
        <f t="shared" si="21"/>
        <v>0</v>
      </c>
      <c r="F53">
        <f>'D-RepLevel'!$F$2</f>
        <v>0</v>
      </c>
      <c r="G53">
        <f>'D-RepLevel'!$G$2</f>
        <v>0</v>
      </c>
      <c r="H53">
        <f t="shared" si="22"/>
        <v>0</v>
      </c>
      <c r="I53" t="str">
        <f>IF(ISERROR(INDEX('1b'!$C$5:$C$21, MATCH("Primary Business Line", '1b'!$H$5:$H$21, FALSE), 1)), "None Selected", INDEX('1b'!$C$5:$C$21, MATCH("Primary Business Line", '1b'!$H$5:$H$21, FALSE), 1))</f>
        <v>None Selected</v>
      </c>
      <c r="J53">
        <f>'D-3'!$J$2</f>
        <v>0</v>
      </c>
      <c r="K53">
        <f>COUNTIF('4a'!$E$6:$E$29, "Direct")+COUNTIF('4a'!$E$6:$E$29, "Indirect")+COUNTIF('4a'!$E$6:$E$29, "Both")</f>
        <v>0</v>
      </c>
      <c r="L53">
        <f t="shared" si="23"/>
        <v>0</v>
      </c>
      <c r="M53">
        <f t="shared" si="24"/>
        <v>0</v>
      </c>
      <c r="N53">
        <f t="shared" si="25"/>
        <v>0</v>
      </c>
      <c r="O53">
        <f t="shared" si="26"/>
        <v>2015</v>
      </c>
      <c r="P53">
        <f t="shared" si="27"/>
        <v>0</v>
      </c>
      <c r="Q53">
        <f t="shared" si="28"/>
        <v>0</v>
      </c>
      <c r="R53">
        <f t="shared" si="29"/>
        <v>0</v>
      </c>
      <c r="S53">
        <f t="shared" si="30"/>
        <v>0</v>
      </c>
      <c r="T53">
        <f>COUNTIF('9a'!$K$22:$K$32, "Yes")+COUNTIF('9a'!$O$22:$O$32, "Yes")</f>
        <v>0</v>
      </c>
      <c r="U53" t="str">
        <f t="shared" si="31"/>
        <v>No Expenditures</v>
      </c>
      <c r="V53" t="str">
        <f t="shared" si="32"/>
        <v>No Expenditures</v>
      </c>
      <c r="W53">
        <f t="shared" si="33"/>
        <v>0</v>
      </c>
      <c r="X53" t="str">
        <f>'D-Risk'!$AO$25</f>
        <v>Insufficient Data</v>
      </c>
      <c r="Y53" t="str">
        <f>'D-Risk'!$AO$26</f>
        <v>Insufficient Data</v>
      </c>
      <c r="Z53" t="str">
        <f>'D-Risk'!$AO$27</f>
        <v>Uncalculated</v>
      </c>
      <c r="AA53">
        <v>210</v>
      </c>
      <c r="AB53" t="s">
        <v>681</v>
      </c>
      <c r="AC53" t="s">
        <v>733</v>
      </c>
      <c r="AD53">
        <f>Q4b_210_Participation</f>
        <v>0</v>
      </c>
      <c r="AE53">
        <f>'4b'!F220</f>
        <v>0</v>
      </c>
      <c r="AF53">
        <f>'4b'!G220</f>
        <v>0</v>
      </c>
      <c r="AG53">
        <f>'4b'!H220</f>
        <v>0</v>
      </c>
      <c r="AH53">
        <f>'4b'!I220</f>
        <v>0</v>
      </c>
      <c r="AI53">
        <f>'4b'!J220</f>
        <v>0</v>
      </c>
    </row>
  </sheetData>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1"/>
  <sheetViews>
    <sheetView zoomScale="70" zoomScaleNormal="70" workbookViewId="0">
      <selection activeCell="C7" sqref="C7:D7"/>
    </sheetView>
  </sheetViews>
  <sheetFormatPr defaultRowHeight="15" x14ac:dyDescent="0.25"/>
  <sheetData>
    <row r="1" spans="1:3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2250</v>
      </c>
      <c r="AB1" t="s">
        <v>2251</v>
      </c>
      <c r="AC1" t="s">
        <v>2252</v>
      </c>
      <c r="AD1" t="s">
        <v>184</v>
      </c>
      <c r="AE1" t="s">
        <v>2253</v>
      </c>
      <c r="AF1" t="s">
        <v>2254</v>
      </c>
      <c r="AG1" t="s">
        <v>2255</v>
      </c>
      <c r="AH1" t="s">
        <v>2256</v>
      </c>
      <c r="AI1" t="s">
        <v>2257</v>
      </c>
    </row>
    <row r="2" spans="1:35" x14ac:dyDescent="0.25">
      <c r="A2">
        <f t="shared" ref="A2:A33" si="0">Q_RP_B_DSSCAGE_01</f>
        <v>0</v>
      </c>
      <c r="B2">
        <f t="shared" ref="B2:B33" si="1">Q1a_A_LocationName</f>
        <v>0</v>
      </c>
      <c r="C2">
        <f t="shared" ref="C2:C33" si="2">Q1a_A_LocOrgName</f>
        <v>0</v>
      </c>
      <c r="D2">
        <f t="shared" ref="D2:D33" si="3">Q1a_B_Parent1_Name</f>
        <v>0</v>
      </c>
      <c r="E2">
        <f t="shared" ref="E2:E33" si="4">Q_RP_A_MultiResponse</f>
        <v>0</v>
      </c>
      <c r="F2">
        <f>'D-RepLevel'!$F$2</f>
        <v>0</v>
      </c>
      <c r="G2">
        <f>'D-RepLevel'!$G$2</f>
        <v>0</v>
      </c>
      <c r="H2">
        <f t="shared" ref="H2:H33"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3" si="6">Q4b_A_NumUSGPrograms</f>
        <v>0</v>
      </c>
      <c r="M2">
        <f t="shared" ref="M2:M33" si="7">Q6_A_Employees_Year3</f>
        <v>0</v>
      </c>
      <c r="N2">
        <f t="shared" ref="N2:N33" si="8">Q6_B_Employee_H1B_Total+Q6_B_Employee_H2B_Total+Q6_B_Employee_F1_Total+Q6_B_Employee_GreenCard_Total+Q6_B_Employee_Other_Total</f>
        <v>0</v>
      </c>
      <c r="O2">
        <f t="shared" ref="O2:O33" si="9">Year3</f>
        <v>2015</v>
      </c>
      <c r="P2">
        <f t="shared" ref="P2:P33" si="10">Q7_A_TotalSales_US_Year3+Q7_A_TotalSales_NonUS_Year3</f>
        <v>0</v>
      </c>
      <c r="Q2">
        <f t="shared" ref="Q2:Q33" si="11">Q7_B_DefSales_US_Year3_Pct*Q7_A_TotalSales_US_Year3+Q7_B_DefSales_NonUS_Year3_Pct*Q7_A_TotalSales_NonUS_Year3</f>
        <v>0</v>
      </c>
      <c r="R2">
        <f t="shared" ref="R2:R33" si="12">Q9a_B_Physical_Year3</f>
        <v>0</v>
      </c>
      <c r="S2">
        <f t="shared" ref="S2:S33" si="13">Q9a_B_Cyber_Year3</f>
        <v>0</v>
      </c>
      <c r="T2">
        <f>COUNTIF('9a'!$K$22:$K$32, "Yes")+COUNTIF('9a'!$O$22:$O$32, "Yes")</f>
        <v>0</v>
      </c>
      <c r="U2" t="str">
        <f t="shared" ref="U2:U33" si="14">IF(Q12_OpEx_Year3=0, "No Expenditures", Q9b_A_PhysicalSpending_Year3/(Q12_OpEx_Year3))</f>
        <v>No Expenditures</v>
      </c>
      <c r="V2" t="str">
        <f t="shared" ref="V2:V33" si="15">IF(Q12_OpEx_Year3=0, "No Expenditures", Q9b_A_CyberSpending_Year3/(Q12_OpEx_Year3))</f>
        <v>No Expenditures</v>
      </c>
      <c r="W2">
        <f t="shared" ref="W2:W33" si="16">Q9b_C_Pct_CSI_External</f>
        <v>0</v>
      </c>
      <c r="X2" t="str">
        <f>'D-Risk'!$AO$25</f>
        <v>Insufficient Data</v>
      </c>
      <c r="Y2" t="str">
        <f>'D-Risk'!$AO$26</f>
        <v>Insufficient Data</v>
      </c>
      <c r="Z2" t="str">
        <f>'D-Risk'!$AO$27</f>
        <v>Uncalculated</v>
      </c>
      <c r="AA2">
        <v>211</v>
      </c>
      <c r="AB2" t="str">
        <f>Q4b_Other01_Agency</f>
        <v>(Identify Agency)</v>
      </c>
      <c r="AC2" t="str">
        <f>Q4b_Other01_Program</f>
        <v>(Write-In Program Here)</v>
      </c>
      <c r="AD2">
        <f>Q4b_Other01_Participation</f>
        <v>0</v>
      </c>
      <c r="AE2">
        <f>'4b'!F222</f>
        <v>0</v>
      </c>
      <c r="AF2">
        <f>'4b'!G222</f>
        <v>0</v>
      </c>
      <c r="AG2">
        <f>'4b'!H222</f>
        <v>0</v>
      </c>
      <c r="AH2">
        <f>'4b'!I222</f>
        <v>0</v>
      </c>
      <c r="AI2">
        <f>'4b'!J222</f>
        <v>0</v>
      </c>
    </row>
    <row r="3" spans="1:35"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v>212</v>
      </c>
      <c r="AB3" t="str">
        <f>Q4b_Other02_Agency</f>
        <v>(Identify Agency)</v>
      </c>
      <c r="AC3" t="str">
        <f>Q4b_Other02_Program</f>
        <v>(Write-In Program Here)</v>
      </c>
      <c r="AD3">
        <f>Q4b_Other02_Participation</f>
        <v>0</v>
      </c>
      <c r="AE3">
        <f>'4b'!F223</f>
        <v>0</v>
      </c>
      <c r="AF3">
        <f>'4b'!G223</f>
        <v>0</v>
      </c>
      <c r="AG3">
        <f>'4b'!H223</f>
        <v>0</v>
      </c>
      <c r="AH3">
        <f>'4b'!I223</f>
        <v>0</v>
      </c>
      <c r="AI3">
        <f>'4b'!J223</f>
        <v>0</v>
      </c>
    </row>
    <row r="4" spans="1:35"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v>213</v>
      </c>
      <c r="AB4" t="str">
        <f>Q4b_Other03_Agency</f>
        <v>(Identify Agency)</v>
      </c>
      <c r="AC4" t="str">
        <f>Q4b_Other03_Program</f>
        <v>(Write-In Program Here)</v>
      </c>
      <c r="AD4">
        <f>Q4b_Other03_Participation</f>
        <v>0</v>
      </c>
      <c r="AE4">
        <f>'4b'!F224</f>
        <v>0</v>
      </c>
      <c r="AF4">
        <f>'4b'!G224</f>
        <v>0</v>
      </c>
      <c r="AG4">
        <f>'4b'!H224</f>
        <v>0</v>
      </c>
      <c r="AH4">
        <f>'4b'!I224</f>
        <v>0</v>
      </c>
      <c r="AI4">
        <f>'4b'!J224</f>
        <v>0</v>
      </c>
    </row>
    <row r="5" spans="1:35"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v>214</v>
      </c>
      <c r="AB5" t="str">
        <f>Q4b_Other04_Agency</f>
        <v>(Identify Agency)</v>
      </c>
      <c r="AC5" t="str">
        <f>Q4b_Other04_Program</f>
        <v>(Write-In Program Here)</v>
      </c>
      <c r="AD5">
        <f>Q4b_Other04_Participation</f>
        <v>0</v>
      </c>
      <c r="AE5">
        <f>'4b'!F225</f>
        <v>0</v>
      </c>
      <c r="AF5">
        <f>'4b'!G225</f>
        <v>0</v>
      </c>
      <c r="AG5">
        <f>'4b'!H225</f>
        <v>0</v>
      </c>
      <c r="AH5">
        <f>'4b'!I225</f>
        <v>0</v>
      </c>
      <c r="AI5">
        <f>'4b'!J225</f>
        <v>0</v>
      </c>
    </row>
    <row r="6" spans="1:35"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v>215</v>
      </c>
      <c r="AB6" t="str">
        <f>Q4b_Other05_Agency</f>
        <v>(Identify Agency)</v>
      </c>
      <c r="AC6" t="str">
        <f>Q4b_Other05_Program</f>
        <v>(Write-In Program Here)</v>
      </c>
      <c r="AD6">
        <f>Q4b_Other05_Participation</f>
        <v>0</v>
      </c>
      <c r="AE6">
        <f>'4b'!F226</f>
        <v>0</v>
      </c>
      <c r="AF6">
        <f>'4b'!G226</f>
        <v>0</v>
      </c>
      <c r="AG6">
        <f>'4b'!H226</f>
        <v>0</v>
      </c>
      <c r="AH6">
        <f>'4b'!I226</f>
        <v>0</v>
      </c>
      <c r="AI6">
        <f>'4b'!J226</f>
        <v>0</v>
      </c>
    </row>
    <row r="7" spans="1:35"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v>216</v>
      </c>
      <c r="AB7" t="str">
        <f>Q4b_Other06_Agency</f>
        <v>(Identify Agency)</v>
      </c>
      <c r="AC7" t="str">
        <f>Q4b_Other06_Program</f>
        <v>(Write-In Program Here)</v>
      </c>
      <c r="AD7">
        <f>Q4b_Other06_Participation</f>
        <v>0</v>
      </c>
      <c r="AE7">
        <f>'4b'!F227</f>
        <v>0</v>
      </c>
      <c r="AF7">
        <f>'4b'!G227</f>
        <v>0</v>
      </c>
      <c r="AG7">
        <f>'4b'!H227</f>
        <v>0</v>
      </c>
      <c r="AH7">
        <f>'4b'!I227</f>
        <v>0</v>
      </c>
      <c r="AI7">
        <f>'4b'!J227</f>
        <v>0</v>
      </c>
    </row>
    <row r="8" spans="1:35"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v>217</v>
      </c>
      <c r="AB8" t="str">
        <f>Q4b_Other07_Agency</f>
        <v>(Identify Agency)</v>
      </c>
      <c r="AC8" t="str">
        <f>Q4b_Other07_Program</f>
        <v>(Write-In Program Here)</v>
      </c>
      <c r="AD8">
        <f>Q4b_Other07_Participation</f>
        <v>0</v>
      </c>
      <c r="AE8">
        <f>'4b'!F228</f>
        <v>0</v>
      </c>
      <c r="AF8">
        <f>'4b'!G228</f>
        <v>0</v>
      </c>
      <c r="AG8">
        <f>'4b'!H228</f>
        <v>0</v>
      </c>
      <c r="AH8">
        <f>'4b'!I228</f>
        <v>0</v>
      </c>
      <c r="AI8">
        <f>'4b'!J228</f>
        <v>0</v>
      </c>
    </row>
    <row r="9" spans="1:35"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v>218</v>
      </c>
      <c r="AB9" t="str">
        <f>Q4b_Other08_Agency</f>
        <v>(Identify Agency)</v>
      </c>
      <c r="AC9" t="str">
        <f>Q4b_Other08_Program</f>
        <v>(Write-In Program Here)</v>
      </c>
      <c r="AD9">
        <f>Q4b_Other08_Participation</f>
        <v>0</v>
      </c>
      <c r="AE9">
        <f>'4b'!F229</f>
        <v>0</v>
      </c>
      <c r="AF9">
        <f>'4b'!G229</f>
        <v>0</v>
      </c>
      <c r="AG9">
        <f>'4b'!H229</f>
        <v>0</v>
      </c>
      <c r="AH9">
        <f>'4b'!I229</f>
        <v>0</v>
      </c>
      <c r="AI9">
        <f>'4b'!J229</f>
        <v>0</v>
      </c>
    </row>
    <row r="10" spans="1:35"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v>219</v>
      </c>
      <c r="AB10" t="str">
        <f>Q4b_Other09_Agency</f>
        <v>(Identify Agency)</v>
      </c>
      <c r="AC10" t="str">
        <f>Q4b_Other09_Program</f>
        <v>(Write-In Program Here)</v>
      </c>
      <c r="AD10">
        <f>Q4b_Other09_Participation</f>
        <v>0</v>
      </c>
      <c r="AE10">
        <f>'4b'!F230</f>
        <v>0</v>
      </c>
      <c r="AF10">
        <f>'4b'!G230</f>
        <v>0</v>
      </c>
      <c r="AG10">
        <f>'4b'!H230</f>
        <v>0</v>
      </c>
      <c r="AH10">
        <f>'4b'!I230</f>
        <v>0</v>
      </c>
      <c r="AI10">
        <f>'4b'!J230</f>
        <v>0</v>
      </c>
    </row>
    <row r="11" spans="1:35"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v>220</v>
      </c>
      <c r="AB11" t="str">
        <f>Q4b_Other10_Agency</f>
        <v>(Identify Agency)</v>
      </c>
      <c r="AC11" t="str">
        <f>Q4b_Other10_Program</f>
        <v>(Write-In Program Here)</v>
      </c>
      <c r="AD11">
        <f>Q4b_Other10_Participation</f>
        <v>0</v>
      </c>
      <c r="AE11">
        <f>'4b'!F231</f>
        <v>0</v>
      </c>
      <c r="AF11">
        <f>'4b'!G231</f>
        <v>0</v>
      </c>
      <c r="AG11">
        <f>'4b'!H231</f>
        <v>0</v>
      </c>
      <c r="AH11">
        <f>'4b'!I231</f>
        <v>0</v>
      </c>
      <c r="AI11">
        <f>'4b'!J231</f>
        <v>0</v>
      </c>
    </row>
    <row r="12" spans="1:35"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v>221</v>
      </c>
      <c r="AB12" t="str">
        <f>Q4b_Other11_Agency</f>
        <v>(Identify Agency)</v>
      </c>
      <c r="AC12" t="str">
        <f>Q4b_Other11_Program</f>
        <v>(Write-In Program Here)</v>
      </c>
      <c r="AD12">
        <f>Q4b_Other11_Participation</f>
        <v>0</v>
      </c>
      <c r="AE12">
        <f>'4b'!F232</f>
        <v>0</v>
      </c>
      <c r="AF12">
        <f>'4b'!G232</f>
        <v>0</v>
      </c>
      <c r="AG12">
        <f>'4b'!H232</f>
        <v>0</v>
      </c>
      <c r="AH12">
        <f>'4b'!I232</f>
        <v>0</v>
      </c>
      <c r="AI12">
        <f>'4b'!J232</f>
        <v>0</v>
      </c>
    </row>
    <row r="13" spans="1:35"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v>222</v>
      </c>
      <c r="AB13" t="str">
        <f>Q4b_Other12_Agency</f>
        <v>(Identify Agency)</v>
      </c>
      <c r="AC13" t="str">
        <f>Q4b_Other12_Program</f>
        <v>(Write-In Program Here)</v>
      </c>
      <c r="AD13">
        <f>Q4b_Other12_Participation</f>
        <v>0</v>
      </c>
      <c r="AE13">
        <f>'4b'!F233</f>
        <v>0</v>
      </c>
      <c r="AF13">
        <f>'4b'!G233</f>
        <v>0</v>
      </c>
      <c r="AG13">
        <f>'4b'!H233</f>
        <v>0</v>
      </c>
      <c r="AH13">
        <f>'4b'!I233</f>
        <v>0</v>
      </c>
      <c r="AI13">
        <f>'4b'!J233</f>
        <v>0</v>
      </c>
    </row>
    <row r="14" spans="1:35"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v>223</v>
      </c>
      <c r="AB14" t="str">
        <f>Q4b_Other13_Agency</f>
        <v>(Identify Agency)</v>
      </c>
      <c r="AC14" t="str">
        <f>Q4b_Other13_Program</f>
        <v>(Write-In Program Here)</v>
      </c>
      <c r="AD14">
        <f>Q4b_Other13_Participation</f>
        <v>0</v>
      </c>
      <c r="AE14">
        <f>'4b'!F234</f>
        <v>0</v>
      </c>
      <c r="AF14">
        <f>'4b'!G234</f>
        <v>0</v>
      </c>
      <c r="AG14">
        <f>'4b'!H234</f>
        <v>0</v>
      </c>
      <c r="AH14">
        <f>'4b'!I234</f>
        <v>0</v>
      </c>
      <c r="AI14">
        <f>'4b'!J234</f>
        <v>0</v>
      </c>
    </row>
    <row r="15" spans="1:35"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v>224</v>
      </c>
      <c r="AB15" t="str">
        <f>Q4b_Other14_Agency</f>
        <v>(Identify Agency)</v>
      </c>
      <c r="AC15" t="str">
        <f>Q4b_Other14_Program</f>
        <v>(Write-In Program Here)</v>
      </c>
      <c r="AD15">
        <f>Q4b_Other14_Participation</f>
        <v>0</v>
      </c>
      <c r="AE15">
        <f>'4b'!F235</f>
        <v>0</v>
      </c>
      <c r="AF15">
        <f>'4b'!G235</f>
        <v>0</v>
      </c>
      <c r="AG15">
        <f>'4b'!H235</f>
        <v>0</v>
      </c>
      <c r="AH15">
        <f>'4b'!I235</f>
        <v>0</v>
      </c>
      <c r="AI15">
        <f>'4b'!J235</f>
        <v>0</v>
      </c>
    </row>
    <row r="16" spans="1:35"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v>225</v>
      </c>
      <c r="AB16" t="str">
        <f>Q4b_Other15_Agency</f>
        <v>(Identify Agency)</v>
      </c>
      <c r="AC16" t="str">
        <f>Q4b_Other15_Program</f>
        <v>(Write-In Program Here)</v>
      </c>
      <c r="AD16">
        <f>Q4b_Other15_Participation</f>
        <v>0</v>
      </c>
      <c r="AE16">
        <f>'4b'!F236</f>
        <v>0</v>
      </c>
      <c r="AF16">
        <f>'4b'!G236</f>
        <v>0</v>
      </c>
      <c r="AG16">
        <f>'4b'!H236</f>
        <v>0</v>
      </c>
      <c r="AH16">
        <f>'4b'!I236</f>
        <v>0</v>
      </c>
      <c r="AI16">
        <f>'4b'!J236</f>
        <v>0</v>
      </c>
    </row>
    <row r="17" spans="1:35"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v>226</v>
      </c>
      <c r="AB17" t="str">
        <f>Q4b_Other16_Agency</f>
        <v>(Identify Agency)</v>
      </c>
      <c r="AC17" t="str">
        <f>Q4b_Other16_Program</f>
        <v>(Write-In Program Here)</v>
      </c>
      <c r="AD17">
        <f>Q4b_Other16_Participation</f>
        <v>0</v>
      </c>
      <c r="AE17">
        <f>'4b'!F237</f>
        <v>0</v>
      </c>
      <c r="AF17">
        <f>'4b'!G237</f>
        <v>0</v>
      </c>
      <c r="AG17">
        <f>'4b'!H237</f>
        <v>0</v>
      </c>
      <c r="AH17">
        <f>'4b'!I237</f>
        <v>0</v>
      </c>
      <c r="AI17">
        <f>'4b'!J237</f>
        <v>0</v>
      </c>
    </row>
    <row r="18" spans="1:35"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v>227</v>
      </c>
      <c r="AB18" t="str">
        <f>Q4b_Other17_Agency</f>
        <v>(Identify Agency)</v>
      </c>
      <c r="AC18" t="str">
        <f>Q4b_Other17_Program</f>
        <v>(Write-In Program Here)</v>
      </c>
      <c r="AD18">
        <f>Q4b_Other17_Participation</f>
        <v>0</v>
      </c>
      <c r="AE18">
        <f>'4b'!F238</f>
        <v>0</v>
      </c>
      <c r="AF18">
        <f>'4b'!G238</f>
        <v>0</v>
      </c>
      <c r="AG18">
        <f>'4b'!H238</f>
        <v>0</v>
      </c>
      <c r="AH18">
        <f>'4b'!I238</f>
        <v>0</v>
      </c>
      <c r="AI18">
        <f>'4b'!J238</f>
        <v>0</v>
      </c>
    </row>
    <row r="19" spans="1:35"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v>228</v>
      </c>
      <c r="AB19" t="str">
        <f>Q4b_Other18_Agency</f>
        <v>(Identify Agency)</v>
      </c>
      <c r="AC19" t="str">
        <f>Q4b_Other18_Program</f>
        <v>(Write-In Program Here)</v>
      </c>
      <c r="AD19">
        <f>Q4b_Other18_Participation</f>
        <v>0</v>
      </c>
      <c r="AE19">
        <f>'4b'!F239</f>
        <v>0</v>
      </c>
      <c r="AF19">
        <f>'4b'!G239</f>
        <v>0</v>
      </c>
      <c r="AG19">
        <f>'4b'!H239</f>
        <v>0</v>
      </c>
      <c r="AH19">
        <f>'4b'!I239</f>
        <v>0</v>
      </c>
      <c r="AI19">
        <f>'4b'!J239</f>
        <v>0</v>
      </c>
    </row>
    <row r="20" spans="1:35"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v>229</v>
      </c>
      <c r="AB20" t="str">
        <f>Q4b_Other19_Agency</f>
        <v>(Identify Agency)</v>
      </c>
      <c r="AC20" t="str">
        <f>Q4b_Other19_Program</f>
        <v>(Write-In Program Here)</v>
      </c>
      <c r="AD20">
        <f>Q4b_Other19_Participation</f>
        <v>0</v>
      </c>
      <c r="AE20">
        <f>'4b'!F240</f>
        <v>0</v>
      </c>
      <c r="AF20">
        <f>'4b'!G240</f>
        <v>0</v>
      </c>
      <c r="AG20">
        <f>'4b'!H240</f>
        <v>0</v>
      </c>
      <c r="AH20">
        <f>'4b'!I240</f>
        <v>0</v>
      </c>
      <c r="AI20">
        <f>'4b'!J240</f>
        <v>0</v>
      </c>
    </row>
    <row r="21" spans="1:35"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v>230</v>
      </c>
      <c r="AB21" t="str">
        <f>Q4b_Other20_Agency</f>
        <v>(Identify Agency)</v>
      </c>
      <c r="AC21" t="str">
        <f>Q4b_Other20_Program</f>
        <v>(Write-In Program Here)</v>
      </c>
      <c r="AD21">
        <f>Q4b_Other20_Participation</f>
        <v>0</v>
      </c>
      <c r="AE21">
        <f>'4b'!F241</f>
        <v>0</v>
      </c>
      <c r="AF21">
        <f>'4b'!G241</f>
        <v>0</v>
      </c>
      <c r="AG21">
        <f>'4b'!H241</f>
        <v>0</v>
      </c>
      <c r="AH21">
        <f>'4b'!I241</f>
        <v>0</v>
      </c>
      <c r="AI21">
        <f>'4b'!J241</f>
        <v>0</v>
      </c>
    </row>
    <row r="22" spans="1:35"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t="s">
        <v>2186</v>
      </c>
      <c r="AB22" t="s">
        <v>2186</v>
      </c>
      <c r="AC22" t="s">
        <v>2186</v>
      </c>
      <c r="AD22" t="s">
        <v>2186</v>
      </c>
      <c r="AE22" t="s">
        <v>2186</v>
      </c>
      <c r="AF22" t="s">
        <v>2186</v>
      </c>
      <c r="AG22" t="s">
        <v>2186</v>
      </c>
      <c r="AH22" t="s">
        <v>2186</v>
      </c>
      <c r="AI22" t="s">
        <v>2186</v>
      </c>
    </row>
    <row r="23" spans="1:35"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t="s">
        <v>2186</v>
      </c>
      <c r="AB23" t="s">
        <v>2186</v>
      </c>
      <c r="AC23" t="s">
        <v>2186</v>
      </c>
      <c r="AD23" t="s">
        <v>2186</v>
      </c>
      <c r="AE23" t="s">
        <v>2186</v>
      </c>
      <c r="AF23" t="s">
        <v>2186</v>
      </c>
      <c r="AG23" t="s">
        <v>2186</v>
      </c>
      <c r="AH23" t="s">
        <v>2186</v>
      </c>
      <c r="AI23" t="s">
        <v>2186</v>
      </c>
    </row>
    <row r="24" spans="1:35"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t="s">
        <v>2186</v>
      </c>
      <c r="AB24" t="s">
        <v>2186</v>
      </c>
      <c r="AC24" t="s">
        <v>2186</v>
      </c>
      <c r="AD24" t="s">
        <v>2186</v>
      </c>
      <c r="AE24" t="s">
        <v>2186</v>
      </c>
      <c r="AF24" t="s">
        <v>2186</v>
      </c>
      <c r="AG24" t="s">
        <v>2186</v>
      </c>
      <c r="AH24" t="s">
        <v>2186</v>
      </c>
      <c r="AI24" t="s">
        <v>2186</v>
      </c>
    </row>
    <row r="25" spans="1:35"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t="s">
        <v>2186</v>
      </c>
      <c r="AB25" t="s">
        <v>2186</v>
      </c>
      <c r="AC25" t="s">
        <v>2186</v>
      </c>
      <c r="AD25" t="s">
        <v>2186</v>
      </c>
      <c r="AE25" t="s">
        <v>2186</v>
      </c>
      <c r="AF25" t="s">
        <v>2186</v>
      </c>
      <c r="AG25" t="s">
        <v>2186</v>
      </c>
      <c r="AH25" t="s">
        <v>2186</v>
      </c>
      <c r="AI25" t="s">
        <v>2186</v>
      </c>
    </row>
    <row r="26" spans="1:35"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t="s">
        <v>2186</v>
      </c>
      <c r="AB26" t="s">
        <v>2186</v>
      </c>
      <c r="AC26" t="s">
        <v>2186</v>
      </c>
      <c r="AD26" t="s">
        <v>2186</v>
      </c>
      <c r="AE26" t="s">
        <v>2186</v>
      </c>
      <c r="AF26" t="s">
        <v>2186</v>
      </c>
      <c r="AG26" t="s">
        <v>2186</v>
      </c>
      <c r="AH26" t="s">
        <v>2186</v>
      </c>
      <c r="AI26" t="s">
        <v>2186</v>
      </c>
    </row>
    <row r="27" spans="1:35"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t="s">
        <v>2186</v>
      </c>
      <c r="AB27" t="s">
        <v>2186</v>
      </c>
      <c r="AC27" t="s">
        <v>2186</v>
      </c>
      <c r="AD27" t="s">
        <v>2186</v>
      </c>
      <c r="AE27" t="s">
        <v>2186</v>
      </c>
      <c r="AF27" t="s">
        <v>2186</v>
      </c>
      <c r="AG27" t="s">
        <v>2186</v>
      </c>
      <c r="AH27" t="s">
        <v>2186</v>
      </c>
      <c r="AI27" t="s">
        <v>2186</v>
      </c>
    </row>
    <row r="28" spans="1:35"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t="s">
        <v>2186</v>
      </c>
      <c r="AB28" t="s">
        <v>2186</v>
      </c>
      <c r="AC28" t="s">
        <v>2186</v>
      </c>
      <c r="AD28" t="s">
        <v>2186</v>
      </c>
      <c r="AE28" t="s">
        <v>2186</v>
      </c>
      <c r="AF28" t="s">
        <v>2186</v>
      </c>
      <c r="AG28" t="s">
        <v>2186</v>
      </c>
      <c r="AH28" t="s">
        <v>2186</v>
      </c>
      <c r="AI28" t="s">
        <v>2186</v>
      </c>
    </row>
    <row r="29" spans="1:35"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t="s">
        <v>2186</v>
      </c>
      <c r="AB29" t="s">
        <v>2186</v>
      </c>
      <c r="AC29" t="s">
        <v>2186</v>
      </c>
      <c r="AD29" t="s">
        <v>2186</v>
      </c>
      <c r="AE29" t="s">
        <v>2186</v>
      </c>
      <c r="AF29" t="s">
        <v>2186</v>
      </c>
      <c r="AG29" t="s">
        <v>2186</v>
      </c>
      <c r="AH29" t="s">
        <v>2186</v>
      </c>
      <c r="AI29" t="s">
        <v>2186</v>
      </c>
    </row>
    <row r="30" spans="1:35"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t="s">
        <v>2186</v>
      </c>
      <c r="AB30" t="s">
        <v>2186</v>
      </c>
      <c r="AC30" t="s">
        <v>2186</v>
      </c>
      <c r="AD30" t="s">
        <v>2186</v>
      </c>
      <c r="AE30" t="s">
        <v>2186</v>
      </c>
      <c r="AF30" t="s">
        <v>2186</v>
      </c>
      <c r="AG30" t="s">
        <v>2186</v>
      </c>
      <c r="AH30" t="s">
        <v>2186</v>
      </c>
      <c r="AI30" t="s">
        <v>2186</v>
      </c>
    </row>
    <row r="31" spans="1:35"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t="s">
        <v>2186</v>
      </c>
      <c r="AB31" t="s">
        <v>2186</v>
      </c>
      <c r="AC31" t="s">
        <v>2186</v>
      </c>
      <c r="AD31" t="s">
        <v>2186</v>
      </c>
      <c r="AE31" t="s">
        <v>2186</v>
      </c>
      <c r="AF31" t="s">
        <v>2186</v>
      </c>
      <c r="AG31" t="s">
        <v>2186</v>
      </c>
      <c r="AH31" t="s">
        <v>2186</v>
      </c>
      <c r="AI31" t="s">
        <v>2186</v>
      </c>
    </row>
    <row r="32" spans="1:35"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t="s">
        <v>2186</v>
      </c>
      <c r="AB32" t="s">
        <v>2186</v>
      </c>
      <c r="AC32" t="s">
        <v>2186</v>
      </c>
      <c r="AD32" t="s">
        <v>2186</v>
      </c>
      <c r="AE32" t="s">
        <v>2186</v>
      </c>
      <c r="AF32" t="s">
        <v>2186</v>
      </c>
      <c r="AG32" t="s">
        <v>2186</v>
      </c>
      <c r="AH32" t="s">
        <v>2186</v>
      </c>
      <c r="AI32" t="s">
        <v>2186</v>
      </c>
    </row>
    <row r="33" spans="1:35"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t="s">
        <v>2186</v>
      </c>
      <c r="AB33" t="s">
        <v>2186</v>
      </c>
      <c r="AC33" t="s">
        <v>2186</v>
      </c>
      <c r="AD33" t="s">
        <v>2186</v>
      </c>
      <c r="AE33" t="s">
        <v>2186</v>
      </c>
      <c r="AF33" t="s">
        <v>2186</v>
      </c>
      <c r="AG33" t="s">
        <v>2186</v>
      </c>
      <c r="AH33" t="s">
        <v>2186</v>
      </c>
      <c r="AI33" t="s">
        <v>2186</v>
      </c>
    </row>
    <row r="34" spans="1:35" x14ac:dyDescent="0.25">
      <c r="A34">
        <f t="shared" ref="A34:A61" si="17">Q_RP_B_DSSCAGE_01</f>
        <v>0</v>
      </c>
      <c r="B34">
        <f t="shared" ref="B34:B61" si="18">Q1a_A_LocationName</f>
        <v>0</v>
      </c>
      <c r="C34">
        <f t="shared" ref="C34:C61" si="19">Q1a_A_LocOrgName</f>
        <v>0</v>
      </c>
      <c r="D34">
        <f t="shared" ref="D34:D61" si="20">Q1a_B_Parent1_Name</f>
        <v>0</v>
      </c>
      <c r="E34">
        <f t="shared" ref="E34:E61" si="21">Q_RP_A_MultiResponse</f>
        <v>0</v>
      </c>
      <c r="F34">
        <f>'D-RepLevel'!$F$2</f>
        <v>0</v>
      </c>
      <c r="G34">
        <f>'D-RepLevel'!$G$2</f>
        <v>0</v>
      </c>
      <c r="H34">
        <f t="shared" ref="H34:H61" si="22">Q1a_A_OnlyLoc_YN</f>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ref="L34:L61" si="23">Q4b_A_NumUSGPrograms</f>
        <v>0</v>
      </c>
      <c r="M34">
        <f t="shared" ref="M34:M61" si="24">Q6_A_Employees_Year3</f>
        <v>0</v>
      </c>
      <c r="N34">
        <f t="shared" ref="N34:N61" si="25">Q6_B_Employee_H1B_Total+Q6_B_Employee_H2B_Total+Q6_B_Employee_F1_Total+Q6_B_Employee_GreenCard_Total+Q6_B_Employee_Other_Total</f>
        <v>0</v>
      </c>
      <c r="O34">
        <f t="shared" ref="O34:O61" si="26">Year3</f>
        <v>2015</v>
      </c>
      <c r="P34">
        <f t="shared" ref="P34:P61" si="27">Q7_A_TotalSales_US_Year3+Q7_A_TotalSales_NonUS_Year3</f>
        <v>0</v>
      </c>
      <c r="Q34">
        <f t="shared" ref="Q34:Q61" si="28">Q7_B_DefSales_US_Year3_Pct*Q7_A_TotalSales_US_Year3+Q7_B_DefSales_NonUS_Year3_Pct*Q7_A_TotalSales_NonUS_Year3</f>
        <v>0</v>
      </c>
      <c r="R34">
        <f t="shared" ref="R34:R61" si="29">Q9a_B_Physical_Year3</f>
        <v>0</v>
      </c>
      <c r="S34">
        <f t="shared" ref="S34:S61" si="30">Q9a_B_Cyber_Year3</f>
        <v>0</v>
      </c>
      <c r="T34">
        <f>COUNTIF('9a'!$K$22:$K$32, "Yes")+COUNTIF('9a'!$O$22:$O$32, "Yes")</f>
        <v>0</v>
      </c>
      <c r="U34" t="str">
        <f t="shared" ref="U34:U61" si="31">IF(Q12_OpEx_Year3=0, "No Expenditures", Q9b_A_PhysicalSpending_Year3/(Q12_OpEx_Year3))</f>
        <v>No Expenditures</v>
      </c>
      <c r="V34" t="str">
        <f t="shared" ref="V34:V61" si="32">IF(Q12_OpEx_Year3=0, "No Expenditures", Q9b_A_CyberSpending_Year3/(Q12_OpEx_Year3))</f>
        <v>No Expenditures</v>
      </c>
      <c r="W34">
        <f t="shared" ref="W34:W61" si="33">Q9b_C_Pct_CSI_External</f>
        <v>0</v>
      </c>
      <c r="X34" t="str">
        <f>'D-Risk'!$AO$25</f>
        <v>Insufficient Data</v>
      </c>
      <c r="Y34" t="str">
        <f>'D-Risk'!$AO$26</f>
        <v>Insufficient Data</v>
      </c>
      <c r="Z34" t="str">
        <f>'D-Risk'!$AO$27</f>
        <v>Uncalculated</v>
      </c>
      <c r="AA34" t="s">
        <v>2186</v>
      </c>
      <c r="AB34" t="s">
        <v>2186</v>
      </c>
      <c r="AC34" t="s">
        <v>2186</v>
      </c>
      <c r="AD34" t="s">
        <v>2186</v>
      </c>
      <c r="AE34" t="s">
        <v>2186</v>
      </c>
      <c r="AF34" t="s">
        <v>2186</v>
      </c>
      <c r="AG34" t="s">
        <v>2186</v>
      </c>
      <c r="AH34" t="s">
        <v>2186</v>
      </c>
      <c r="AI34" t="s">
        <v>2186</v>
      </c>
    </row>
    <row r="35" spans="1:35" x14ac:dyDescent="0.25">
      <c r="A35">
        <f t="shared" si="17"/>
        <v>0</v>
      </c>
      <c r="B35">
        <f t="shared" si="18"/>
        <v>0</v>
      </c>
      <c r="C35">
        <f t="shared" si="19"/>
        <v>0</v>
      </c>
      <c r="D35">
        <f t="shared" si="20"/>
        <v>0</v>
      </c>
      <c r="E35">
        <f t="shared" si="21"/>
        <v>0</v>
      </c>
      <c r="F35">
        <f>'D-RepLevel'!$F$2</f>
        <v>0</v>
      </c>
      <c r="G35">
        <f>'D-RepLevel'!$G$2</f>
        <v>0</v>
      </c>
      <c r="H35">
        <f t="shared" si="22"/>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23"/>
        <v>0</v>
      </c>
      <c r="M35">
        <f t="shared" si="24"/>
        <v>0</v>
      </c>
      <c r="N35">
        <f t="shared" si="25"/>
        <v>0</v>
      </c>
      <c r="O35">
        <f t="shared" si="26"/>
        <v>2015</v>
      </c>
      <c r="P35">
        <f t="shared" si="27"/>
        <v>0</v>
      </c>
      <c r="Q35">
        <f t="shared" si="28"/>
        <v>0</v>
      </c>
      <c r="R35">
        <f t="shared" si="29"/>
        <v>0</v>
      </c>
      <c r="S35">
        <f t="shared" si="30"/>
        <v>0</v>
      </c>
      <c r="T35">
        <f>COUNTIF('9a'!$K$22:$K$32, "Yes")+COUNTIF('9a'!$O$22:$O$32, "Yes")</f>
        <v>0</v>
      </c>
      <c r="U35" t="str">
        <f t="shared" si="31"/>
        <v>No Expenditures</v>
      </c>
      <c r="V35" t="str">
        <f t="shared" si="32"/>
        <v>No Expenditures</v>
      </c>
      <c r="W35">
        <f t="shared" si="33"/>
        <v>0</v>
      </c>
      <c r="X35" t="str">
        <f>'D-Risk'!$AO$25</f>
        <v>Insufficient Data</v>
      </c>
      <c r="Y35" t="str">
        <f>'D-Risk'!$AO$26</f>
        <v>Insufficient Data</v>
      </c>
      <c r="Z35" t="str">
        <f>'D-Risk'!$AO$27</f>
        <v>Uncalculated</v>
      </c>
      <c r="AA35" t="s">
        <v>2186</v>
      </c>
      <c r="AB35" t="s">
        <v>2186</v>
      </c>
      <c r="AC35" t="s">
        <v>2186</v>
      </c>
      <c r="AD35" t="s">
        <v>2186</v>
      </c>
      <c r="AE35" t="s">
        <v>2186</v>
      </c>
      <c r="AF35" t="s">
        <v>2186</v>
      </c>
      <c r="AG35" t="s">
        <v>2186</v>
      </c>
      <c r="AH35" t="s">
        <v>2186</v>
      </c>
      <c r="AI35" t="s">
        <v>2186</v>
      </c>
    </row>
    <row r="36" spans="1:35" x14ac:dyDescent="0.25">
      <c r="A36">
        <f t="shared" si="17"/>
        <v>0</v>
      </c>
      <c r="B36">
        <f t="shared" si="18"/>
        <v>0</v>
      </c>
      <c r="C36">
        <f t="shared" si="19"/>
        <v>0</v>
      </c>
      <c r="D36">
        <f t="shared" si="20"/>
        <v>0</v>
      </c>
      <c r="E36">
        <f t="shared" si="21"/>
        <v>0</v>
      </c>
      <c r="F36">
        <f>'D-RepLevel'!$F$2</f>
        <v>0</v>
      </c>
      <c r="G36">
        <f>'D-RepLevel'!$G$2</f>
        <v>0</v>
      </c>
      <c r="H36">
        <f t="shared" si="22"/>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23"/>
        <v>0</v>
      </c>
      <c r="M36">
        <f t="shared" si="24"/>
        <v>0</v>
      </c>
      <c r="N36">
        <f t="shared" si="25"/>
        <v>0</v>
      </c>
      <c r="O36">
        <f t="shared" si="26"/>
        <v>2015</v>
      </c>
      <c r="P36">
        <f t="shared" si="27"/>
        <v>0</v>
      </c>
      <c r="Q36">
        <f t="shared" si="28"/>
        <v>0</v>
      </c>
      <c r="R36">
        <f t="shared" si="29"/>
        <v>0</v>
      </c>
      <c r="S36">
        <f t="shared" si="30"/>
        <v>0</v>
      </c>
      <c r="T36">
        <f>COUNTIF('9a'!$K$22:$K$32, "Yes")+COUNTIF('9a'!$O$22:$O$32, "Yes")</f>
        <v>0</v>
      </c>
      <c r="U36" t="str">
        <f t="shared" si="31"/>
        <v>No Expenditures</v>
      </c>
      <c r="V36" t="str">
        <f t="shared" si="32"/>
        <v>No Expenditures</v>
      </c>
      <c r="W36">
        <f t="shared" si="33"/>
        <v>0</v>
      </c>
      <c r="X36" t="str">
        <f>'D-Risk'!$AO$25</f>
        <v>Insufficient Data</v>
      </c>
      <c r="Y36" t="str">
        <f>'D-Risk'!$AO$26</f>
        <v>Insufficient Data</v>
      </c>
      <c r="Z36" t="str">
        <f>'D-Risk'!$AO$27</f>
        <v>Uncalculated</v>
      </c>
      <c r="AA36" t="s">
        <v>2186</v>
      </c>
      <c r="AB36" t="s">
        <v>2186</v>
      </c>
      <c r="AC36" t="s">
        <v>2186</v>
      </c>
      <c r="AD36" t="s">
        <v>2186</v>
      </c>
      <c r="AE36" t="s">
        <v>2186</v>
      </c>
      <c r="AF36" t="s">
        <v>2186</v>
      </c>
      <c r="AG36" t="s">
        <v>2186</v>
      </c>
      <c r="AH36" t="s">
        <v>2186</v>
      </c>
      <c r="AI36" t="s">
        <v>2186</v>
      </c>
    </row>
    <row r="37" spans="1:35" x14ac:dyDescent="0.25">
      <c r="A37">
        <f t="shared" si="17"/>
        <v>0</v>
      </c>
      <c r="B37">
        <f t="shared" si="18"/>
        <v>0</v>
      </c>
      <c r="C37">
        <f t="shared" si="19"/>
        <v>0</v>
      </c>
      <c r="D37">
        <f t="shared" si="20"/>
        <v>0</v>
      </c>
      <c r="E37">
        <f t="shared" si="21"/>
        <v>0</v>
      </c>
      <c r="F37">
        <f>'D-RepLevel'!$F$2</f>
        <v>0</v>
      </c>
      <c r="G37">
        <f>'D-RepLevel'!$G$2</f>
        <v>0</v>
      </c>
      <c r="H37">
        <f t="shared" si="22"/>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23"/>
        <v>0</v>
      </c>
      <c r="M37">
        <f t="shared" si="24"/>
        <v>0</v>
      </c>
      <c r="N37">
        <f t="shared" si="25"/>
        <v>0</v>
      </c>
      <c r="O37">
        <f t="shared" si="26"/>
        <v>2015</v>
      </c>
      <c r="P37">
        <f t="shared" si="27"/>
        <v>0</v>
      </c>
      <c r="Q37">
        <f t="shared" si="28"/>
        <v>0</v>
      </c>
      <c r="R37">
        <f t="shared" si="29"/>
        <v>0</v>
      </c>
      <c r="S37">
        <f t="shared" si="30"/>
        <v>0</v>
      </c>
      <c r="T37">
        <f>COUNTIF('9a'!$K$22:$K$32, "Yes")+COUNTIF('9a'!$O$22:$O$32, "Yes")</f>
        <v>0</v>
      </c>
      <c r="U37" t="str">
        <f t="shared" si="31"/>
        <v>No Expenditures</v>
      </c>
      <c r="V37" t="str">
        <f t="shared" si="32"/>
        <v>No Expenditures</v>
      </c>
      <c r="W37">
        <f t="shared" si="33"/>
        <v>0</v>
      </c>
      <c r="X37" t="str">
        <f>'D-Risk'!$AO$25</f>
        <v>Insufficient Data</v>
      </c>
      <c r="Y37" t="str">
        <f>'D-Risk'!$AO$26</f>
        <v>Insufficient Data</v>
      </c>
      <c r="Z37" t="str">
        <f>'D-Risk'!$AO$27</f>
        <v>Uncalculated</v>
      </c>
      <c r="AA37" t="s">
        <v>2186</v>
      </c>
      <c r="AB37" t="s">
        <v>2186</v>
      </c>
      <c r="AC37" t="s">
        <v>2186</v>
      </c>
      <c r="AD37" t="s">
        <v>2186</v>
      </c>
      <c r="AE37" t="s">
        <v>2186</v>
      </c>
      <c r="AF37" t="s">
        <v>2186</v>
      </c>
      <c r="AG37" t="s">
        <v>2186</v>
      </c>
      <c r="AH37" t="s">
        <v>2186</v>
      </c>
      <c r="AI37" t="s">
        <v>2186</v>
      </c>
    </row>
    <row r="38" spans="1:35" x14ac:dyDescent="0.25">
      <c r="A38">
        <f t="shared" si="17"/>
        <v>0</v>
      </c>
      <c r="B38">
        <f t="shared" si="18"/>
        <v>0</v>
      </c>
      <c r="C38">
        <f t="shared" si="19"/>
        <v>0</v>
      </c>
      <c r="D38">
        <f t="shared" si="20"/>
        <v>0</v>
      </c>
      <c r="E38">
        <f t="shared" si="21"/>
        <v>0</v>
      </c>
      <c r="F38">
        <f>'D-RepLevel'!$F$2</f>
        <v>0</v>
      </c>
      <c r="G38">
        <f>'D-RepLevel'!$G$2</f>
        <v>0</v>
      </c>
      <c r="H38">
        <f t="shared" si="22"/>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23"/>
        <v>0</v>
      </c>
      <c r="M38">
        <f t="shared" si="24"/>
        <v>0</v>
      </c>
      <c r="N38">
        <f t="shared" si="25"/>
        <v>0</v>
      </c>
      <c r="O38">
        <f t="shared" si="26"/>
        <v>2015</v>
      </c>
      <c r="P38">
        <f t="shared" si="27"/>
        <v>0</v>
      </c>
      <c r="Q38">
        <f t="shared" si="28"/>
        <v>0</v>
      </c>
      <c r="R38">
        <f t="shared" si="29"/>
        <v>0</v>
      </c>
      <c r="S38">
        <f t="shared" si="30"/>
        <v>0</v>
      </c>
      <c r="T38">
        <f>COUNTIF('9a'!$K$22:$K$32, "Yes")+COUNTIF('9a'!$O$22:$O$32, "Yes")</f>
        <v>0</v>
      </c>
      <c r="U38" t="str">
        <f t="shared" si="31"/>
        <v>No Expenditures</v>
      </c>
      <c r="V38" t="str">
        <f t="shared" si="32"/>
        <v>No Expenditures</v>
      </c>
      <c r="W38">
        <f t="shared" si="33"/>
        <v>0</v>
      </c>
      <c r="X38" t="str">
        <f>'D-Risk'!$AO$25</f>
        <v>Insufficient Data</v>
      </c>
      <c r="Y38" t="str">
        <f>'D-Risk'!$AO$26</f>
        <v>Insufficient Data</v>
      </c>
      <c r="Z38" t="str">
        <f>'D-Risk'!$AO$27</f>
        <v>Uncalculated</v>
      </c>
      <c r="AA38" t="s">
        <v>2186</v>
      </c>
      <c r="AB38" t="s">
        <v>2186</v>
      </c>
      <c r="AC38" t="s">
        <v>2186</v>
      </c>
      <c r="AD38" t="s">
        <v>2186</v>
      </c>
      <c r="AE38" t="s">
        <v>2186</v>
      </c>
      <c r="AF38" t="s">
        <v>2186</v>
      </c>
      <c r="AG38" t="s">
        <v>2186</v>
      </c>
      <c r="AH38" t="s">
        <v>2186</v>
      </c>
      <c r="AI38" t="s">
        <v>2186</v>
      </c>
    </row>
    <row r="39" spans="1:35" x14ac:dyDescent="0.25">
      <c r="A39">
        <f t="shared" si="17"/>
        <v>0</v>
      </c>
      <c r="B39">
        <f t="shared" si="18"/>
        <v>0</v>
      </c>
      <c r="C39">
        <f t="shared" si="19"/>
        <v>0</v>
      </c>
      <c r="D39">
        <f t="shared" si="20"/>
        <v>0</v>
      </c>
      <c r="E39">
        <f t="shared" si="21"/>
        <v>0</v>
      </c>
      <c r="F39">
        <f>'D-RepLevel'!$F$2</f>
        <v>0</v>
      </c>
      <c r="G39">
        <f>'D-RepLevel'!$G$2</f>
        <v>0</v>
      </c>
      <c r="H39">
        <f t="shared" si="22"/>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23"/>
        <v>0</v>
      </c>
      <c r="M39">
        <f t="shared" si="24"/>
        <v>0</v>
      </c>
      <c r="N39">
        <f t="shared" si="25"/>
        <v>0</v>
      </c>
      <c r="O39">
        <f t="shared" si="26"/>
        <v>2015</v>
      </c>
      <c r="P39">
        <f t="shared" si="27"/>
        <v>0</v>
      </c>
      <c r="Q39">
        <f t="shared" si="28"/>
        <v>0</v>
      </c>
      <c r="R39">
        <f t="shared" si="29"/>
        <v>0</v>
      </c>
      <c r="S39">
        <f t="shared" si="30"/>
        <v>0</v>
      </c>
      <c r="T39">
        <f>COUNTIF('9a'!$K$22:$K$32, "Yes")+COUNTIF('9a'!$O$22:$O$32, "Yes")</f>
        <v>0</v>
      </c>
      <c r="U39" t="str">
        <f t="shared" si="31"/>
        <v>No Expenditures</v>
      </c>
      <c r="V39" t="str">
        <f t="shared" si="32"/>
        <v>No Expenditures</v>
      </c>
      <c r="W39">
        <f t="shared" si="33"/>
        <v>0</v>
      </c>
      <c r="X39" t="str">
        <f>'D-Risk'!$AO$25</f>
        <v>Insufficient Data</v>
      </c>
      <c r="Y39" t="str">
        <f>'D-Risk'!$AO$26</f>
        <v>Insufficient Data</v>
      </c>
      <c r="Z39" t="str">
        <f>'D-Risk'!$AO$27</f>
        <v>Uncalculated</v>
      </c>
      <c r="AA39" t="s">
        <v>2186</v>
      </c>
      <c r="AB39" t="s">
        <v>2186</v>
      </c>
      <c r="AC39" t="s">
        <v>2186</v>
      </c>
      <c r="AD39" t="s">
        <v>2186</v>
      </c>
      <c r="AE39" t="s">
        <v>2186</v>
      </c>
      <c r="AF39" t="s">
        <v>2186</v>
      </c>
      <c r="AG39" t="s">
        <v>2186</v>
      </c>
      <c r="AH39" t="s">
        <v>2186</v>
      </c>
      <c r="AI39" t="s">
        <v>2186</v>
      </c>
    </row>
    <row r="40" spans="1:35" x14ac:dyDescent="0.25">
      <c r="A40">
        <f t="shared" si="17"/>
        <v>0</v>
      </c>
      <c r="B40">
        <f t="shared" si="18"/>
        <v>0</v>
      </c>
      <c r="C40">
        <f t="shared" si="19"/>
        <v>0</v>
      </c>
      <c r="D40">
        <f t="shared" si="20"/>
        <v>0</v>
      </c>
      <c r="E40">
        <f t="shared" si="21"/>
        <v>0</v>
      </c>
      <c r="F40">
        <f>'D-RepLevel'!$F$2</f>
        <v>0</v>
      </c>
      <c r="G40">
        <f>'D-RepLevel'!$G$2</f>
        <v>0</v>
      </c>
      <c r="H40">
        <f t="shared" si="22"/>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23"/>
        <v>0</v>
      </c>
      <c r="M40">
        <f t="shared" si="24"/>
        <v>0</v>
      </c>
      <c r="N40">
        <f t="shared" si="25"/>
        <v>0</v>
      </c>
      <c r="O40">
        <f t="shared" si="26"/>
        <v>2015</v>
      </c>
      <c r="P40">
        <f t="shared" si="27"/>
        <v>0</v>
      </c>
      <c r="Q40">
        <f t="shared" si="28"/>
        <v>0</v>
      </c>
      <c r="R40">
        <f t="shared" si="29"/>
        <v>0</v>
      </c>
      <c r="S40">
        <f t="shared" si="30"/>
        <v>0</v>
      </c>
      <c r="T40">
        <f>COUNTIF('9a'!$K$22:$K$32, "Yes")+COUNTIF('9a'!$O$22:$O$32, "Yes")</f>
        <v>0</v>
      </c>
      <c r="U40" t="str">
        <f t="shared" si="31"/>
        <v>No Expenditures</v>
      </c>
      <c r="V40" t="str">
        <f t="shared" si="32"/>
        <v>No Expenditures</v>
      </c>
      <c r="W40">
        <f t="shared" si="33"/>
        <v>0</v>
      </c>
      <c r="X40" t="str">
        <f>'D-Risk'!$AO$25</f>
        <v>Insufficient Data</v>
      </c>
      <c r="Y40" t="str">
        <f>'D-Risk'!$AO$26</f>
        <v>Insufficient Data</v>
      </c>
      <c r="Z40" t="str">
        <f>'D-Risk'!$AO$27</f>
        <v>Uncalculated</v>
      </c>
      <c r="AA40" t="s">
        <v>2186</v>
      </c>
      <c r="AB40" t="s">
        <v>2186</v>
      </c>
      <c r="AC40" t="s">
        <v>2186</v>
      </c>
      <c r="AD40" t="s">
        <v>2186</v>
      </c>
      <c r="AE40" t="s">
        <v>2186</v>
      </c>
      <c r="AF40" t="s">
        <v>2186</v>
      </c>
      <c r="AG40" t="s">
        <v>2186</v>
      </c>
      <c r="AH40" t="s">
        <v>2186</v>
      </c>
      <c r="AI40" t="s">
        <v>2186</v>
      </c>
    </row>
    <row r="41" spans="1:35" x14ac:dyDescent="0.25">
      <c r="A41">
        <f t="shared" si="17"/>
        <v>0</v>
      </c>
      <c r="B41">
        <f t="shared" si="18"/>
        <v>0</v>
      </c>
      <c r="C41">
        <f t="shared" si="19"/>
        <v>0</v>
      </c>
      <c r="D41">
        <f t="shared" si="20"/>
        <v>0</v>
      </c>
      <c r="E41">
        <f t="shared" si="21"/>
        <v>0</v>
      </c>
      <c r="F41">
        <f>'D-RepLevel'!$F$2</f>
        <v>0</v>
      </c>
      <c r="G41">
        <f>'D-RepLevel'!$G$2</f>
        <v>0</v>
      </c>
      <c r="H41">
        <f t="shared" si="22"/>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23"/>
        <v>0</v>
      </c>
      <c r="M41">
        <f t="shared" si="24"/>
        <v>0</v>
      </c>
      <c r="N41">
        <f t="shared" si="25"/>
        <v>0</v>
      </c>
      <c r="O41">
        <f t="shared" si="26"/>
        <v>2015</v>
      </c>
      <c r="P41">
        <f t="shared" si="27"/>
        <v>0</v>
      </c>
      <c r="Q41">
        <f t="shared" si="28"/>
        <v>0</v>
      </c>
      <c r="R41">
        <f t="shared" si="29"/>
        <v>0</v>
      </c>
      <c r="S41">
        <f t="shared" si="30"/>
        <v>0</v>
      </c>
      <c r="T41">
        <f>COUNTIF('9a'!$K$22:$K$32, "Yes")+COUNTIF('9a'!$O$22:$O$32, "Yes")</f>
        <v>0</v>
      </c>
      <c r="U41" t="str">
        <f t="shared" si="31"/>
        <v>No Expenditures</v>
      </c>
      <c r="V41" t="str">
        <f t="shared" si="32"/>
        <v>No Expenditures</v>
      </c>
      <c r="W41">
        <f t="shared" si="33"/>
        <v>0</v>
      </c>
      <c r="X41" t="str">
        <f>'D-Risk'!$AO$25</f>
        <v>Insufficient Data</v>
      </c>
      <c r="Y41" t="str">
        <f>'D-Risk'!$AO$26</f>
        <v>Insufficient Data</v>
      </c>
      <c r="Z41" t="str">
        <f>'D-Risk'!$AO$27</f>
        <v>Uncalculated</v>
      </c>
      <c r="AA41" t="s">
        <v>2186</v>
      </c>
      <c r="AB41" t="s">
        <v>2186</v>
      </c>
      <c r="AC41" t="s">
        <v>2186</v>
      </c>
      <c r="AD41" t="s">
        <v>2186</v>
      </c>
      <c r="AE41" t="s">
        <v>2186</v>
      </c>
      <c r="AF41" t="s">
        <v>2186</v>
      </c>
      <c r="AG41" t="s">
        <v>2186</v>
      </c>
      <c r="AH41" t="s">
        <v>2186</v>
      </c>
      <c r="AI41" t="s">
        <v>2186</v>
      </c>
    </row>
    <row r="42" spans="1:35" x14ac:dyDescent="0.25">
      <c r="A42">
        <f t="shared" si="17"/>
        <v>0</v>
      </c>
      <c r="B42">
        <f t="shared" si="18"/>
        <v>0</v>
      </c>
      <c r="C42">
        <f t="shared" si="19"/>
        <v>0</v>
      </c>
      <c r="D42">
        <f t="shared" si="20"/>
        <v>0</v>
      </c>
      <c r="E42">
        <f t="shared" si="21"/>
        <v>0</v>
      </c>
      <c r="F42">
        <f>'D-RepLevel'!$F$2</f>
        <v>0</v>
      </c>
      <c r="G42">
        <f>'D-RepLevel'!$G$2</f>
        <v>0</v>
      </c>
      <c r="H42">
        <f t="shared" si="22"/>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23"/>
        <v>0</v>
      </c>
      <c r="M42">
        <f t="shared" si="24"/>
        <v>0</v>
      </c>
      <c r="N42">
        <f t="shared" si="25"/>
        <v>0</v>
      </c>
      <c r="O42">
        <f t="shared" si="26"/>
        <v>2015</v>
      </c>
      <c r="P42">
        <f t="shared" si="27"/>
        <v>0</v>
      </c>
      <c r="Q42">
        <f t="shared" si="28"/>
        <v>0</v>
      </c>
      <c r="R42">
        <f t="shared" si="29"/>
        <v>0</v>
      </c>
      <c r="S42">
        <f t="shared" si="30"/>
        <v>0</v>
      </c>
      <c r="T42">
        <f>COUNTIF('9a'!$K$22:$K$32, "Yes")+COUNTIF('9a'!$O$22:$O$32, "Yes")</f>
        <v>0</v>
      </c>
      <c r="U42" t="str">
        <f t="shared" si="31"/>
        <v>No Expenditures</v>
      </c>
      <c r="V42" t="str">
        <f t="shared" si="32"/>
        <v>No Expenditures</v>
      </c>
      <c r="W42">
        <f t="shared" si="33"/>
        <v>0</v>
      </c>
      <c r="X42" t="str">
        <f>'D-Risk'!$AO$25</f>
        <v>Insufficient Data</v>
      </c>
      <c r="Y42" t="str">
        <f>'D-Risk'!$AO$26</f>
        <v>Insufficient Data</v>
      </c>
      <c r="Z42" t="str">
        <f>'D-Risk'!$AO$27</f>
        <v>Uncalculated</v>
      </c>
      <c r="AA42" t="s">
        <v>2186</v>
      </c>
      <c r="AB42" t="s">
        <v>2186</v>
      </c>
      <c r="AC42" t="s">
        <v>2186</v>
      </c>
      <c r="AD42" t="s">
        <v>2186</v>
      </c>
      <c r="AE42" t="s">
        <v>2186</v>
      </c>
      <c r="AF42" t="s">
        <v>2186</v>
      </c>
      <c r="AG42" t="s">
        <v>2186</v>
      </c>
      <c r="AH42" t="s">
        <v>2186</v>
      </c>
      <c r="AI42" t="s">
        <v>2186</v>
      </c>
    </row>
    <row r="43" spans="1:35" x14ac:dyDescent="0.25">
      <c r="A43">
        <f t="shared" si="17"/>
        <v>0</v>
      </c>
      <c r="B43">
        <f t="shared" si="18"/>
        <v>0</v>
      </c>
      <c r="C43">
        <f t="shared" si="19"/>
        <v>0</v>
      </c>
      <c r="D43">
        <f t="shared" si="20"/>
        <v>0</v>
      </c>
      <c r="E43">
        <f t="shared" si="21"/>
        <v>0</v>
      </c>
      <c r="F43">
        <f>'D-RepLevel'!$F$2</f>
        <v>0</v>
      </c>
      <c r="G43">
        <f>'D-RepLevel'!$G$2</f>
        <v>0</v>
      </c>
      <c r="H43">
        <f t="shared" si="22"/>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23"/>
        <v>0</v>
      </c>
      <c r="M43">
        <f t="shared" si="24"/>
        <v>0</v>
      </c>
      <c r="N43">
        <f t="shared" si="25"/>
        <v>0</v>
      </c>
      <c r="O43">
        <f t="shared" si="26"/>
        <v>2015</v>
      </c>
      <c r="P43">
        <f t="shared" si="27"/>
        <v>0</v>
      </c>
      <c r="Q43">
        <f t="shared" si="28"/>
        <v>0</v>
      </c>
      <c r="R43">
        <f t="shared" si="29"/>
        <v>0</v>
      </c>
      <c r="S43">
        <f t="shared" si="30"/>
        <v>0</v>
      </c>
      <c r="T43">
        <f>COUNTIF('9a'!$K$22:$K$32, "Yes")+COUNTIF('9a'!$O$22:$O$32, "Yes")</f>
        <v>0</v>
      </c>
      <c r="U43" t="str">
        <f t="shared" si="31"/>
        <v>No Expenditures</v>
      </c>
      <c r="V43" t="str">
        <f t="shared" si="32"/>
        <v>No Expenditures</v>
      </c>
      <c r="W43">
        <f t="shared" si="33"/>
        <v>0</v>
      </c>
      <c r="X43" t="str">
        <f>'D-Risk'!$AO$25</f>
        <v>Insufficient Data</v>
      </c>
      <c r="Y43" t="str">
        <f>'D-Risk'!$AO$26</f>
        <v>Insufficient Data</v>
      </c>
      <c r="Z43" t="str">
        <f>'D-Risk'!$AO$27</f>
        <v>Uncalculated</v>
      </c>
      <c r="AA43" t="s">
        <v>2186</v>
      </c>
      <c r="AB43" t="s">
        <v>2186</v>
      </c>
      <c r="AC43" t="s">
        <v>2186</v>
      </c>
      <c r="AD43" t="s">
        <v>2186</v>
      </c>
      <c r="AE43" t="s">
        <v>2186</v>
      </c>
      <c r="AF43" t="s">
        <v>2186</v>
      </c>
      <c r="AG43" t="s">
        <v>2186</v>
      </c>
      <c r="AH43" t="s">
        <v>2186</v>
      </c>
      <c r="AI43" t="s">
        <v>2186</v>
      </c>
    </row>
    <row r="44" spans="1:35" x14ac:dyDescent="0.25">
      <c r="A44">
        <f t="shared" si="17"/>
        <v>0</v>
      </c>
      <c r="B44">
        <f t="shared" si="18"/>
        <v>0</v>
      </c>
      <c r="C44">
        <f t="shared" si="19"/>
        <v>0</v>
      </c>
      <c r="D44">
        <f t="shared" si="20"/>
        <v>0</v>
      </c>
      <c r="E44">
        <f t="shared" si="21"/>
        <v>0</v>
      </c>
      <c r="F44">
        <f>'D-RepLevel'!$F$2</f>
        <v>0</v>
      </c>
      <c r="G44">
        <f>'D-RepLevel'!$G$2</f>
        <v>0</v>
      </c>
      <c r="H44">
        <f t="shared" si="22"/>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23"/>
        <v>0</v>
      </c>
      <c r="M44">
        <f t="shared" si="24"/>
        <v>0</v>
      </c>
      <c r="N44">
        <f t="shared" si="25"/>
        <v>0</v>
      </c>
      <c r="O44">
        <f t="shared" si="26"/>
        <v>2015</v>
      </c>
      <c r="P44">
        <f t="shared" si="27"/>
        <v>0</v>
      </c>
      <c r="Q44">
        <f t="shared" si="28"/>
        <v>0</v>
      </c>
      <c r="R44">
        <f t="shared" si="29"/>
        <v>0</v>
      </c>
      <c r="S44">
        <f t="shared" si="30"/>
        <v>0</v>
      </c>
      <c r="T44">
        <f>COUNTIF('9a'!$K$22:$K$32, "Yes")+COUNTIF('9a'!$O$22:$O$32, "Yes")</f>
        <v>0</v>
      </c>
      <c r="U44" t="str">
        <f t="shared" si="31"/>
        <v>No Expenditures</v>
      </c>
      <c r="V44" t="str">
        <f t="shared" si="32"/>
        <v>No Expenditures</v>
      </c>
      <c r="W44">
        <f t="shared" si="33"/>
        <v>0</v>
      </c>
      <c r="X44" t="str">
        <f>'D-Risk'!$AO$25</f>
        <v>Insufficient Data</v>
      </c>
      <c r="Y44" t="str">
        <f>'D-Risk'!$AO$26</f>
        <v>Insufficient Data</v>
      </c>
      <c r="Z44" t="str">
        <f>'D-Risk'!$AO$27</f>
        <v>Uncalculated</v>
      </c>
      <c r="AA44" t="s">
        <v>2186</v>
      </c>
      <c r="AB44" t="s">
        <v>2186</v>
      </c>
      <c r="AC44" t="s">
        <v>2186</v>
      </c>
      <c r="AD44" t="s">
        <v>2186</v>
      </c>
      <c r="AE44" t="s">
        <v>2186</v>
      </c>
      <c r="AF44" t="s">
        <v>2186</v>
      </c>
      <c r="AG44" t="s">
        <v>2186</v>
      </c>
      <c r="AH44" t="s">
        <v>2186</v>
      </c>
      <c r="AI44" t="s">
        <v>2186</v>
      </c>
    </row>
    <row r="45" spans="1:35" x14ac:dyDescent="0.25">
      <c r="A45">
        <f t="shared" si="17"/>
        <v>0</v>
      </c>
      <c r="B45">
        <f t="shared" si="18"/>
        <v>0</v>
      </c>
      <c r="C45">
        <f t="shared" si="19"/>
        <v>0</v>
      </c>
      <c r="D45">
        <f t="shared" si="20"/>
        <v>0</v>
      </c>
      <c r="E45">
        <f t="shared" si="21"/>
        <v>0</v>
      </c>
      <c r="F45">
        <f>'D-RepLevel'!$F$2</f>
        <v>0</v>
      </c>
      <c r="G45">
        <f>'D-RepLevel'!$G$2</f>
        <v>0</v>
      </c>
      <c r="H45">
        <f t="shared" si="22"/>
        <v>0</v>
      </c>
      <c r="I45" t="str">
        <f>IF(ISERROR(INDEX('1b'!$C$5:$C$21, MATCH("Primary Business Line", '1b'!$H$5:$H$21, FALSE), 1)), "None Selected", INDEX('1b'!$C$5:$C$21, MATCH("Primary Business Line", '1b'!$H$5:$H$21, FALSE), 1))</f>
        <v>None Selected</v>
      </c>
      <c r="J45">
        <f>'D-3'!$J$2</f>
        <v>0</v>
      </c>
      <c r="K45">
        <f>COUNTIF('4a'!$E$6:$E$29, "Direct")+COUNTIF('4a'!$E$6:$E$29, "Indirect")+COUNTIF('4a'!$E$6:$E$29, "Both")</f>
        <v>0</v>
      </c>
      <c r="L45">
        <f t="shared" si="23"/>
        <v>0</v>
      </c>
      <c r="M45">
        <f t="shared" si="24"/>
        <v>0</v>
      </c>
      <c r="N45">
        <f t="shared" si="25"/>
        <v>0</v>
      </c>
      <c r="O45">
        <f t="shared" si="26"/>
        <v>2015</v>
      </c>
      <c r="P45">
        <f t="shared" si="27"/>
        <v>0</v>
      </c>
      <c r="Q45">
        <f t="shared" si="28"/>
        <v>0</v>
      </c>
      <c r="R45">
        <f t="shared" si="29"/>
        <v>0</v>
      </c>
      <c r="S45">
        <f t="shared" si="30"/>
        <v>0</v>
      </c>
      <c r="T45">
        <f>COUNTIF('9a'!$K$22:$K$32, "Yes")+COUNTIF('9a'!$O$22:$O$32, "Yes")</f>
        <v>0</v>
      </c>
      <c r="U45" t="str">
        <f t="shared" si="31"/>
        <v>No Expenditures</v>
      </c>
      <c r="V45" t="str">
        <f t="shared" si="32"/>
        <v>No Expenditures</v>
      </c>
      <c r="W45">
        <f t="shared" si="33"/>
        <v>0</v>
      </c>
      <c r="X45" t="str">
        <f>'D-Risk'!$AO$25</f>
        <v>Insufficient Data</v>
      </c>
      <c r="Y45" t="str">
        <f>'D-Risk'!$AO$26</f>
        <v>Insufficient Data</v>
      </c>
      <c r="Z45" t="str">
        <f>'D-Risk'!$AO$27</f>
        <v>Uncalculated</v>
      </c>
      <c r="AA45" t="s">
        <v>2186</v>
      </c>
      <c r="AB45" t="s">
        <v>2186</v>
      </c>
      <c r="AC45" t="s">
        <v>2186</v>
      </c>
      <c r="AD45" t="s">
        <v>2186</v>
      </c>
      <c r="AE45" t="s">
        <v>2186</v>
      </c>
      <c r="AF45" t="s">
        <v>2186</v>
      </c>
      <c r="AG45" t="s">
        <v>2186</v>
      </c>
      <c r="AH45" t="s">
        <v>2186</v>
      </c>
      <c r="AI45" t="s">
        <v>2186</v>
      </c>
    </row>
    <row r="46" spans="1:35" x14ac:dyDescent="0.25">
      <c r="A46">
        <f t="shared" si="17"/>
        <v>0</v>
      </c>
      <c r="B46">
        <f t="shared" si="18"/>
        <v>0</v>
      </c>
      <c r="C46">
        <f t="shared" si="19"/>
        <v>0</v>
      </c>
      <c r="D46">
        <f t="shared" si="20"/>
        <v>0</v>
      </c>
      <c r="E46">
        <f t="shared" si="21"/>
        <v>0</v>
      </c>
      <c r="F46">
        <f>'D-RepLevel'!$F$2</f>
        <v>0</v>
      </c>
      <c r="G46">
        <f>'D-RepLevel'!$G$2</f>
        <v>0</v>
      </c>
      <c r="H46">
        <f t="shared" si="22"/>
        <v>0</v>
      </c>
      <c r="I46" t="str">
        <f>IF(ISERROR(INDEX('1b'!$C$5:$C$21, MATCH("Primary Business Line", '1b'!$H$5:$H$21, FALSE), 1)), "None Selected", INDEX('1b'!$C$5:$C$21, MATCH("Primary Business Line", '1b'!$H$5:$H$21, FALSE), 1))</f>
        <v>None Selected</v>
      </c>
      <c r="J46">
        <f>'D-3'!$J$2</f>
        <v>0</v>
      </c>
      <c r="K46">
        <f>COUNTIF('4a'!$E$6:$E$29, "Direct")+COUNTIF('4a'!$E$6:$E$29, "Indirect")+COUNTIF('4a'!$E$6:$E$29, "Both")</f>
        <v>0</v>
      </c>
      <c r="L46">
        <f t="shared" si="23"/>
        <v>0</v>
      </c>
      <c r="M46">
        <f t="shared" si="24"/>
        <v>0</v>
      </c>
      <c r="N46">
        <f t="shared" si="25"/>
        <v>0</v>
      </c>
      <c r="O46">
        <f t="shared" si="26"/>
        <v>2015</v>
      </c>
      <c r="P46">
        <f t="shared" si="27"/>
        <v>0</v>
      </c>
      <c r="Q46">
        <f t="shared" si="28"/>
        <v>0</v>
      </c>
      <c r="R46">
        <f t="shared" si="29"/>
        <v>0</v>
      </c>
      <c r="S46">
        <f t="shared" si="30"/>
        <v>0</v>
      </c>
      <c r="T46">
        <f>COUNTIF('9a'!$K$22:$K$32, "Yes")+COUNTIF('9a'!$O$22:$O$32, "Yes")</f>
        <v>0</v>
      </c>
      <c r="U46" t="str">
        <f t="shared" si="31"/>
        <v>No Expenditures</v>
      </c>
      <c r="V46" t="str">
        <f t="shared" si="32"/>
        <v>No Expenditures</v>
      </c>
      <c r="W46">
        <f t="shared" si="33"/>
        <v>0</v>
      </c>
      <c r="X46" t="str">
        <f>'D-Risk'!$AO$25</f>
        <v>Insufficient Data</v>
      </c>
      <c r="Y46" t="str">
        <f>'D-Risk'!$AO$26</f>
        <v>Insufficient Data</v>
      </c>
      <c r="Z46" t="str">
        <f>'D-Risk'!$AO$27</f>
        <v>Uncalculated</v>
      </c>
      <c r="AA46" t="s">
        <v>2186</v>
      </c>
      <c r="AB46" t="s">
        <v>2186</v>
      </c>
      <c r="AC46" t="s">
        <v>2186</v>
      </c>
      <c r="AD46" t="s">
        <v>2186</v>
      </c>
      <c r="AE46" t="s">
        <v>2186</v>
      </c>
      <c r="AF46" t="s">
        <v>2186</v>
      </c>
      <c r="AG46" t="s">
        <v>2186</v>
      </c>
      <c r="AH46" t="s">
        <v>2186</v>
      </c>
      <c r="AI46" t="s">
        <v>2186</v>
      </c>
    </row>
    <row r="47" spans="1:35" x14ac:dyDescent="0.25">
      <c r="A47">
        <f t="shared" si="17"/>
        <v>0</v>
      </c>
      <c r="B47">
        <f t="shared" si="18"/>
        <v>0</v>
      </c>
      <c r="C47">
        <f t="shared" si="19"/>
        <v>0</v>
      </c>
      <c r="D47">
        <f t="shared" si="20"/>
        <v>0</v>
      </c>
      <c r="E47">
        <f t="shared" si="21"/>
        <v>0</v>
      </c>
      <c r="F47">
        <f>'D-RepLevel'!$F$2</f>
        <v>0</v>
      </c>
      <c r="G47">
        <f>'D-RepLevel'!$G$2</f>
        <v>0</v>
      </c>
      <c r="H47">
        <f t="shared" si="22"/>
        <v>0</v>
      </c>
      <c r="I47" t="str">
        <f>IF(ISERROR(INDEX('1b'!$C$5:$C$21, MATCH("Primary Business Line", '1b'!$H$5:$H$21, FALSE), 1)), "None Selected", INDEX('1b'!$C$5:$C$21, MATCH("Primary Business Line", '1b'!$H$5:$H$21, FALSE), 1))</f>
        <v>None Selected</v>
      </c>
      <c r="J47">
        <f>'D-3'!$J$2</f>
        <v>0</v>
      </c>
      <c r="K47">
        <f>COUNTIF('4a'!$E$6:$E$29, "Direct")+COUNTIF('4a'!$E$6:$E$29, "Indirect")+COUNTIF('4a'!$E$6:$E$29, "Both")</f>
        <v>0</v>
      </c>
      <c r="L47">
        <f t="shared" si="23"/>
        <v>0</v>
      </c>
      <c r="M47">
        <f t="shared" si="24"/>
        <v>0</v>
      </c>
      <c r="N47">
        <f t="shared" si="25"/>
        <v>0</v>
      </c>
      <c r="O47">
        <f t="shared" si="26"/>
        <v>2015</v>
      </c>
      <c r="P47">
        <f t="shared" si="27"/>
        <v>0</v>
      </c>
      <c r="Q47">
        <f t="shared" si="28"/>
        <v>0</v>
      </c>
      <c r="R47">
        <f t="shared" si="29"/>
        <v>0</v>
      </c>
      <c r="S47">
        <f t="shared" si="30"/>
        <v>0</v>
      </c>
      <c r="T47">
        <f>COUNTIF('9a'!$K$22:$K$32, "Yes")+COUNTIF('9a'!$O$22:$O$32, "Yes")</f>
        <v>0</v>
      </c>
      <c r="U47" t="str">
        <f t="shared" si="31"/>
        <v>No Expenditures</v>
      </c>
      <c r="V47" t="str">
        <f t="shared" si="32"/>
        <v>No Expenditures</v>
      </c>
      <c r="W47">
        <f t="shared" si="33"/>
        <v>0</v>
      </c>
      <c r="X47" t="str">
        <f>'D-Risk'!$AO$25</f>
        <v>Insufficient Data</v>
      </c>
      <c r="Y47" t="str">
        <f>'D-Risk'!$AO$26</f>
        <v>Insufficient Data</v>
      </c>
      <c r="Z47" t="str">
        <f>'D-Risk'!$AO$27</f>
        <v>Uncalculated</v>
      </c>
      <c r="AA47" t="s">
        <v>2186</v>
      </c>
      <c r="AB47" t="s">
        <v>2186</v>
      </c>
      <c r="AC47" t="s">
        <v>2186</v>
      </c>
      <c r="AD47" t="s">
        <v>2186</v>
      </c>
      <c r="AE47" t="s">
        <v>2186</v>
      </c>
      <c r="AF47" t="s">
        <v>2186</v>
      </c>
      <c r="AG47" t="s">
        <v>2186</v>
      </c>
      <c r="AH47" t="s">
        <v>2186</v>
      </c>
      <c r="AI47" t="s">
        <v>2186</v>
      </c>
    </row>
    <row r="48" spans="1:35" x14ac:dyDescent="0.25">
      <c r="A48">
        <f t="shared" si="17"/>
        <v>0</v>
      </c>
      <c r="B48">
        <f t="shared" si="18"/>
        <v>0</v>
      </c>
      <c r="C48">
        <f t="shared" si="19"/>
        <v>0</v>
      </c>
      <c r="D48">
        <f t="shared" si="20"/>
        <v>0</v>
      </c>
      <c r="E48">
        <f t="shared" si="21"/>
        <v>0</v>
      </c>
      <c r="F48">
        <f>'D-RepLevel'!$F$2</f>
        <v>0</v>
      </c>
      <c r="G48">
        <f>'D-RepLevel'!$G$2</f>
        <v>0</v>
      </c>
      <c r="H48">
        <f t="shared" si="22"/>
        <v>0</v>
      </c>
      <c r="I48" t="str">
        <f>IF(ISERROR(INDEX('1b'!$C$5:$C$21, MATCH("Primary Business Line", '1b'!$H$5:$H$21, FALSE), 1)), "None Selected", INDEX('1b'!$C$5:$C$21, MATCH("Primary Business Line", '1b'!$H$5:$H$21, FALSE), 1))</f>
        <v>None Selected</v>
      </c>
      <c r="J48">
        <f>'D-3'!$J$2</f>
        <v>0</v>
      </c>
      <c r="K48">
        <f>COUNTIF('4a'!$E$6:$E$29, "Direct")+COUNTIF('4a'!$E$6:$E$29, "Indirect")+COUNTIF('4a'!$E$6:$E$29, "Both")</f>
        <v>0</v>
      </c>
      <c r="L48">
        <f t="shared" si="23"/>
        <v>0</v>
      </c>
      <c r="M48">
        <f t="shared" si="24"/>
        <v>0</v>
      </c>
      <c r="N48">
        <f t="shared" si="25"/>
        <v>0</v>
      </c>
      <c r="O48">
        <f t="shared" si="26"/>
        <v>2015</v>
      </c>
      <c r="P48">
        <f t="shared" si="27"/>
        <v>0</v>
      </c>
      <c r="Q48">
        <f t="shared" si="28"/>
        <v>0</v>
      </c>
      <c r="R48">
        <f t="shared" si="29"/>
        <v>0</v>
      </c>
      <c r="S48">
        <f t="shared" si="30"/>
        <v>0</v>
      </c>
      <c r="T48">
        <f>COUNTIF('9a'!$K$22:$K$32, "Yes")+COUNTIF('9a'!$O$22:$O$32, "Yes")</f>
        <v>0</v>
      </c>
      <c r="U48" t="str">
        <f t="shared" si="31"/>
        <v>No Expenditures</v>
      </c>
      <c r="V48" t="str">
        <f t="shared" si="32"/>
        <v>No Expenditures</v>
      </c>
      <c r="W48">
        <f t="shared" si="33"/>
        <v>0</v>
      </c>
      <c r="X48" t="str">
        <f>'D-Risk'!$AO$25</f>
        <v>Insufficient Data</v>
      </c>
      <c r="Y48" t="str">
        <f>'D-Risk'!$AO$26</f>
        <v>Insufficient Data</v>
      </c>
      <c r="Z48" t="str">
        <f>'D-Risk'!$AO$27</f>
        <v>Uncalculated</v>
      </c>
      <c r="AA48" t="s">
        <v>2186</v>
      </c>
      <c r="AB48" t="s">
        <v>2186</v>
      </c>
      <c r="AC48" t="s">
        <v>2186</v>
      </c>
      <c r="AD48" t="s">
        <v>2186</v>
      </c>
      <c r="AE48" t="s">
        <v>2186</v>
      </c>
      <c r="AF48" t="s">
        <v>2186</v>
      </c>
      <c r="AG48" t="s">
        <v>2186</v>
      </c>
      <c r="AH48" t="s">
        <v>2186</v>
      </c>
      <c r="AI48" t="s">
        <v>2186</v>
      </c>
    </row>
    <row r="49" spans="1:35" x14ac:dyDescent="0.25">
      <c r="A49">
        <f t="shared" si="17"/>
        <v>0</v>
      </c>
      <c r="B49">
        <f t="shared" si="18"/>
        <v>0</v>
      </c>
      <c r="C49">
        <f t="shared" si="19"/>
        <v>0</v>
      </c>
      <c r="D49">
        <f t="shared" si="20"/>
        <v>0</v>
      </c>
      <c r="E49">
        <f t="shared" si="21"/>
        <v>0</v>
      </c>
      <c r="F49">
        <f>'D-RepLevel'!$F$2</f>
        <v>0</v>
      </c>
      <c r="G49">
        <f>'D-RepLevel'!$G$2</f>
        <v>0</v>
      </c>
      <c r="H49">
        <f t="shared" si="22"/>
        <v>0</v>
      </c>
      <c r="I49" t="str">
        <f>IF(ISERROR(INDEX('1b'!$C$5:$C$21, MATCH("Primary Business Line", '1b'!$H$5:$H$21, FALSE), 1)), "None Selected", INDEX('1b'!$C$5:$C$21, MATCH("Primary Business Line", '1b'!$H$5:$H$21, FALSE), 1))</f>
        <v>None Selected</v>
      </c>
      <c r="J49">
        <f>'D-3'!$J$2</f>
        <v>0</v>
      </c>
      <c r="K49">
        <f>COUNTIF('4a'!$E$6:$E$29, "Direct")+COUNTIF('4a'!$E$6:$E$29, "Indirect")+COUNTIF('4a'!$E$6:$E$29, "Both")</f>
        <v>0</v>
      </c>
      <c r="L49">
        <f t="shared" si="23"/>
        <v>0</v>
      </c>
      <c r="M49">
        <f t="shared" si="24"/>
        <v>0</v>
      </c>
      <c r="N49">
        <f t="shared" si="25"/>
        <v>0</v>
      </c>
      <c r="O49">
        <f t="shared" si="26"/>
        <v>2015</v>
      </c>
      <c r="P49">
        <f t="shared" si="27"/>
        <v>0</v>
      </c>
      <c r="Q49">
        <f t="shared" si="28"/>
        <v>0</v>
      </c>
      <c r="R49">
        <f t="shared" si="29"/>
        <v>0</v>
      </c>
      <c r="S49">
        <f t="shared" si="30"/>
        <v>0</v>
      </c>
      <c r="T49">
        <f>COUNTIF('9a'!$K$22:$K$32, "Yes")+COUNTIF('9a'!$O$22:$O$32, "Yes")</f>
        <v>0</v>
      </c>
      <c r="U49" t="str">
        <f t="shared" si="31"/>
        <v>No Expenditures</v>
      </c>
      <c r="V49" t="str">
        <f t="shared" si="32"/>
        <v>No Expenditures</v>
      </c>
      <c r="W49">
        <f t="shared" si="33"/>
        <v>0</v>
      </c>
      <c r="X49" t="str">
        <f>'D-Risk'!$AO$25</f>
        <v>Insufficient Data</v>
      </c>
      <c r="Y49" t="str">
        <f>'D-Risk'!$AO$26</f>
        <v>Insufficient Data</v>
      </c>
      <c r="Z49" t="str">
        <f>'D-Risk'!$AO$27</f>
        <v>Uncalculated</v>
      </c>
      <c r="AA49" t="s">
        <v>2186</v>
      </c>
      <c r="AB49" t="s">
        <v>2186</v>
      </c>
      <c r="AC49" t="s">
        <v>2186</v>
      </c>
      <c r="AD49" t="s">
        <v>2186</v>
      </c>
      <c r="AE49" t="s">
        <v>2186</v>
      </c>
      <c r="AF49" t="s">
        <v>2186</v>
      </c>
      <c r="AG49" t="s">
        <v>2186</v>
      </c>
      <c r="AH49" t="s">
        <v>2186</v>
      </c>
      <c r="AI49" t="s">
        <v>2186</v>
      </c>
    </row>
    <row r="50" spans="1:35" x14ac:dyDescent="0.25">
      <c r="A50">
        <f t="shared" si="17"/>
        <v>0</v>
      </c>
      <c r="B50">
        <f t="shared" si="18"/>
        <v>0</v>
      </c>
      <c r="C50">
        <f t="shared" si="19"/>
        <v>0</v>
      </c>
      <c r="D50">
        <f t="shared" si="20"/>
        <v>0</v>
      </c>
      <c r="E50">
        <f t="shared" si="21"/>
        <v>0</v>
      </c>
      <c r="F50">
        <f>'D-RepLevel'!$F$2</f>
        <v>0</v>
      </c>
      <c r="G50">
        <f>'D-RepLevel'!$G$2</f>
        <v>0</v>
      </c>
      <c r="H50">
        <f t="shared" si="22"/>
        <v>0</v>
      </c>
      <c r="I50" t="str">
        <f>IF(ISERROR(INDEX('1b'!$C$5:$C$21, MATCH("Primary Business Line", '1b'!$H$5:$H$21, FALSE), 1)), "None Selected", INDEX('1b'!$C$5:$C$21, MATCH("Primary Business Line", '1b'!$H$5:$H$21, FALSE), 1))</f>
        <v>None Selected</v>
      </c>
      <c r="J50">
        <f>'D-3'!$J$2</f>
        <v>0</v>
      </c>
      <c r="K50">
        <f>COUNTIF('4a'!$E$6:$E$29, "Direct")+COUNTIF('4a'!$E$6:$E$29, "Indirect")+COUNTIF('4a'!$E$6:$E$29, "Both")</f>
        <v>0</v>
      </c>
      <c r="L50">
        <f t="shared" si="23"/>
        <v>0</v>
      </c>
      <c r="M50">
        <f t="shared" si="24"/>
        <v>0</v>
      </c>
      <c r="N50">
        <f t="shared" si="25"/>
        <v>0</v>
      </c>
      <c r="O50">
        <f t="shared" si="26"/>
        <v>2015</v>
      </c>
      <c r="P50">
        <f t="shared" si="27"/>
        <v>0</v>
      </c>
      <c r="Q50">
        <f t="shared" si="28"/>
        <v>0</v>
      </c>
      <c r="R50">
        <f t="shared" si="29"/>
        <v>0</v>
      </c>
      <c r="S50">
        <f t="shared" si="30"/>
        <v>0</v>
      </c>
      <c r="T50">
        <f>COUNTIF('9a'!$K$22:$K$32, "Yes")+COUNTIF('9a'!$O$22:$O$32, "Yes")</f>
        <v>0</v>
      </c>
      <c r="U50" t="str">
        <f t="shared" si="31"/>
        <v>No Expenditures</v>
      </c>
      <c r="V50" t="str">
        <f t="shared" si="32"/>
        <v>No Expenditures</v>
      </c>
      <c r="W50">
        <f t="shared" si="33"/>
        <v>0</v>
      </c>
      <c r="X50" t="str">
        <f>'D-Risk'!$AO$25</f>
        <v>Insufficient Data</v>
      </c>
      <c r="Y50" t="str">
        <f>'D-Risk'!$AO$26</f>
        <v>Insufficient Data</v>
      </c>
      <c r="Z50" t="str">
        <f>'D-Risk'!$AO$27</f>
        <v>Uncalculated</v>
      </c>
      <c r="AA50" t="s">
        <v>2186</v>
      </c>
      <c r="AB50" t="s">
        <v>2186</v>
      </c>
      <c r="AC50" t="s">
        <v>2186</v>
      </c>
      <c r="AD50" t="s">
        <v>2186</v>
      </c>
      <c r="AE50" t="s">
        <v>2186</v>
      </c>
      <c r="AF50" t="s">
        <v>2186</v>
      </c>
      <c r="AG50" t="s">
        <v>2186</v>
      </c>
      <c r="AH50" t="s">
        <v>2186</v>
      </c>
      <c r="AI50" t="s">
        <v>2186</v>
      </c>
    </row>
    <row r="51" spans="1:35" x14ac:dyDescent="0.25">
      <c r="A51">
        <f t="shared" si="17"/>
        <v>0</v>
      </c>
      <c r="B51">
        <f t="shared" si="18"/>
        <v>0</v>
      </c>
      <c r="C51">
        <f t="shared" si="19"/>
        <v>0</v>
      </c>
      <c r="D51">
        <f t="shared" si="20"/>
        <v>0</v>
      </c>
      <c r="E51">
        <f t="shared" si="21"/>
        <v>0</v>
      </c>
      <c r="F51">
        <f>'D-RepLevel'!$F$2</f>
        <v>0</v>
      </c>
      <c r="G51">
        <f>'D-RepLevel'!$G$2</f>
        <v>0</v>
      </c>
      <c r="H51">
        <f t="shared" si="22"/>
        <v>0</v>
      </c>
      <c r="I51" t="str">
        <f>IF(ISERROR(INDEX('1b'!$C$5:$C$21, MATCH("Primary Business Line", '1b'!$H$5:$H$21, FALSE), 1)), "None Selected", INDEX('1b'!$C$5:$C$21, MATCH("Primary Business Line", '1b'!$H$5:$H$21, FALSE), 1))</f>
        <v>None Selected</v>
      </c>
      <c r="J51">
        <f>'D-3'!$J$2</f>
        <v>0</v>
      </c>
      <c r="K51">
        <f>COUNTIF('4a'!$E$6:$E$29, "Direct")+COUNTIF('4a'!$E$6:$E$29, "Indirect")+COUNTIF('4a'!$E$6:$E$29, "Both")</f>
        <v>0</v>
      </c>
      <c r="L51">
        <f t="shared" si="23"/>
        <v>0</v>
      </c>
      <c r="M51">
        <f t="shared" si="24"/>
        <v>0</v>
      </c>
      <c r="N51">
        <f t="shared" si="25"/>
        <v>0</v>
      </c>
      <c r="O51">
        <f t="shared" si="26"/>
        <v>2015</v>
      </c>
      <c r="P51">
        <f t="shared" si="27"/>
        <v>0</v>
      </c>
      <c r="Q51">
        <f t="shared" si="28"/>
        <v>0</v>
      </c>
      <c r="R51">
        <f t="shared" si="29"/>
        <v>0</v>
      </c>
      <c r="S51">
        <f t="shared" si="30"/>
        <v>0</v>
      </c>
      <c r="T51">
        <f>COUNTIF('9a'!$K$22:$K$32, "Yes")+COUNTIF('9a'!$O$22:$O$32, "Yes")</f>
        <v>0</v>
      </c>
      <c r="U51" t="str">
        <f t="shared" si="31"/>
        <v>No Expenditures</v>
      </c>
      <c r="V51" t="str">
        <f t="shared" si="32"/>
        <v>No Expenditures</v>
      </c>
      <c r="W51">
        <f t="shared" si="33"/>
        <v>0</v>
      </c>
      <c r="X51" t="str">
        <f>'D-Risk'!$AO$25</f>
        <v>Insufficient Data</v>
      </c>
      <c r="Y51" t="str">
        <f>'D-Risk'!$AO$26</f>
        <v>Insufficient Data</v>
      </c>
      <c r="Z51" t="str">
        <f>'D-Risk'!$AO$27</f>
        <v>Uncalculated</v>
      </c>
      <c r="AA51" t="s">
        <v>2186</v>
      </c>
      <c r="AB51" t="s">
        <v>2186</v>
      </c>
      <c r="AC51" t="s">
        <v>2186</v>
      </c>
      <c r="AD51" t="s">
        <v>2186</v>
      </c>
      <c r="AE51" t="s">
        <v>2186</v>
      </c>
      <c r="AF51" t="s">
        <v>2186</v>
      </c>
      <c r="AG51" t="s">
        <v>2186</v>
      </c>
      <c r="AH51" t="s">
        <v>2186</v>
      </c>
      <c r="AI51" t="s">
        <v>2186</v>
      </c>
    </row>
    <row r="52" spans="1:35" x14ac:dyDescent="0.25">
      <c r="A52">
        <f t="shared" si="17"/>
        <v>0</v>
      </c>
      <c r="B52">
        <f t="shared" si="18"/>
        <v>0</v>
      </c>
      <c r="C52">
        <f t="shared" si="19"/>
        <v>0</v>
      </c>
      <c r="D52">
        <f t="shared" si="20"/>
        <v>0</v>
      </c>
      <c r="E52">
        <f t="shared" si="21"/>
        <v>0</v>
      </c>
      <c r="F52">
        <f>'D-RepLevel'!$F$2</f>
        <v>0</v>
      </c>
      <c r="G52">
        <f>'D-RepLevel'!$G$2</f>
        <v>0</v>
      </c>
      <c r="H52">
        <f t="shared" si="22"/>
        <v>0</v>
      </c>
      <c r="I52" t="str">
        <f>IF(ISERROR(INDEX('1b'!$C$5:$C$21, MATCH("Primary Business Line", '1b'!$H$5:$H$21, FALSE), 1)), "None Selected", INDEX('1b'!$C$5:$C$21, MATCH("Primary Business Line", '1b'!$H$5:$H$21, FALSE), 1))</f>
        <v>None Selected</v>
      </c>
      <c r="J52">
        <f>'D-3'!$J$2</f>
        <v>0</v>
      </c>
      <c r="K52">
        <f>COUNTIF('4a'!$E$6:$E$29, "Direct")+COUNTIF('4a'!$E$6:$E$29, "Indirect")+COUNTIF('4a'!$E$6:$E$29, "Both")</f>
        <v>0</v>
      </c>
      <c r="L52">
        <f t="shared" si="23"/>
        <v>0</v>
      </c>
      <c r="M52">
        <f t="shared" si="24"/>
        <v>0</v>
      </c>
      <c r="N52">
        <f t="shared" si="25"/>
        <v>0</v>
      </c>
      <c r="O52">
        <f t="shared" si="26"/>
        <v>2015</v>
      </c>
      <c r="P52">
        <f t="shared" si="27"/>
        <v>0</v>
      </c>
      <c r="Q52">
        <f t="shared" si="28"/>
        <v>0</v>
      </c>
      <c r="R52">
        <f t="shared" si="29"/>
        <v>0</v>
      </c>
      <c r="S52">
        <f t="shared" si="30"/>
        <v>0</v>
      </c>
      <c r="T52">
        <f>COUNTIF('9a'!$K$22:$K$32, "Yes")+COUNTIF('9a'!$O$22:$O$32, "Yes")</f>
        <v>0</v>
      </c>
      <c r="U52" t="str">
        <f t="shared" si="31"/>
        <v>No Expenditures</v>
      </c>
      <c r="V52" t="str">
        <f t="shared" si="32"/>
        <v>No Expenditures</v>
      </c>
      <c r="W52">
        <f t="shared" si="33"/>
        <v>0</v>
      </c>
      <c r="X52" t="str">
        <f>'D-Risk'!$AO$25</f>
        <v>Insufficient Data</v>
      </c>
      <c r="Y52" t="str">
        <f>'D-Risk'!$AO$26</f>
        <v>Insufficient Data</v>
      </c>
      <c r="Z52" t="str">
        <f>'D-Risk'!$AO$27</f>
        <v>Uncalculated</v>
      </c>
      <c r="AA52" t="s">
        <v>2186</v>
      </c>
      <c r="AB52" t="s">
        <v>2186</v>
      </c>
      <c r="AC52" t="s">
        <v>2186</v>
      </c>
      <c r="AD52" t="s">
        <v>2186</v>
      </c>
      <c r="AE52" t="s">
        <v>2186</v>
      </c>
      <c r="AF52" t="s">
        <v>2186</v>
      </c>
      <c r="AG52" t="s">
        <v>2186</v>
      </c>
      <c r="AH52" t="s">
        <v>2186</v>
      </c>
      <c r="AI52" t="s">
        <v>2186</v>
      </c>
    </row>
    <row r="53" spans="1:35" x14ac:dyDescent="0.25">
      <c r="A53">
        <f t="shared" si="17"/>
        <v>0</v>
      </c>
      <c r="B53">
        <f t="shared" si="18"/>
        <v>0</v>
      </c>
      <c r="C53">
        <f t="shared" si="19"/>
        <v>0</v>
      </c>
      <c r="D53">
        <f t="shared" si="20"/>
        <v>0</v>
      </c>
      <c r="E53">
        <f t="shared" si="21"/>
        <v>0</v>
      </c>
      <c r="F53">
        <f>'D-RepLevel'!$F$2</f>
        <v>0</v>
      </c>
      <c r="G53">
        <f>'D-RepLevel'!$G$2</f>
        <v>0</v>
      </c>
      <c r="H53">
        <f t="shared" si="22"/>
        <v>0</v>
      </c>
      <c r="I53" t="str">
        <f>IF(ISERROR(INDEX('1b'!$C$5:$C$21, MATCH("Primary Business Line", '1b'!$H$5:$H$21, FALSE), 1)), "None Selected", INDEX('1b'!$C$5:$C$21, MATCH("Primary Business Line", '1b'!$H$5:$H$21, FALSE), 1))</f>
        <v>None Selected</v>
      </c>
      <c r="J53">
        <f>'D-3'!$J$2</f>
        <v>0</v>
      </c>
      <c r="K53">
        <f>COUNTIF('4a'!$E$6:$E$29, "Direct")+COUNTIF('4a'!$E$6:$E$29, "Indirect")+COUNTIF('4a'!$E$6:$E$29, "Both")</f>
        <v>0</v>
      </c>
      <c r="L53">
        <f t="shared" si="23"/>
        <v>0</v>
      </c>
      <c r="M53">
        <f t="shared" si="24"/>
        <v>0</v>
      </c>
      <c r="N53">
        <f t="shared" si="25"/>
        <v>0</v>
      </c>
      <c r="O53">
        <f t="shared" si="26"/>
        <v>2015</v>
      </c>
      <c r="P53">
        <f t="shared" si="27"/>
        <v>0</v>
      </c>
      <c r="Q53">
        <f t="shared" si="28"/>
        <v>0</v>
      </c>
      <c r="R53">
        <f t="shared" si="29"/>
        <v>0</v>
      </c>
      <c r="S53">
        <f t="shared" si="30"/>
        <v>0</v>
      </c>
      <c r="T53">
        <f>COUNTIF('9a'!$K$22:$K$32, "Yes")+COUNTIF('9a'!$O$22:$O$32, "Yes")</f>
        <v>0</v>
      </c>
      <c r="U53" t="str">
        <f t="shared" si="31"/>
        <v>No Expenditures</v>
      </c>
      <c r="V53" t="str">
        <f t="shared" si="32"/>
        <v>No Expenditures</v>
      </c>
      <c r="W53">
        <f t="shared" si="33"/>
        <v>0</v>
      </c>
      <c r="X53" t="str">
        <f>'D-Risk'!$AO$25</f>
        <v>Insufficient Data</v>
      </c>
      <c r="Y53" t="str">
        <f>'D-Risk'!$AO$26</f>
        <v>Insufficient Data</v>
      </c>
      <c r="Z53" t="str">
        <f>'D-Risk'!$AO$27</f>
        <v>Uncalculated</v>
      </c>
      <c r="AA53" t="s">
        <v>2186</v>
      </c>
      <c r="AB53" t="s">
        <v>2186</v>
      </c>
      <c r="AC53" t="s">
        <v>2186</v>
      </c>
      <c r="AD53" t="s">
        <v>2186</v>
      </c>
      <c r="AE53" t="s">
        <v>2186</v>
      </c>
      <c r="AF53" t="s">
        <v>2186</v>
      </c>
      <c r="AG53" t="s">
        <v>2186</v>
      </c>
      <c r="AH53" t="s">
        <v>2186</v>
      </c>
      <c r="AI53" t="s">
        <v>2186</v>
      </c>
    </row>
    <row r="54" spans="1:35" x14ac:dyDescent="0.25">
      <c r="A54">
        <f t="shared" si="17"/>
        <v>0</v>
      </c>
      <c r="B54">
        <f t="shared" si="18"/>
        <v>0</v>
      </c>
      <c r="C54">
        <f t="shared" si="19"/>
        <v>0</v>
      </c>
      <c r="D54">
        <f t="shared" si="20"/>
        <v>0</v>
      </c>
      <c r="E54">
        <f t="shared" si="21"/>
        <v>0</v>
      </c>
      <c r="F54">
        <f>'D-RepLevel'!$F$2</f>
        <v>0</v>
      </c>
      <c r="G54">
        <f>'D-RepLevel'!$G$2</f>
        <v>0</v>
      </c>
      <c r="H54">
        <f t="shared" si="22"/>
        <v>0</v>
      </c>
      <c r="I54" t="str">
        <f>IF(ISERROR(INDEX('1b'!$C$5:$C$21, MATCH("Primary Business Line", '1b'!$H$5:$H$21, FALSE), 1)), "None Selected", INDEX('1b'!$C$5:$C$21, MATCH("Primary Business Line", '1b'!$H$5:$H$21, FALSE), 1))</f>
        <v>None Selected</v>
      </c>
      <c r="J54">
        <f>'D-3'!$J$2</f>
        <v>0</v>
      </c>
      <c r="K54">
        <f>COUNTIF('4a'!$E$6:$E$29, "Direct")+COUNTIF('4a'!$E$6:$E$29, "Indirect")+COUNTIF('4a'!$E$6:$E$29, "Both")</f>
        <v>0</v>
      </c>
      <c r="L54">
        <f t="shared" si="23"/>
        <v>0</v>
      </c>
      <c r="M54">
        <f t="shared" si="24"/>
        <v>0</v>
      </c>
      <c r="N54">
        <f t="shared" si="25"/>
        <v>0</v>
      </c>
      <c r="O54">
        <f t="shared" si="26"/>
        <v>2015</v>
      </c>
      <c r="P54">
        <f t="shared" si="27"/>
        <v>0</v>
      </c>
      <c r="Q54">
        <f t="shared" si="28"/>
        <v>0</v>
      </c>
      <c r="R54">
        <f t="shared" si="29"/>
        <v>0</v>
      </c>
      <c r="S54">
        <f t="shared" si="30"/>
        <v>0</v>
      </c>
      <c r="T54">
        <f>COUNTIF('9a'!$K$22:$K$32, "Yes")+COUNTIF('9a'!$O$22:$O$32, "Yes")</f>
        <v>0</v>
      </c>
      <c r="U54" t="str">
        <f t="shared" si="31"/>
        <v>No Expenditures</v>
      </c>
      <c r="V54" t="str">
        <f t="shared" si="32"/>
        <v>No Expenditures</v>
      </c>
      <c r="W54">
        <f t="shared" si="33"/>
        <v>0</v>
      </c>
      <c r="X54" t="str">
        <f>'D-Risk'!$AO$25</f>
        <v>Insufficient Data</v>
      </c>
      <c r="Y54" t="str">
        <f>'D-Risk'!$AO$26</f>
        <v>Insufficient Data</v>
      </c>
      <c r="Z54" t="str">
        <f>'D-Risk'!$AO$27</f>
        <v>Uncalculated</v>
      </c>
      <c r="AA54" t="s">
        <v>2186</v>
      </c>
      <c r="AB54" t="s">
        <v>2186</v>
      </c>
      <c r="AC54" t="s">
        <v>2186</v>
      </c>
      <c r="AD54" t="s">
        <v>2186</v>
      </c>
      <c r="AE54" t="s">
        <v>2186</v>
      </c>
      <c r="AF54" t="s">
        <v>2186</v>
      </c>
      <c r="AG54" t="s">
        <v>2186</v>
      </c>
      <c r="AH54" t="s">
        <v>2186</v>
      </c>
      <c r="AI54" t="s">
        <v>2186</v>
      </c>
    </row>
    <row r="55" spans="1:35" x14ac:dyDescent="0.25">
      <c r="A55">
        <f t="shared" si="17"/>
        <v>0</v>
      </c>
      <c r="B55">
        <f t="shared" si="18"/>
        <v>0</v>
      </c>
      <c r="C55">
        <f t="shared" si="19"/>
        <v>0</v>
      </c>
      <c r="D55">
        <f t="shared" si="20"/>
        <v>0</v>
      </c>
      <c r="E55">
        <f t="shared" si="21"/>
        <v>0</v>
      </c>
      <c r="F55">
        <f>'D-RepLevel'!$F$2</f>
        <v>0</v>
      </c>
      <c r="G55">
        <f>'D-RepLevel'!$G$2</f>
        <v>0</v>
      </c>
      <c r="H55">
        <f t="shared" si="22"/>
        <v>0</v>
      </c>
      <c r="I55" t="str">
        <f>IF(ISERROR(INDEX('1b'!$C$5:$C$21, MATCH("Primary Business Line", '1b'!$H$5:$H$21, FALSE), 1)), "None Selected", INDEX('1b'!$C$5:$C$21, MATCH("Primary Business Line", '1b'!$H$5:$H$21, FALSE), 1))</f>
        <v>None Selected</v>
      </c>
      <c r="J55">
        <f>'D-3'!$J$2</f>
        <v>0</v>
      </c>
      <c r="K55">
        <f>COUNTIF('4a'!$E$6:$E$29, "Direct")+COUNTIF('4a'!$E$6:$E$29, "Indirect")+COUNTIF('4a'!$E$6:$E$29, "Both")</f>
        <v>0</v>
      </c>
      <c r="L55">
        <f t="shared" si="23"/>
        <v>0</v>
      </c>
      <c r="M55">
        <f t="shared" si="24"/>
        <v>0</v>
      </c>
      <c r="N55">
        <f t="shared" si="25"/>
        <v>0</v>
      </c>
      <c r="O55">
        <f t="shared" si="26"/>
        <v>2015</v>
      </c>
      <c r="P55">
        <f t="shared" si="27"/>
        <v>0</v>
      </c>
      <c r="Q55">
        <f t="shared" si="28"/>
        <v>0</v>
      </c>
      <c r="R55">
        <f t="shared" si="29"/>
        <v>0</v>
      </c>
      <c r="S55">
        <f t="shared" si="30"/>
        <v>0</v>
      </c>
      <c r="T55">
        <f>COUNTIF('9a'!$K$22:$K$32, "Yes")+COUNTIF('9a'!$O$22:$O$32, "Yes")</f>
        <v>0</v>
      </c>
      <c r="U55" t="str">
        <f t="shared" si="31"/>
        <v>No Expenditures</v>
      </c>
      <c r="V55" t="str">
        <f t="shared" si="32"/>
        <v>No Expenditures</v>
      </c>
      <c r="W55">
        <f t="shared" si="33"/>
        <v>0</v>
      </c>
      <c r="X55" t="str">
        <f>'D-Risk'!$AO$25</f>
        <v>Insufficient Data</v>
      </c>
      <c r="Y55" t="str">
        <f>'D-Risk'!$AO$26</f>
        <v>Insufficient Data</v>
      </c>
      <c r="Z55" t="str">
        <f>'D-Risk'!$AO$27</f>
        <v>Uncalculated</v>
      </c>
      <c r="AA55" t="s">
        <v>2186</v>
      </c>
      <c r="AB55" t="s">
        <v>2186</v>
      </c>
      <c r="AC55" t="s">
        <v>2186</v>
      </c>
      <c r="AD55" t="s">
        <v>2186</v>
      </c>
      <c r="AE55" t="s">
        <v>2186</v>
      </c>
      <c r="AF55" t="s">
        <v>2186</v>
      </c>
      <c r="AG55" t="s">
        <v>2186</v>
      </c>
      <c r="AH55" t="s">
        <v>2186</v>
      </c>
      <c r="AI55" t="s">
        <v>2186</v>
      </c>
    </row>
    <row r="56" spans="1:35" x14ac:dyDescent="0.25">
      <c r="A56">
        <f t="shared" si="17"/>
        <v>0</v>
      </c>
      <c r="B56">
        <f t="shared" si="18"/>
        <v>0</v>
      </c>
      <c r="C56">
        <f t="shared" si="19"/>
        <v>0</v>
      </c>
      <c r="D56">
        <f t="shared" si="20"/>
        <v>0</v>
      </c>
      <c r="E56">
        <f t="shared" si="21"/>
        <v>0</v>
      </c>
      <c r="F56">
        <f>'D-RepLevel'!$F$2</f>
        <v>0</v>
      </c>
      <c r="G56">
        <f>'D-RepLevel'!$G$2</f>
        <v>0</v>
      </c>
      <c r="H56">
        <f t="shared" si="22"/>
        <v>0</v>
      </c>
      <c r="I56" t="str">
        <f>IF(ISERROR(INDEX('1b'!$C$5:$C$21, MATCH("Primary Business Line", '1b'!$H$5:$H$21, FALSE), 1)), "None Selected", INDEX('1b'!$C$5:$C$21, MATCH("Primary Business Line", '1b'!$H$5:$H$21, FALSE), 1))</f>
        <v>None Selected</v>
      </c>
      <c r="J56">
        <f>'D-3'!$J$2</f>
        <v>0</v>
      </c>
      <c r="K56">
        <f>COUNTIF('4a'!$E$6:$E$29, "Direct")+COUNTIF('4a'!$E$6:$E$29, "Indirect")+COUNTIF('4a'!$E$6:$E$29, "Both")</f>
        <v>0</v>
      </c>
      <c r="L56">
        <f t="shared" si="23"/>
        <v>0</v>
      </c>
      <c r="M56">
        <f t="shared" si="24"/>
        <v>0</v>
      </c>
      <c r="N56">
        <f t="shared" si="25"/>
        <v>0</v>
      </c>
      <c r="O56">
        <f t="shared" si="26"/>
        <v>2015</v>
      </c>
      <c r="P56">
        <f t="shared" si="27"/>
        <v>0</v>
      </c>
      <c r="Q56">
        <f t="shared" si="28"/>
        <v>0</v>
      </c>
      <c r="R56">
        <f t="shared" si="29"/>
        <v>0</v>
      </c>
      <c r="S56">
        <f t="shared" si="30"/>
        <v>0</v>
      </c>
      <c r="T56">
        <f>COUNTIF('9a'!$K$22:$K$32, "Yes")+COUNTIF('9a'!$O$22:$O$32, "Yes")</f>
        <v>0</v>
      </c>
      <c r="U56" t="str">
        <f t="shared" si="31"/>
        <v>No Expenditures</v>
      </c>
      <c r="V56" t="str">
        <f t="shared" si="32"/>
        <v>No Expenditures</v>
      </c>
      <c r="W56">
        <f t="shared" si="33"/>
        <v>0</v>
      </c>
      <c r="X56" t="str">
        <f>'D-Risk'!$AO$25</f>
        <v>Insufficient Data</v>
      </c>
      <c r="Y56" t="str">
        <f>'D-Risk'!$AO$26</f>
        <v>Insufficient Data</v>
      </c>
      <c r="Z56" t="str">
        <f>'D-Risk'!$AO$27</f>
        <v>Uncalculated</v>
      </c>
      <c r="AA56" t="s">
        <v>2186</v>
      </c>
      <c r="AB56" t="s">
        <v>2186</v>
      </c>
      <c r="AC56" t="s">
        <v>2186</v>
      </c>
      <c r="AD56" t="s">
        <v>2186</v>
      </c>
      <c r="AE56" t="s">
        <v>2186</v>
      </c>
      <c r="AF56" t="s">
        <v>2186</v>
      </c>
      <c r="AG56" t="s">
        <v>2186</v>
      </c>
      <c r="AH56" t="s">
        <v>2186</v>
      </c>
      <c r="AI56" t="s">
        <v>2186</v>
      </c>
    </row>
    <row r="57" spans="1:35" x14ac:dyDescent="0.25">
      <c r="A57">
        <f t="shared" si="17"/>
        <v>0</v>
      </c>
      <c r="B57">
        <f t="shared" si="18"/>
        <v>0</v>
      </c>
      <c r="C57">
        <f t="shared" si="19"/>
        <v>0</v>
      </c>
      <c r="D57">
        <f t="shared" si="20"/>
        <v>0</v>
      </c>
      <c r="E57">
        <f t="shared" si="21"/>
        <v>0</v>
      </c>
      <c r="F57">
        <f>'D-RepLevel'!$F$2</f>
        <v>0</v>
      </c>
      <c r="G57">
        <f>'D-RepLevel'!$G$2</f>
        <v>0</v>
      </c>
      <c r="H57">
        <f t="shared" si="22"/>
        <v>0</v>
      </c>
      <c r="I57" t="str">
        <f>IF(ISERROR(INDEX('1b'!$C$5:$C$21, MATCH("Primary Business Line", '1b'!$H$5:$H$21, FALSE), 1)), "None Selected", INDEX('1b'!$C$5:$C$21, MATCH("Primary Business Line", '1b'!$H$5:$H$21, FALSE), 1))</f>
        <v>None Selected</v>
      </c>
      <c r="J57">
        <f>'D-3'!$J$2</f>
        <v>0</v>
      </c>
      <c r="K57">
        <f>COUNTIF('4a'!$E$6:$E$29, "Direct")+COUNTIF('4a'!$E$6:$E$29, "Indirect")+COUNTIF('4a'!$E$6:$E$29, "Both")</f>
        <v>0</v>
      </c>
      <c r="L57">
        <f t="shared" si="23"/>
        <v>0</v>
      </c>
      <c r="M57">
        <f t="shared" si="24"/>
        <v>0</v>
      </c>
      <c r="N57">
        <f t="shared" si="25"/>
        <v>0</v>
      </c>
      <c r="O57">
        <f t="shared" si="26"/>
        <v>2015</v>
      </c>
      <c r="P57">
        <f t="shared" si="27"/>
        <v>0</v>
      </c>
      <c r="Q57">
        <f t="shared" si="28"/>
        <v>0</v>
      </c>
      <c r="R57">
        <f t="shared" si="29"/>
        <v>0</v>
      </c>
      <c r="S57">
        <f t="shared" si="30"/>
        <v>0</v>
      </c>
      <c r="T57">
        <f>COUNTIF('9a'!$K$22:$K$32, "Yes")+COUNTIF('9a'!$O$22:$O$32, "Yes")</f>
        <v>0</v>
      </c>
      <c r="U57" t="str">
        <f t="shared" si="31"/>
        <v>No Expenditures</v>
      </c>
      <c r="V57" t="str">
        <f t="shared" si="32"/>
        <v>No Expenditures</v>
      </c>
      <c r="W57">
        <f t="shared" si="33"/>
        <v>0</v>
      </c>
      <c r="X57" t="str">
        <f>'D-Risk'!$AO$25</f>
        <v>Insufficient Data</v>
      </c>
      <c r="Y57" t="str">
        <f>'D-Risk'!$AO$26</f>
        <v>Insufficient Data</v>
      </c>
      <c r="Z57" t="str">
        <f>'D-Risk'!$AO$27</f>
        <v>Uncalculated</v>
      </c>
      <c r="AA57" t="s">
        <v>2186</v>
      </c>
      <c r="AB57" t="s">
        <v>2186</v>
      </c>
      <c r="AC57" t="s">
        <v>2186</v>
      </c>
      <c r="AD57" t="s">
        <v>2186</v>
      </c>
      <c r="AE57" t="s">
        <v>2186</v>
      </c>
      <c r="AF57" t="s">
        <v>2186</v>
      </c>
      <c r="AG57" t="s">
        <v>2186</v>
      </c>
      <c r="AH57" t="s">
        <v>2186</v>
      </c>
      <c r="AI57" t="s">
        <v>2186</v>
      </c>
    </row>
    <row r="58" spans="1:35" x14ac:dyDescent="0.25">
      <c r="A58">
        <f t="shared" si="17"/>
        <v>0</v>
      </c>
      <c r="B58">
        <f t="shared" si="18"/>
        <v>0</v>
      </c>
      <c r="C58">
        <f t="shared" si="19"/>
        <v>0</v>
      </c>
      <c r="D58">
        <f t="shared" si="20"/>
        <v>0</v>
      </c>
      <c r="E58">
        <f t="shared" si="21"/>
        <v>0</v>
      </c>
      <c r="F58">
        <f>'D-RepLevel'!$F$2</f>
        <v>0</v>
      </c>
      <c r="G58">
        <f>'D-RepLevel'!$G$2</f>
        <v>0</v>
      </c>
      <c r="H58">
        <f t="shared" si="22"/>
        <v>0</v>
      </c>
      <c r="I58" t="str">
        <f>IF(ISERROR(INDEX('1b'!$C$5:$C$21, MATCH("Primary Business Line", '1b'!$H$5:$H$21, FALSE), 1)), "None Selected", INDEX('1b'!$C$5:$C$21, MATCH("Primary Business Line", '1b'!$H$5:$H$21, FALSE), 1))</f>
        <v>None Selected</v>
      </c>
      <c r="J58">
        <f>'D-3'!$J$2</f>
        <v>0</v>
      </c>
      <c r="K58">
        <f>COUNTIF('4a'!$E$6:$E$29, "Direct")+COUNTIF('4a'!$E$6:$E$29, "Indirect")+COUNTIF('4a'!$E$6:$E$29, "Both")</f>
        <v>0</v>
      </c>
      <c r="L58">
        <f t="shared" si="23"/>
        <v>0</v>
      </c>
      <c r="M58">
        <f t="shared" si="24"/>
        <v>0</v>
      </c>
      <c r="N58">
        <f t="shared" si="25"/>
        <v>0</v>
      </c>
      <c r="O58">
        <f t="shared" si="26"/>
        <v>2015</v>
      </c>
      <c r="P58">
        <f t="shared" si="27"/>
        <v>0</v>
      </c>
      <c r="Q58">
        <f t="shared" si="28"/>
        <v>0</v>
      </c>
      <c r="R58">
        <f t="shared" si="29"/>
        <v>0</v>
      </c>
      <c r="S58">
        <f t="shared" si="30"/>
        <v>0</v>
      </c>
      <c r="T58">
        <f>COUNTIF('9a'!$K$22:$K$32, "Yes")+COUNTIF('9a'!$O$22:$O$32, "Yes")</f>
        <v>0</v>
      </c>
      <c r="U58" t="str">
        <f t="shared" si="31"/>
        <v>No Expenditures</v>
      </c>
      <c r="V58" t="str">
        <f t="shared" si="32"/>
        <v>No Expenditures</v>
      </c>
      <c r="W58">
        <f t="shared" si="33"/>
        <v>0</v>
      </c>
      <c r="X58" t="str">
        <f>'D-Risk'!$AO$25</f>
        <v>Insufficient Data</v>
      </c>
      <c r="Y58" t="str">
        <f>'D-Risk'!$AO$26</f>
        <v>Insufficient Data</v>
      </c>
      <c r="Z58" t="str">
        <f>'D-Risk'!$AO$27</f>
        <v>Uncalculated</v>
      </c>
      <c r="AA58" t="s">
        <v>2186</v>
      </c>
      <c r="AB58" t="s">
        <v>2186</v>
      </c>
      <c r="AC58" t="s">
        <v>2186</v>
      </c>
      <c r="AD58" t="s">
        <v>2186</v>
      </c>
      <c r="AE58" t="s">
        <v>2186</v>
      </c>
      <c r="AF58" t="s">
        <v>2186</v>
      </c>
      <c r="AG58" t="s">
        <v>2186</v>
      </c>
      <c r="AH58" t="s">
        <v>2186</v>
      </c>
      <c r="AI58" t="s">
        <v>2186</v>
      </c>
    </row>
    <row r="59" spans="1:35" x14ac:dyDescent="0.25">
      <c r="A59">
        <f t="shared" si="17"/>
        <v>0</v>
      </c>
      <c r="B59">
        <f t="shared" si="18"/>
        <v>0</v>
      </c>
      <c r="C59">
        <f t="shared" si="19"/>
        <v>0</v>
      </c>
      <c r="D59">
        <f t="shared" si="20"/>
        <v>0</v>
      </c>
      <c r="E59">
        <f t="shared" si="21"/>
        <v>0</v>
      </c>
      <c r="F59">
        <f>'D-RepLevel'!$F$2</f>
        <v>0</v>
      </c>
      <c r="G59">
        <f>'D-RepLevel'!$G$2</f>
        <v>0</v>
      </c>
      <c r="H59">
        <f t="shared" si="22"/>
        <v>0</v>
      </c>
      <c r="I59" t="str">
        <f>IF(ISERROR(INDEX('1b'!$C$5:$C$21, MATCH("Primary Business Line", '1b'!$H$5:$H$21, FALSE), 1)), "None Selected", INDEX('1b'!$C$5:$C$21, MATCH("Primary Business Line", '1b'!$H$5:$H$21, FALSE), 1))</f>
        <v>None Selected</v>
      </c>
      <c r="J59">
        <f>'D-3'!$J$2</f>
        <v>0</v>
      </c>
      <c r="K59">
        <f>COUNTIF('4a'!$E$6:$E$29, "Direct")+COUNTIF('4a'!$E$6:$E$29, "Indirect")+COUNTIF('4a'!$E$6:$E$29, "Both")</f>
        <v>0</v>
      </c>
      <c r="L59">
        <f t="shared" si="23"/>
        <v>0</v>
      </c>
      <c r="M59">
        <f t="shared" si="24"/>
        <v>0</v>
      </c>
      <c r="N59">
        <f t="shared" si="25"/>
        <v>0</v>
      </c>
      <c r="O59">
        <f t="shared" si="26"/>
        <v>2015</v>
      </c>
      <c r="P59">
        <f t="shared" si="27"/>
        <v>0</v>
      </c>
      <c r="Q59">
        <f t="shared" si="28"/>
        <v>0</v>
      </c>
      <c r="R59">
        <f t="shared" si="29"/>
        <v>0</v>
      </c>
      <c r="S59">
        <f t="shared" si="30"/>
        <v>0</v>
      </c>
      <c r="T59">
        <f>COUNTIF('9a'!$K$22:$K$32, "Yes")+COUNTIF('9a'!$O$22:$O$32, "Yes")</f>
        <v>0</v>
      </c>
      <c r="U59" t="str">
        <f t="shared" si="31"/>
        <v>No Expenditures</v>
      </c>
      <c r="V59" t="str">
        <f t="shared" si="32"/>
        <v>No Expenditures</v>
      </c>
      <c r="W59">
        <f t="shared" si="33"/>
        <v>0</v>
      </c>
      <c r="X59" t="str">
        <f>'D-Risk'!$AO$25</f>
        <v>Insufficient Data</v>
      </c>
      <c r="Y59" t="str">
        <f>'D-Risk'!$AO$26</f>
        <v>Insufficient Data</v>
      </c>
      <c r="Z59" t="str">
        <f>'D-Risk'!$AO$27</f>
        <v>Uncalculated</v>
      </c>
      <c r="AA59" t="s">
        <v>2186</v>
      </c>
      <c r="AB59" t="s">
        <v>2186</v>
      </c>
      <c r="AC59" t="s">
        <v>2186</v>
      </c>
      <c r="AD59" t="s">
        <v>2186</v>
      </c>
      <c r="AE59" t="s">
        <v>2186</v>
      </c>
      <c r="AF59" t="s">
        <v>2186</v>
      </c>
      <c r="AG59" t="s">
        <v>2186</v>
      </c>
      <c r="AH59" t="s">
        <v>2186</v>
      </c>
      <c r="AI59" t="s">
        <v>2186</v>
      </c>
    </row>
    <row r="60" spans="1:35" x14ac:dyDescent="0.25">
      <c r="A60">
        <f t="shared" si="17"/>
        <v>0</v>
      </c>
      <c r="B60">
        <f t="shared" si="18"/>
        <v>0</v>
      </c>
      <c r="C60">
        <f t="shared" si="19"/>
        <v>0</v>
      </c>
      <c r="D60">
        <f t="shared" si="20"/>
        <v>0</v>
      </c>
      <c r="E60">
        <f t="shared" si="21"/>
        <v>0</v>
      </c>
      <c r="F60">
        <f>'D-RepLevel'!$F$2</f>
        <v>0</v>
      </c>
      <c r="G60">
        <f>'D-RepLevel'!$G$2</f>
        <v>0</v>
      </c>
      <c r="H60">
        <f t="shared" si="22"/>
        <v>0</v>
      </c>
      <c r="I60" t="str">
        <f>IF(ISERROR(INDEX('1b'!$C$5:$C$21, MATCH("Primary Business Line", '1b'!$H$5:$H$21, FALSE), 1)), "None Selected", INDEX('1b'!$C$5:$C$21, MATCH("Primary Business Line", '1b'!$H$5:$H$21, FALSE), 1))</f>
        <v>None Selected</v>
      </c>
      <c r="J60">
        <f>'D-3'!$J$2</f>
        <v>0</v>
      </c>
      <c r="K60">
        <f>COUNTIF('4a'!$E$6:$E$29, "Direct")+COUNTIF('4a'!$E$6:$E$29, "Indirect")+COUNTIF('4a'!$E$6:$E$29, "Both")</f>
        <v>0</v>
      </c>
      <c r="L60">
        <f t="shared" si="23"/>
        <v>0</v>
      </c>
      <c r="M60">
        <f t="shared" si="24"/>
        <v>0</v>
      </c>
      <c r="N60">
        <f t="shared" si="25"/>
        <v>0</v>
      </c>
      <c r="O60">
        <f t="shared" si="26"/>
        <v>2015</v>
      </c>
      <c r="P60">
        <f t="shared" si="27"/>
        <v>0</v>
      </c>
      <c r="Q60">
        <f t="shared" si="28"/>
        <v>0</v>
      </c>
      <c r="R60">
        <f t="shared" si="29"/>
        <v>0</v>
      </c>
      <c r="S60">
        <f t="shared" si="30"/>
        <v>0</v>
      </c>
      <c r="T60">
        <f>COUNTIF('9a'!$K$22:$K$32, "Yes")+COUNTIF('9a'!$O$22:$O$32, "Yes")</f>
        <v>0</v>
      </c>
      <c r="U60" t="str">
        <f t="shared" si="31"/>
        <v>No Expenditures</v>
      </c>
      <c r="V60" t="str">
        <f t="shared" si="32"/>
        <v>No Expenditures</v>
      </c>
      <c r="W60">
        <f t="shared" si="33"/>
        <v>0</v>
      </c>
      <c r="X60" t="str">
        <f>'D-Risk'!$AO$25</f>
        <v>Insufficient Data</v>
      </c>
      <c r="Y60" t="str">
        <f>'D-Risk'!$AO$26</f>
        <v>Insufficient Data</v>
      </c>
      <c r="Z60" t="str">
        <f>'D-Risk'!$AO$27</f>
        <v>Uncalculated</v>
      </c>
      <c r="AA60" t="s">
        <v>2186</v>
      </c>
      <c r="AB60" t="s">
        <v>2186</v>
      </c>
      <c r="AC60" t="s">
        <v>2186</v>
      </c>
      <c r="AD60" t="s">
        <v>2186</v>
      </c>
      <c r="AE60" t="s">
        <v>2186</v>
      </c>
      <c r="AF60" t="s">
        <v>2186</v>
      </c>
      <c r="AG60" t="s">
        <v>2186</v>
      </c>
      <c r="AH60" t="s">
        <v>2186</v>
      </c>
      <c r="AI60" t="s">
        <v>2186</v>
      </c>
    </row>
    <row r="61" spans="1:35" x14ac:dyDescent="0.25">
      <c r="A61">
        <f t="shared" si="17"/>
        <v>0</v>
      </c>
      <c r="B61">
        <f t="shared" si="18"/>
        <v>0</v>
      </c>
      <c r="C61">
        <f t="shared" si="19"/>
        <v>0</v>
      </c>
      <c r="D61">
        <f t="shared" si="20"/>
        <v>0</v>
      </c>
      <c r="E61">
        <f t="shared" si="21"/>
        <v>0</v>
      </c>
      <c r="F61">
        <f>'D-RepLevel'!$F$2</f>
        <v>0</v>
      </c>
      <c r="G61">
        <f>'D-RepLevel'!$G$2</f>
        <v>0</v>
      </c>
      <c r="H61">
        <f t="shared" si="22"/>
        <v>0</v>
      </c>
      <c r="I61" t="str">
        <f>IF(ISERROR(INDEX('1b'!$C$5:$C$21, MATCH("Primary Business Line", '1b'!$H$5:$H$21, FALSE), 1)), "None Selected", INDEX('1b'!$C$5:$C$21, MATCH("Primary Business Line", '1b'!$H$5:$H$21, FALSE), 1))</f>
        <v>None Selected</v>
      </c>
      <c r="J61">
        <f>'D-3'!$J$2</f>
        <v>0</v>
      </c>
      <c r="K61">
        <f>COUNTIF('4a'!$E$6:$E$29, "Direct")+COUNTIF('4a'!$E$6:$E$29, "Indirect")+COUNTIF('4a'!$E$6:$E$29, "Both")</f>
        <v>0</v>
      </c>
      <c r="L61">
        <f t="shared" si="23"/>
        <v>0</v>
      </c>
      <c r="M61">
        <f t="shared" si="24"/>
        <v>0</v>
      </c>
      <c r="N61">
        <f t="shared" si="25"/>
        <v>0</v>
      </c>
      <c r="O61">
        <f t="shared" si="26"/>
        <v>2015</v>
      </c>
      <c r="P61">
        <f t="shared" si="27"/>
        <v>0</v>
      </c>
      <c r="Q61">
        <f t="shared" si="28"/>
        <v>0</v>
      </c>
      <c r="R61">
        <f t="shared" si="29"/>
        <v>0</v>
      </c>
      <c r="S61">
        <f t="shared" si="30"/>
        <v>0</v>
      </c>
      <c r="T61">
        <f>COUNTIF('9a'!$K$22:$K$32, "Yes")+COUNTIF('9a'!$O$22:$O$32, "Yes")</f>
        <v>0</v>
      </c>
      <c r="U61" t="str">
        <f t="shared" si="31"/>
        <v>No Expenditures</v>
      </c>
      <c r="V61" t="str">
        <f t="shared" si="32"/>
        <v>No Expenditures</v>
      </c>
      <c r="W61">
        <f t="shared" si="33"/>
        <v>0</v>
      </c>
      <c r="X61" t="str">
        <f>'D-Risk'!$AO$25</f>
        <v>Insufficient Data</v>
      </c>
      <c r="Y61" t="str">
        <f>'D-Risk'!$AO$26</f>
        <v>Insufficient Data</v>
      </c>
      <c r="Z61" t="str">
        <f>'D-Risk'!$AO$27</f>
        <v>Uncalculated</v>
      </c>
      <c r="AA61" t="s">
        <v>2186</v>
      </c>
      <c r="AB61" t="s">
        <v>2186</v>
      </c>
      <c r="AC61" t="s">
        <v>2186</v>
      </c>
      <c r="AD61" t="s">
        <v>2186</v>
      </c>
      <c r="AE61" t="s">
        <v>2186</v>
      </c>
      <c r="AF61" t="s">
        <v>2186</v>
      </c>
      <c r="AG61" t="s">
        <v>2186</v>
      </c>
      <c r="AH61" t="s">
        <v>2186</v>
      </c>
      <c r="AI61" t="s">
        <v>2186</v>
      </c>
    </row>
  </sheetData>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61"/>
  <sheetViews>
    <sheetView zoomScale="70" zoomScaleNormal="70" workbookViewId="0">
      <selection activeCell="C7" sqref="C7:D7"/>
    </sheetView>
  </sheetViews>
  <sheetFormatPr defaultRowHeight="15" x14ac:dyDescent="0.25"/>
  <sheetData>
    <row r="1" spans="1:3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2250</v>
      </c>
      <c r="AB1" t="s">
        <v>2251</v>
      </c>
      <c r="AC1" t="s">
        <v>2252</v>
      </c>
      <c r="AD1" t="s">
        <v>184</v>
      </c>
      <c r="AE1" t="s">
        <v>2253</v>
      </c>
      <c r="AF1" t="s">
        <v>2254</v>
      </c>
      <c r="AG1" t="s">
        <v>2255</v>
      </c>
      <c r="AH1" t="s">
        <v>2256</v>
      </c>
      <c r="AI1" t="s">
        <v>2257</v>
      </c>
    </row>
    <row r="2" spans="1:35" x14ac:dyDescent="0.25">
      <c r="A2">
        <f t="shared" ref="A2:A33" si="0">Q_RP_B_DSSCAGE_01</f>
        <v>0</v>
      </c>
      <c r="B2">
        <f t="shared" ref="B2:B33" si="1">Q1a_A_LocationName</f>
        <v>0</v>
      </c>
      <c r="C2">
        <f t="shared" ref="C2:C33" si="2">Q1a_A_LocOrgName</f>
        <v>0</v>
      </c>
      <c r="D2">
        <f t="shared" ref="D2:D33" si="3">Q1a_B_Parent1_Name</f>
        <v>0</v>
      </c>
      <c r="E2">
        <f t="shared" ref="E2:E33" si="4">Q_RP_A_MultiResponse</f>
        <v>0</v>
      </c>
      <c r="F2">
        <f>'D-RepLevel'!$F$2</f>
        <v>0</v>
      </c>
      <c r="G2">
        <f>'D-RepLevel'!$G$2</f>
        <v>0</v>
      </c>
      <c r="H2">
        <f t="shared" ref="H2:H33"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3" si="6">Q4b_A_NumUSGPrograms</f>
        <v>0</v>
      </c>
      <c r="M2">
        <f t="shared" ref="M2:M33" si="7">Q6_A_Employees_Year3</f>
        <v>0</v>
      </c>
      <c r="N2">
        <f t="shared" ref="N2:N33" si="8">Q6_B_Employee_H1B_Total+Q6_B_Employee_H2B_Total+Q6_B_Employee_F1_Total+Q6_B_Employee_GreenCard_Total+Q6_B_Employee_Other_Total</f>
        <v>0</v>
      </c>
      <c r="O2">
        <f t="shared" ref="O2:O33" si="9">Year3</f>
        <v>2015</v>
      </c>
      <c r="P2">
        <f t="shared" ref="P2:P33" si="10">Q7_A_TotalSales_US_Year3+Q7_A_TotalSales_NonUS_Year3</f>
        <v>0</v>
      </c>
      <c r="Q2">
        <f t="shared" ref="Q2:Q33" si="11">Q7_B_DefSales_US_Year3_Pct*Q7_A_TotalSales_US_Year3+Q7_B_DefSales_NonUS_Year3_Pct*Q7_A_TotalSales_NonUS_Year3</f>
        <v>0</v>
      </c>
      <c r="R2">
        <f t="shared" ref="R2:R33" si="12">Q9a_B_Physical_Year3</f>
        <v>0</v>
      </c>
      <c r="S2">
        <f t="shared" ref="S2:S33" si="13">Q9a_B_Cyber_Year3</f>
        <v>0</v>
      </c>
      <c r="T2">
        <f>COUNTIF('9a'!$K$22:$K$32, "Yes")+COUNTIF('9a'!$O$22:$O$32, "Yes")</f>
        <v>0</v>
      </c>
      <c r="U2" t="str">
        <f t="shared" ref="U2:U33" si="14">IF(Q12_OpEx_Year3=0, "No Expenditures", Q9b_A_PhysicalSpending_Year3/(Q12_OpEx_Year3))</f>
        <v>No Expenditures</v>
      </c>
      <c r="V2" t="str">
        <f t="shared" ref="V2:V33" si="15">IF(Q12_OpEx_Year3=0, "No Expenditures", Q9b_A_CyberSpending_Year3/(Q12_OpEx_Year3))</f>
        <v>No Expenditures</v>
      </c>
      <c r="W2">
        <f t="shared" ref="W2:W33" si="16">Q9b_C_Pct_CSI_External</f>
        <v>0</v>
      </c>
      <c r="X2" t="str">
        <f>'D-Risk'!$AO$25</f>
        <v>Insufficient Data</v>
      </c>
      <c r="Y2" t="str">
        <f>'D-Risk'!$AO$26</f>
        <v>Insufficient Data</v>
      </c>
      <c r="Z2" t="str">
        <f>'D-Risk'!$AO$27</f>
        <v>Uncalculated</v>
      </c>
      <c r="AA2" t="s">
        <v>2186</v>
      </c>
      <c r="AB2" t="s">
        <v>2186</v>
      </c>
      <c r="AC2" t="s">
        <v>2186</v>
      </c>
      <c r="AD2" t="s">
        <v>2186</v>
      </c>
      <c r="AE2" t="s">
        <v>2186</v>
      </c>
      <c r="AF2" t="s">
        <v>2186</v>
      </c>
      <c r="AG2" t="s">
        <v>2186</v>
      </c>
      <c r="AH2" t="s">
        <v>2186</v>
      </c>
      <c r="AI2" t="s">
        <v>2186</v>
      </c>
    </row>
    <row r="3" spans="1:35"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t="s">
        <v>2186</v>
      </c>
      <c r="AB3" t="s">
        <v>2186</v>
      </c>
      <c r="AC3" t="s">
        <v>2186</v>
      </c>
      <c r="AD3" t="s">
        <v>2186</v>
      </c>
      <c r="AE3" t="s">
        <v>2186</v>
      </c>
      <c r="AF3" t="s">
        <v>2186</v>
      </c>
      <c r="AG3" t="s">
        <v>2186</v>
      </c>
      <c r="AH3" t="s">
        <v>2186</v>
      </c>
      <c r="AI3" t="s">
        <v>2186</v>
      </c>
    </row>
    <row r="4" spans="1:35"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t="s">
        <v>2186</v>
      </c>
      <c r="AB4" t="s">
        <v>2186</v>
      </c>
      <c r="AC4" t="s">
        <v>2186</v>
      </c>
      <c r="AD4" t="s">
        <v>2186</v>
      </c>
      <c r="AE4" t="s">
        <v>2186</v>
      </c>
      <c r="AF4" t="s">
        <v>2186</v>
      </c>
      <c r="AG4" t="s">
        <v>2186</v>
      </c>
      <c r="AH4" t="s">
        <v>2186</v>
      </c>
      <c r="AI4" t="s">
        <v>2186</v>
      </c>
    </row>
    <row r="5" spans="1:35"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t="s">
        <v>2186</v>
      </c>
      <c r="AB5" t="s">
        <v>2186</v>
      </c>
      <c r="AC5" t="s">
        <v>2186</v>
      </c>
      <c r="AD5" t="s">
        <v>2186</v>
      </c>
      <c r="AE5" t="s">
        <v>2186</v>
      </c>
      <c r="AF5" t="s">
        <v>2186</v>
      </c>
      <c r="AG5" t="s">
        <v>2186</v>
      </c>
      <c r="AH5" t="s">
        <v>2186</v>
      </c>
      <c r="AI5" t="s">
        <v>2186</v>
      </c>
    </row>
    <row r="6" spans="1:35"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t="s">
        <v>2186</v>
      </c>
      <c r="AB6" t="s">
        <v>2186</v>
      </c>
      <c r="AC6" t="s">
        <v>2186</v>
      </c>
      <c r="AD6" t="s">
        <v>2186</v>
      </c>
      <c r="AE6" t="s">
        <v>2186</v>
      </c>
      <c r="AF6" t="s">
        <v>2186</v>
      </c>
      <c r="AG6" t="s">
        <v>2186</v>
      </c>
      <c r="AH6" t="s">
        <v>2186</v>
      </c>
      <c r="AI6" t="s">
        <v>2186</v>
      </c>
    </row>
    <row r="7" spans="1:35"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t="s">
        <v>2186</v>
      </c>
      <c r="AB7" t="s">
        <v>2186</v>
      </c>
      <c r="AC7" t="s">
        <v>2186</v>
      </c>
      <c r="AD7" t="s">
        <v>2186</v>
      </c>
      <c r="AE7" t="s">
        <v>2186</v>
      </c>
      <c r="AF7" t="s">
        <v>2186</v>
      </c>
      <c r="AG7" t="s">
        <v>2186</v>
      </c>
      <c r="AH7" t="s">
        <v>2186</v>
      </c>
      <c r="AI7" t="s">
        <v>2186</v>
      </c>
    </row>
    <row r="8" spans="1:35"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t="s">
        <v>2186</v>
      </c>
      <c r="AB8" t="s">
        <v>2186</v>
      </c>
      <c r="AC8" t="s">
        <v>2186</v>
      </c>
      <c r="AD8" t="s">
        <v>2186</v>
      </c>
      <c r="AE8" t="s">
        <v>2186</v>
      </c>
      <c r="AF8" t="s">
        <v>2186</v>
      </c>
      <c r="AG8" t="s">
        <v>2186</v>
      </c>
      <c r="AH8" t="s">
        <v>2186</v>
      </c>
      <c r="AI8" t="s">
        <v>2186</v>
      </c>
    </row>
    <row r="9" spans="1:35"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t="s">
        <v>2186</v>
      </c>
      <c r="AB9" t="s">
        <v>2186</v>
      </c>
      <c r="AC9" t="s">
        <v>2186</v>
      </c>
      <c r="AD9" t="s">
        <v>2186</v>
      </c>
      <c r="AE9" t="s">
        <v>2186</v>
      </c>
      <c r="AF9" t="s">
        <v>2186</v>
      </c>
      <c r="AG9" t="s">
        <v>2186</v>
      </c>
      <c r="AH9" t="s">
        <v>2186</v>
      </c>
      <c r="AI9" t="s">
        <v>2186</v>
      </c>
    </row>
    <row r="10" spans="1:35"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t="s">
        <v>2186</v>
      </c>
      <c r="AB10" t="s">
        <v>2186</v>
      </c>
      <c r="AC10" t="s">
        <v>2186</v>
      </c>
      <c r="AD10" t="s">
        <v>2186</v>
      </c>
      <c r="AE10" t="s">
        <v>2186</v>
      </c>
      <c r="AF10" t="s">
        <v>2186</v>
      </c>
      <c r="AG10" t="s">
        <v>2186</v>
      </c>
      <c r="AH10" t="s">
        <v>2186</v>
      </c>
      <c r="AI10" t="s">
        <v>2186</v>
      </c>
    </row>
    <row r="11" spans="1:35"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t="s">
        <v>2186</v>
      </c>
      <c r="AB11" t="s">
        <v>2186</v>
      </c>
      <c r="AC11" t="s">
        <v>2186</v>
      </c>
      <c r="AD11" t="s">
        <v>2186</v>
      </c>
      <c r="AE11" t="s">
        <v>2186</v>
      </c>
      <c r="AF11" t="s">
        <v>2186</v>
      </c>
      <c r="AG11" t="s">
        <v>2186</v>
      </c>
      <c r="AH11" t="s">
        <v>2186</v>
      </c>
      <c r="AI11" t="s">
        <v>2186</v>
      </c>
    </row>
    <row r="12" spans="1:35"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t="s">
        <v>2186</v>
      </c>
      <c r="AB12" t="s">
        <v>2186</v>
      </c>
      <c r="AC12" t="s">
        <v>2186</v>
      </c>
      <c r="AD12" t="s">
        <v>2186</v>
      </c>
      <c r="AE12" t="s">
        <v>2186</v>
      </c>
      <c r="AF12" t="s">
        <v>2186</v>
      </c>
      <c r="AG12" t="s">
        <v>2186</v>
      </c>
      <c r="AH12" t="s">
        <v>2186</v>
      </c>
      <c r="AI12" t="s">
        <v>2186</v>
      </c>
    </row>
    <row r="13" spans="1:35"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t="s">
        <v>2186</v>
      </c>
      <c r="AB13" t="s">
        <v>2186</v>
      </c>
      <c r="AC13" t="s">
        <v>2186</v>
      </c>
      <c r="AD13" t="s">
        <v>2186</v>
      </c>
      <c r="AE13" t="s">
        <v>2186</v>
      </c>
      <c r="AF13" t="s">
        <v>2186</v>
      </c>
      <c r="AG13" t="s">
        <v>2186</v>
      </c>
      <c r="AH13" t="s">
        <v>2186</v>
      </c>
      <c r="AI13" t="s">
        <v>2186</v>
      </c>
    </row>
    <row r="14" spans="1:35"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t="s">
        <v>2186</v>
      </c>
      <c r="AB14" t="s">
        <v>2186</v>
      </c>
      <c r="AC14" t="s">
        <v>2186</v>
      </c>
      <c r="AD14" t="s">
        <v>2186</v>
      </c>
      <c r="AE14" t="s">
        <v>2186</v>
      </c>
      <c r="AF14" t="s">
        <v>2186</v>
      </c>
      <c r="AG14" t="s">
        <v>2186</v>
      </c>
      <c r="AH14" t="s">
        <v>2186</v>
      </c>
      <c r="AI14" t="s">
        <v>2186</v>
      </c>
    </row>
    <row r="15" spans="1:35"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t="s">
        <v>2186</v>
      </c>
      <c r="AB15" t="s">
        <v>2186</v>
      </c>
      <c r="AC15" t="s">
        <v>2186</v>
      </c>
      <c r="AD15" t="s">
        <v>2186</v>
      </c>
      <c r="AE15" t="s">
        <v>2186</v>
      </c>
      <c r="AF15" t="s">
        <v>2186</v>
      </c>
      <c r="AG15" t="s">
        <v>2186</v>
      </c>
      <c r="AH15" t="s">
        <v>2186</v>
      </c>
      <c r="AI15" t="s">
        <v>2186</v>
      </c>
    </row>
    <row r="16" spans="1:35"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t="s">
        <v>2186</v>
      </c>
      <c r="AB16" t="s">
        <v>2186</v>
      </c>
      <c r="AC16" t="s">
        <v>2186</v>
      </c>
      <c r="AD16" t="s">
        <v>2186</v>
      </c>
      <c r="AE16" t="s">
        <v>2186</v>
      </c>
      <c r="AF16" t="s">
        <v>2186</v>
      </c>
      <c r="AG16" t="s">
        <v>2186</v>
      </c>
      <c r="AH16" t="s">
        <v>2186</v>
      </c>
      <c r="AI16" t="s">
        <v>2186</v>
      </c>
    </row>
    <row r="17" spans="1:35"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t="s">
        <v>2186</v>
      </c>
      <c r="AB17" t="s">
        <v>2186</v>
      </c>
      <c r="AC17" t="s">
        <v>2186</v>
      </c>
      <c r="AD17" t="s">
        <v>2186</v>
      </c>
      <c r="AE17" t="s">
        <v>2186</v>
      </c>
      <c r="AF17" t="s">
        <v>2186</v>
      </c>
      <c r="AG17" t="s">
        <v>2186</v>
      </c>
      <c r="AH17" t="s">
        <v>2186</v>
      </c>
      <c r="AI17" t="s">
        <v>2186</v>
      </c>
    </row>
    <row r="18" spans="1:35"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t="s">
        <v>2186</v>
      </c>
      <c r="AB18" t="s">
        <v>2186</v>
      </c>
      <c r="AC18" t="s">
        <v>2186</v>
      </c>
      <c r="AD18" t="s">
        <v>2186</v>
      </c>
      <c r="AE18" t="s">
        <v>2186</v>
      </c>
      <c r="AF18" t="s">
        <v>2186</v>
      </c>
      <c r="AG18" t="s">
        <v>2186</v>
      </c>
      <c r="AH18" t="s">
        <v>2186</v>
      </c>
      <c r="AI18" t="s">
        <v>2186</v>
      </c>
    </row>
    <row r="19" spans="1:35"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t="s">
        <v>2186</v>
      </c>
      <c r="AB19" t="s">
        <v>2186</v>
      </c>
      <c r="AC19" t="s">
        <v>2186</v>
      </c>
      <c r="AD19" t="s">
        <v>2186</v>
      </c>
      <c r="AE19" t="s">
        <v>2186</v>
      </c>
      <c r="AF19" t="s">
        <v>2186</v>
      </c>
      <c r="AG19" t="s">
        <v>2186</v>
      </c>
      <c r="AH19" t="s">
        <v>2186</v>
      </c>
      <c r="AI19" t="s">
        <v>2186</v>
      </c>
    </row>
    <row r="20" spans="1:35"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t="s">
        <v>2186</v>
      </c>
      <c r="AB20" t="s">
        <v>2186</v>
      </c>
      <c r="AC20" t="s">
        <v>2186</v>
      </c>
      <c r="AD20" t="s">
        <v>2186</v>
      </c>
      <c r="AE20" t="s">
        <v>2186</v>
      </c>
      <c r="AF20" t="s">
        <v>2186</v>
      </c>
      <c r="AG20" t="s">
        <v>2186</v>
      </c>
      <c r="AH20" t="s">
        <v>2186</v>
      </c>
      <c r="AI20" t="s">
        <v>2186</v>
      </c>
    </row>
    <row r="21" spans="1:35"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t="s">
        <v>2186</v>
      </c>
      <c r="AB21" t="s">
        <v>2186</v>
      </c>
      <c r="AC21" t="s">
        <v>2186</v>
      </c>
      <c r="AD21" t="s">
        <v>2186</v>
      </c>
      <c r="AE21" t="s">
        <v>2186</v>
      </c>
      <c r="AF21" t="s">
        <v>2186</v>
      </c>
      <c r="AG21" t="s">
        <v>2186</v>
      </c>
      <c r="AH21" t="s">
        <v>2186</v>
      </c>
      <c r="AI21" t="s">
        <v>2186</v>
      </c>
    </row>
    <row r="22" spans="1:35"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t="s">
        <v>2186</v>
      </c>
      <c r="AB22" t="s">
        <v>2186</v>
      </c>
      <c r="AC22" t="s">
        <v>2186</v>
      </c>
      <c r="AD22" t="s">
        <v>2186</v>
      </c>
      <c r="AE22" t="s">
        <v>2186</v>
      </c>
      <c r="AF22" t="s">
        <v>2186</v>
      </c>
      <c r="AG22" t="s">
        <v>2186</v>
      </c>
      <c r="AH22" t="s">
        <v>2186</v>
      </c>
      <c r="AI22" t="s">
        <v>2186</v>
      </c>
    </row>
    <row r="23" spans="1:35"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t="s">
        <v>2186</v>
      </c>
      <c r="AB23" t="s">
        <v>2186</v>
      </c>
      <c r="AC23" t="s">
        <v>2186</v>
      </c>
      <c r="AD23" t="s">
        <v>2186</v>
      </c>
      <c r="AE23" t="s">
        <v>2186</v>
      </c>
      <c r="AF23" t="s">
        <v>2186</v>
      </c>
      <c r="AG23" t="s">
        <v>2186</v>
      </c>
      <c r="AH23" t="s">
        <v>2186</v>
      </c>
      <c r="AI23" t="s">
        <v>2186</v>
      </c>
    </row>
    <row r="24" spans="1:35"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t="s">
        <v>2186</v>
      </c>
      <c r="AB24" t="s">
        <v>2186</v>
      </c>
      <c r="AC24" t="s">
        <v>2186</v>
      </c>
      <c r="AD24" t="s">
        <v>2186</v>
      </c>
      <c r="AE24" t="s">
        <v>2186</v>
      </c>
      <c r="AF24" t="s">
        <v>2186</v>
      </c>
      <c r="AG24" t="s">
        <v>2186</v>
      </c>
      <c r="AH24" t="s">
        <v>2186</v>
      </c>
      <c r="AI24" t="s">
        <v>2186</v>
      </c>
    </row>
    <row r="25" spans="1:35"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t="s">
        <v>2186</v>
      </c>
      <c r="AB25" t="s">
        <v>2186</v>
      </c>
      <c r="AC25" t="s">
        <v>2186</v>
      </c>
      <c r="AD25" t="s">
        <v>2186</v>
      </c>
      <c r="AE25" t="s">
        <v>2186</v>
      </c>
      <c r="AF25" t="s">
        <v>2186</v>
      </c>
      <c r="AG25" t="s">
        <v>2186</v>
      </c>
      <c r="AH25" t="s">
        <v>2186</v>
      </c>
      <c r="AI25" t="s">
        <v>2186</v>
      </c>
    </row>
    <row r="26" spans="1:35"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t="s">
        <v>2186</v>
      </c>
      <c r="AB26" t="s">
        <v>2186</v>
      </c>
      <c r="AC26" t="s">
        <v>2186</v>
      </c>
      <c r="AD26" t="s">
        <v>2186</v>
      </c>
      <c r="AE26" t="s">
        <v>2186</v>
      </c>
      <c r="AF26" t="s">
        <v>2186</v>
      </c>
      <c r="AG26" t="s">
        <v>2186</v>
      </c>
      <c r="AH26" t="s">
        <v>2186</v>
      </c>
      <c r="AI26" t="s">
        <v>2186</v>
      </c>
    </row>
    <row r="27" spans="1:35"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t="s">
        <v>2186</v>
      </c>
      <c r="AB27" t="s">
        <v>2186</v>
      </c>
      <c r="AC27" t="s">
        <v>2186</v>
      </c>
      <c r="AD27" t="s">
        <v>2186</v>
      </c>
      <c r="AE27" t="s">
        <v>2186</v>
      </c>
      <c r="AF27" t="s">
        <v>2186</v>
      </c>
      <c r="AG27" t="s">
        <v>2186</v>
      </c>
      <c r="AH27" t="s">
        <v>2186</v>
      </c>
      <c r="AI27" t="s">
        <v>2186</v>
      </c>
    </row>
    <row r="28" spans="1:35"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t="s">
        <v>2186</v>
      </c>
      <c r="AB28" t="s">
        <v>2186</v>
      </c>
      <c r="AC28" t="s">
        <v>2186</v>
      </c>
      <c r="AD28" t="s">
        <v>2186</v>
      </c>
      <c r="AE28" t="s">
        <v>2186</v>
      </c>
      <c r="AF28" t="s">
        <v>2186</v>
      </c>
      <c r="AG28" t="s">
        <v>2186</v>
      </c>
      <c r="AH28" t="s">
        <v>2186</v>
      </c>
      <c r="AI28" t="s">
        <v>2186</v>
      </c>
    </row>
    <row r="29" spans="1:35"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t="s">
        <v>2186</v>
      </c>
      <c r="AB29" t="s">
        <v>2186</v>
      </c>
      <c r="AC29" t="s">
        <v>2186</v>
      </c>
      <c r="AD29" t="s">
        <v>2186</v>
      </c>
      <c r="AE29" t="s">
        <v>2186</v>
      </c>
      <c r="AF29" t="s">
        <v>2186</v>
      </c>
      <c r="AG29" t="s">
        <v>2186</v>
      </c>
      <c r="AH29" t="s">
        <v>2186</v>
      </c>
      <c r="AI29" t="s">
        <v>2186</v>
      </c>
    </row>
    <row r="30" spans="1:35"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t="s">
        <v>2186</v>
      </c>
      <c r="AB30" t="s">
        <v>2186</v>
      </c>
      <c r="AC30" t="s">
        <v>2186</v>
      </c>
      <c r="AD30" t="s">
        <v>2186</v>
      </c>
      <c r="AE30" t="s">
        <v>2186</v>
      </c>
      <c r="AF30" t="s">
        <v>2186</v>
      </c>
      <c r="AG30" t="s">
        <v>2186</v>
      </c>
      <c r="AH30" t="s">
        <v>2186</v>
      </c>
      <c r="AI30" t="s">
        <v>2186</v>
      </c>
    </row>
    <row r="31" spans="1:35"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t="s">
        <v>2186</v>
      </c>
      <c r="AB31" t="s">
        <v>2186</v>
      </c>
      <c r="AC31" t="s">
        <v>2186</v>
      </c>
      <c r="AD31" t="s">
        <v>2186</v>
      </c>
      <c r="AE31" t="s">
        <v>2186</v>
      </c>
      <c r="AF31" t="s">
        <v>2186</v>
      </c>
      <c r="AG31" t="s">
        <v>2186</v>
      </c>
      <c r="AH31" t="s">
        <v>2186</v>
      </c>
      <c r="AI31" t="s">
        <v>2186</v>
      </c>
    </row>
    <row r="32" spans="1:35"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t="s">
        <v>2186</v>
      </c>
      <c r="AB32" t="s">
        <v>2186</v>
      </c>
      <c r="AC32" t="s">
        <v>2186</v>
      </c>
      <c r="AD32" t="s">
        <v>2186</v>
      </c>
      <c r="AE32" t="s">
        <v>2186</v>
      </c>
      <c r="AF32" t="s">
        <v>2186</v>
      </c>
      <c r="AG32" t="s">
        <v>2186</v>
      </c>
      <c r="AH32" t="s">
        <v>2186</v>
      </c>
      <c r="AI32" t="s">
        <v>2186</v>
      </c>
    </row>
    <row r="33" spans="1:35"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t="s">
        <v>2186</v>
      </c>
      <c r="AB33" t="s">
        <v>2186</v>
      </c>
      <c r="AC33" t="s">
        <v>2186</v>
      </c>
      <c r="AD33" t="s">
        <v>2186</v>
      </c>
      <c r="AE33" t="s">
        <v>2186</v>
      </c>
      <c r="AF33" t="s">
        <v>2186</v>
      </c>
      <c r="AG33" t="s">
        <v>2186</v>
      </c>
      <c r="AH33" t="s">
        <v>2186</v>
      </c>
      <c r="AI33" t="s">
        <v>2186</v>
      </c>
    </row>
    <row r="34" spans="1:35" x14ac:dyDescent="0.25">
      <c r="A34">
        <f t="shared" ref="A34:A61" si="17">Q_RP_B_DSSCAGE_01</f>
        <v>0</v>
      </c>
      <c r="B34">
        <f t="shared" ref="B34:B61" si="18">Q1a_A_LocationName</f>
        <v>0</v>
      </c>
      <c r="C34">
        <f t="shared" ref="C34:C61" si="19">Q1a_A_LocOrgName</f>
        <v>0</v>
      </c>
      <c r="D34">
        <f t="shared" ref="D34:D61" si="20">Q1a_B_Parent1_Name</f>
        <v>0</v>
      </c>
      <c r="E34">
        <f t="shared" ref="E34:E61" si="21">Q_RP_A_MultiResponse</f>
        <v>0</v>
      </c>
      <c r="F34">
        <f>'D-RepLevel'!$F$2</f>
        <v>0</v>
      </c>
      <c r="G34">
        <f>'D-RepLevel'!$G$2</f>
        <v>0</v>
      </c>
      <c r="H34">
        <f t="shared" ref="H34:H61" si="22">Q1a_A_OnlyLoc_YN</f>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ref="L34:L61" si="23">Q4b_A_NumUSGPrograms</f>
        <v>0</v>
      </c>
      <c r="M34">
        <f t="shared" ref="M34:M61" si="24">Q6_A_Employees_Year3</f>
        <v>0</v>
      </c>
      <c r="N34">
        <f t="shared" ref="N34:N61" si="25">Q6_B_Employee_H1B_Total+Q6_B_Employee_H2B_Total+Q6_B_Employee_F1_Total+Q6_B_Employee_GreenCard_Total+Q6_B_Employee_Other_Total</f>
        <v>0</v>
      </c>
      <c r="O34">
        <f t="shared" ref="O34:O61" si="26">Year3</f>
        <v>2015</v>
      </c>
      <c r="P34">
        <f t="shared" ref="P34:P61" si="27">Q7_A_TotalSales_US_Year3+Q7_A_TotalSales_NonUS_Year3</f>
        <v>0</v>
      </c>
      <c r="Q34">
        <f t="shared" ref="Q34:Q61" si="28">Q7_B_DefSales_US_Year3_Pct*Q7_A_TotalSales_US_Year3+Q7_B_DefSales_NonUS_Year3_Pct*Q7_A_TotalSales_NonUS_Year3</f>
        <v>0</v>
      </c>
      <c r="R34">
        <f t="shared" ref="R34:R61" si="29">Q9a_B_Physical_Year3</f>
        <v>0</v>
      </c>
      <c r="S34">
        <f t="shared" ref="S34:S61" si="30">Q9a_B_Cyber_Year3</f>
        <v>0</v>
      </c>
      <c r="T34">
        <f>COUNTIF('9a'!$K$22:$K$32, "Yes")+COUNTIF('9a'!$O$22:$O$32, "Yes")</f>
        <v>0</v>
      </c>
      <c r="U34" t="str">
        <f t="shared" ref="U34:U61" si="31">IF(Q12_OpEx_Year3=0, "No Expenditures", Q9b_A_PhysicalSpending_Year3/(Q12_OpEx_Year3))</f>
        <v>No Expenditures</v>
      </c>
      <c r="V34" t="str">
        <f t="shared" ref="V34:V61" si="32">IF(Q12_OpEx_Year3=0, "No Expenditures", Q9b_A_CyberSpending_Year3/(Q12_OpEx_Year3))</f>
        <v>No Expenditures</v>
      </c>
      <c r="W34">
        <f t="shared" ref="W34:W61" si="33">Q9b_C_Pct_CSI_External</f>
        <v>0</v>
      </c>
      <c r="X34" t="str">
        <f>'D-Risk'!$AO$25</f>
        <v>Insufficient Data</v>
      </c>
      <c r="Y34" t="str">
        <f>'D-Risk'!$AO$26</f>
        <v>Insufficient Data</v>
      </c>
      <c r="Z34" t="str">
        <f>'D-Risk'!$AO$27</f>
        <v>Uncalculated</v>
      </c>
      <c r="AA34" t="s">
        <v>2186</v>
      </c>
      <c r="AB34" t="s">
        <v>2186</v>
      </c>
      <c r="AC34" t="s">
        <v>2186</v>
      </c>
      <c r="AD34" t="s">
        <v>2186</v>
      </c>
      <c r="AE34" t="s">
        <v>2186</v>
      </c>
      <c r="AF34" t="s">
        <v>2186</v>
      </c>
      <c r="AG34" t="s">
        <v>2186</v>
      </c>
      <c r="AH34" t="s">
        <v>2186</v>
      </c>
      <c r="AI34" t="s">
        <v>2186</v>
      </c>
    </row>
    <row r="35" spans="1:35" x14ac:dyDescent="0.25">
      <c r="A35">
        <f t="shared" si="17"/>
        <v>0</v>
      </c>
      <c r="B35">
        <f t="shared" si="18"/>
        <v>0</v>
      </c>
      <c r="C35">
        <f t="shared" si="19"/>
        <v>0</v>
      </c>
      <c r="D35">
        <f t="shared" si="20"/>
        <v>0</v>
      </c>
      <c r="E35">
        <f t="shared" si="21"/>
        <v>0</v>
      </c>
      <c r="F35">
        <f>'D-RepLevel'!$F$2</f>
        <v>0</v>
      </c>
      <c r="G35">
        <f>'D-RepLevel'!$G$2</f>
        <v>0</v>
      </c>
      <c r="H35">
        <f t="shared" si="22"/>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23"/>
        <v>0</v>
      </c>
      <c r="M35">
        <f t="shared" si="24"/>
        <v>0</v>
      </c>
      <c r="N35">
        <f t="shared" si="25"/>
        <v>0</v>
      </c>
      <c r="O35">
        <f t="shared" si="26"/>
        <v>2015</v>
      </c>
      <c r="P35">
        <f t="shared" si="27"/>
        <v>0</v>
      </c>
      <c r="Q35">
        <f t="shared" si="28"/>
        <v>0</v>
      </c>
      <c r="R35">
        <f t="shared" si="29"/>
        <v>0</v>
      </c>
      <c r="S35">
        <f t="shared" si="30"/>
        <v>0</v>
      </c>
      <c r="T35">
        <f>COUNTIF('9a'!$K$22:$K$32, "Yes")+COUNTIF('9a'!$O$22:$O$32, "Yes")</f>
        <v>0</v>
      </c>
      <c r="U35" t="str">
        <f t="shared" si="31"/>
        <v>No Expenditures</v>
      </c>
      <c r="V35" t="str">
        <f t="shared" si="32"/>
        <v>No Expenditures</v>
      </c>
      <c r="W35">
        <f t="shared" si="33"/>
        <v>0</v>
      </c>
      <c r="X35" t="str">
        <f>'D-Risk'!$AO$25</f>
        <v>Insufficient Data</v>
      </c>
      <c r="Y35" t="str">
        <f>'D-Risk'!$AO$26</f>
        <v>Insufficient Data</v>
      </c>
      <c r="Z35" t="str">
        <f>'D-Risk'!$AO$27</f>
        <v>Uncalculated</v>
      </c>
      <c r="AA35" t="s">
        <v>2186</v>
      </c>
      <c r="AB35" t="s">
        <v>2186</v>
      </c>
      <c r="AC35" t="s">
        <v>2186</v>
      </c>
      <c r="AD35" t="s">
        <v>2186</v>
      </c>
      <c r="AE35" t="s">
        <v>2186</v>
      </c>
      <c r="AF35" t="s">
        <v>2186</v>
      </c>
      <c r="AG35" t="s">
        <v>2186</v>
      </c>
      <c r="AH35" t="s">
        <v>2186</v>
      </c>
      <c r="AI35" t="s">
        <v>2186</v>
      </c>
    </row>
    <row r="36" spans="1:35" x14ac:dyDescent="0.25">
      <c r="A36">
        <f t="shared" si="17"/>
        <v>0</v>
      </c>
      <c r="B36">
        <f t="shared" si="18"/>
        <v>0</v>
      </c>
      <c r="C36">
        <f t="shared" si="19"/>
        <v>0</v>
      </c>
      <c r="D36">
        <f t="shared" si="20"/>
        <v>0</v>
      </c>
      <c r="E36">
        <f t="shared" si="21"/>
        <v>0</v>
      </c>
      <c r="F36">
        <f>'D-RepLevel'!$F$2</f>
        <v>0</v>
      </c>
      <c r="G36">
        <f>'D-RepLevel'!$G$2</f>
        <v>0</v>
      </c>
      <c r="H36">
        <f t="shared" si="22"/>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23"/>
        <v>0</v>
      </c>
      <c r="M36">
        <f t="shared" si="24"/>
        <v>0</v>
      </c>
      <c r="N36">
        <f t="shared" si="25"/>
        <v>0</v>
      </c>
      <c r="O36">
        <f t="shared" si="26"/>
        <v>2015</v>
      </c>
      <c r="P36">
        <f t="shared" si="27"/>
        <v>0</v>
      </c>
      <c r="Q36">
        <f t="shared" si="28"/>
        <v>0</v>
      </c>
      <c r="R36">
        <f t="shared" si="29"/>
        <v>0</v>
      </c>
      <c r="S36">
        <f t="shared" si="30"/>
        <v>0</v>
      </c>
      <c r="T36">
        <f>COUNTIF('9a'!$K$22:$K$32, "Yes")+COUNTIF('9a'!$O$22:$O$32, "Yes")</f>
        <v>0</v>
      </c>
      <c r="U36" t="str">
        <f t="shared" si="31"/>
        <v>No Expenditures</v>
      </c>
      <c r="V36" t="str">
        <f t="shared" si="32"/>
        <v>No Expenditures</v>
      </c>
      <c r="W36">
        <f t="shared" si="33"/>
        <v>0</v>
      </c>
      <c r="X36" t="str">
        <f>'D-Risk'!$AO$25</f>
        <v>Insufficient Data</v>
      </c>
      <c r="Y36" t="str">
        <f>'D-Risk'!$AO$26</f>
        <v>Insufficient Data</v>
      </c>
      <c r="Z36" t="str">
        <f>'D-Risk'!$AO$27</f>
        <v>Uncalculated</v>
      </c>
      <c r="AA36" t="s">
        <v>2186</v>
      </c>
      <c r="AB36" t="s">
        <v>2186</v>
      </c>
      <c r="AC36" t="s">
        <v>2186</v>
      </c>
      <c r="AD36" t="s">
        <v>2186</v>
      </c>
      <c r="AE36" t="s">
        <v>2186</v>
      </c>
      <c r="AF36" t="s">
        <v>2186</v>
      </c>
      <c r="AG36" t="s">
        <v>2186</v>
      </c>
      <c r="AH36" t="s">
        <v>2186</v>
      </c>
      <c r="AI36" t="s">
        <v>2186</v>
      </c>
    </row>
    <row r="37" spans="1:35" x14ac:dyDescent="0.25">
      <c r="A37">
        <f t="shared" si="17"/>
        <v>0</v>
      </c>
      <c r="B37">
        <f t="shared" si="18"/>
        <v>0</v>
      </c>
      <c r="C37">
        <f t="shared" si="19"/>
        <v>0</v>
      </c>
      <c r="D37">
        <f t="shared" si="20"/>
        <v>0</v>
      </c>
      <c r="E37">
        <f t="shared" si="21"/>
        <v>0</v>
      </c>
      <c r="F37">
        <f>'D-RepLevel'!$F$2</f>
        <v>0</v>
      </c>
      <c r="G37">
        <f>'D-RepLevel'!$G$2</f>
        <v>0</v>
      </c>
      <c r="H37">
        <f t="shared" si="22"/>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23"/>
        <v>0</v>
      </c>
      <c r="M37">
        <f t="shared" si="24"/>
        <v>0</v>
      </c>
      <c r="N37">
        <f t="shared" si="25"/>
        <v>0</v>
      </c>
      <c r="O37">
        <f t="shared" si="26"/>
        <v>2015</v>
      </c>
      <c r="P37">
        <f t="shared" si="27"/>
        <v>0</v>
      </c>
      <c r="Q37">
        <f t="shared" si="28"/>
        <v>0</v>
      </c>
      <c r="R37">
        <f t="shared" si="29"/>
        <v>0</v>
      </c>
      <c r="S37">
        <f t="shared" si="30"/>
        <v>0</v>
      </c>
      <c r="T37">
        <f>COUNTIF('9a'!$K$22:$K$32, "Yes")+COUNTIF('9a'!$O$22:$O$32, "Yes")</f>
        <v>0</v>
      </c>
      <c r="U37" t="str">
        <f t="shared" si="31"/>
        <v>No Expenditures</v>
      </c>
      <c r="V37" t="str">
        <f t="shared" si="32"/>
        <v>No Expenditures</v>
      </c>
      <c r="W37">
        <f t="shared" si="33"/>
        <v>0</v>
      </c>
      <c r="X37" t="str">
        <f>'D-Risk'!$AO$25</f>
        <v>Insufficient Data</v>
      </c>
      <c r="Y37" t="str">
        <f>'D-Risk'!$AO$26</f>
        <v>Insufficient Data</v>
      </c>
      <c r="Z37" t="str">
        <f>'D-Risk'!$AO$27</f>
        <v>Uncalculated</v>
      </c>
      <c r="AA37" t="s">
        <v>2186</v>
      </c>
      <c r="AB37" t="s">
        <v>2186</v>
      </c>
      <c r="AC37" t="s">
        <v>2186</v>
      </c>
      <c r="AD37" t="s">
        <v>2186</v>
      </c>
      <c r="AE37" t="s">
        <v>2186</v>
      </c>
      <c r="AF37" t="s">
        <v>2186</v>
      </c>
      <c r="AG37" t="s">
        <v>2186</v>
      </c>
      <c r="AH37" t="s">
        <v>2186</v>
      </c>
      <c r="AI37" t="s">
        <v>2186</v>
      </c>
    </row>
    <row r="38" spans="1:35" x14ac:dyDescent="0.25">
      <c r="A38">
        <f t="shared" si="17"/>
        <v>0</v>
      </c>
      <c r="B38">
        <f t="shared" si="18"/>
        <v>0</v>
      </c>
      <c r="C38">
        <f t="shared" si="19"/>
        <v>0</v>
      </c>
      <c r="D38">
        <f t="shared" si="20"/>
        <v>0</v>
      </c>
      <c r="E38">
        <f t="shared" si="21"/>
        <v>0</v>
      </c>
      <c r="F38">
        <f>'D-RepLevel'!$F$2</f>
        <v>0</v>
      </c>
      <c r="G38">
        <f>'D-RepLevel'!$G$2</f>
        <v>0</v>
      </c>
      <c r="H38">
        <f t="shared" si="22"/>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23"/>
        <v>0</v>
      </c>
      <c r="M38">
        <f t="shared" si="24"/>
        <v>0</v>
      </c>
      <c r="N38">
        <f t="shared" si="25"/>
        <v>0</v>
      </c>
      <c r="O38">
        <f t="shared" si="26"/>
        <v>2015</v>
      </c>
      <c r="P38">
        <f t="shared" si="27"/>
        <v>0</v>
      </c>
      <c r="Q38">
        <f t="shared" si="28"/>
        <v>0</v>
      </c>
      <c r="R38">
        <f t="shared" si="29"/>
        <v>0</v>
      </c>
      <c r="S38">
        <f t="shared" si="30"/>
        <v>0</v>
      </c>
      <c r="T38">
        <f>COUNTIF('9a'!$K$22:$K$32, "Yes")+COUNTIF('9a'!$O$22:$O$32, "Yes")</f>
        <v>0</v>
      </c>
      <c r="U38" t="str">
        <f t="shared" si="31"/>
        <v>No Expenditures</v>
      </c>
      <c r="V38" t="str">
        <f t="shared" si="32"/>
        <v>No Expenditures</v>
      </c>
      <c r="W38">
        <f t="shared" si="33"/>
        <v>0</v>
      </c>
      <c r="X38" t="str">
        <f>'D-Risk'!$AO$25</f>
        <v>Insufficient Data</v>
      </c>
      <c r="Y38" t="str">
        <f>'D-Risk'!$AO$26</f>
        <v>Insufficient Data</v>
      </c>
      <c r="Z38" t="str">
        <f>'D-Risk'!$AO$27</f>
        <v>Uncalculated</v>
      </c>
      <c r="AA38" t="s">
        <v>2186</v>
      </c>
      <c r="AB38" t="s">
        <v>2186</v>
      </c>
      <c r="AC38" t="s">
        <v>2186</v>
      </c>
      <c r="AD38" t="s">
        <v>2186</v>
      </c>
      <c r="AE38" t="s">
        <v>2186</v>
      </c>
      <c r="AF38" t="s">
        <v>2186</v>
      </c>
      <c r="AG38" t="s">
        <v>2186</v>
      </c>
      <c r="AH38" t="s">
        <v>2186</v>
      </c>
      <c r="AI38" t="s">
        <v>2186</v>
      </c>
    </row>
    <row r="39" spans="1:35" x14ac:dyDescent="0.25">
      <c r="A39">
        <f t="shared" si="17"/>
        <v>0</v>
      </c>
      <c r="B39">
        <f t="shared" si="18"/>
        <v>0</v>
      </c>
      <c r="C39">
        <f t="shared" si="19"/>
        <v>0</v>
      </c>
      <c r="D39">
        <f t="shared" si="20"/>
        <v>0</v>
      </c>
      <c r="E39">
        <f t="shared" si="21"/>
        <v>0</v>
      </c>
      <c r="F39">
        <f>'D-RepLevel'!$F$2</f>
        <v>0</v>
      </c>
      <c r="G39">
        <f>'D-RepLevel'!$G$2</f>
        <v>0</v>
      </c>
      <c r="H39">
        <f t="shared" si="22"/>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23"/>
        <v>0</v>
      </c>
      <c r="M39">
        <f t="shared" si="24"/>
        <v>0</v>
      </c>
      <c r="N39">
        <f t="shared" si="25"/>
        <v>0</v>
      </c>
      <c r="O39">
        <f t="shared" si="26"/>
        <v>2015</v>
      </c>
      <c r="P39">
        <f t="shared" si="27"/>
        <v>0</v>
      </c>
      <c r="Q39">
        <f t="shared" si="28"/>
        <v>0</v>
      </c>
      <c r="R39">
        <f t="shared" si="29"/>
        <v>0</v>
      </c>
      <c r="S39">
        <f t="shared" si="30"/>
        <v>0</v>
      </c>
      <c r="T39">
        <f>COUNTIF('9a'!$K$22:$K$32, "Yes")+COUNTIF('9a'!$O$22:$O$32, "Yes")</f>
        <v>0</v>
      </c>
      <c r="U39" t="str">
        <f t="shared" si="31"/>
        <v>No Expenditures</v>
      </c>
      <c r="V39" t="str">
        <f t="shared" si="32"/>
        <v>No Expenditures</v>
      </c>
      <c r="W39">
        <f t="shared" si="33"/>
        <v>0</v>
      </c>
      <c r="X39" t="str">
        <f>'D-Risk'!$AO$25</f>
        <v>Insufficient Data</v>
      </c>
      <c r="Y39" t="str">
        <f>'D-Risk'!$AO$26</f>
        <v>Insufficient Data</v>
      </c>
      <c r="Z39" t="str">
        <f>'D-Risk'!$AO$27</f>
        <v>Uncalculated</v>
      </c>
      <c r="AA39" t="s">
        <v>2186</v>
      </c>
      <c r="AB39" t="s">
        <v>2186</v>
      </c>
      <c r="AC39" t="s">
        <v>2186</v>
      </c>
      <c r="AD39" t="s">
        <v>2186</v>
      </c>
      <c r="AE39" t="s">
        <v>2186</v>
      </c>
      <c r="AF39" t="s">
        <v>2186</v>
      </c>
      <c r="AG39" t="s">
        <v>2186</v>
      </c>
      <c r="AH39" t="s">
        <v>2186</v>
      </c>
      <c r="AI39" t="s">
        <v>2186</v>
      </c>
    </row>
    <row r="40" spans="1:35" x14ac:dyDescent="0.25">
      <c r="A40">
        <f t="shared" si="17"/>
        <v>0</v>
      </c>
      <c r="B40">
        <f t="shared" si="18"/>
        <v>0</v>
      </c>
      <c r="C40">
        <f t="shared" si="19"/>
        <v>0</v>
      </c>
      <c r="D40">
        <f t="shared" si="20"/>
        <v>0</v>
      </c>
      <c r="E40">
        <f t="shared" si="21"/>
        <v>0</v>
      </c>
      <c r="F40">
        <f>'D-RepLevel'!$F$2</f>
        <v>0</v>
      </c>
      <c r="G40">
        <f>'D-RepLevel'!$G$2</f>
        <v>0</v>
      </c>
      <c r="H40">
        <f t="shared" si="22"/>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23"/>
        <v>0</v>
      </c>
      <c r="M40">
        <f t="shared" si="24"/>
        <v>0</v>
      </c>
      <c r="N40">
        <f t="shared" si="25"/>
        <v>0</v>
      </c>
      <c r="O40">
        <f t="shared" si="26"/>
        <v>2015</v>
      </c>
      <c r="P40">
        <f t="shared" si="27"/>
        <v>0</v>
      </c>
      <c r="Q40">
        <f t="shared" si="28"/>
        <v>0</v>
      </c>
      <c r="R40">
        <f t="shared" si="29"/>
        <v>0</v>
      </c>
      <c r="S40">
        <f t="shared" si="30"/>
        <v>0</v>
      </c>
      <c r="T40">
        <f>COUNTIF('9a'!$K$22:$K$32, "Yes")+COUNTIF('9a'!$O$22:$O$32, "Yes")</f>
        <v>0</v>
      </c>
      <c r="U40" t="str">
        <f t="shared" si="31"/>
        <v>No Expenditures</v>
      </c>
      <c r="V40" t="str">
        <f t="shared" si="32"/>
        <v>No Expenditures</v>
      </c>
      <c r="W40">
        <f t="shared" si="33"/>
        <v>0</v>
      </c>
      <c r="X40" t="str">
        <f>'D-Risk'!$AO$25</f>
        <v>Insufficient Data</v>
      </c>
      <c r="Y40" t="str">
        <f>'D-Risk'!$AO$26</f>
        <v>Insufficient Data</v>
      </c>
      <c r="Z40" t="str">
        <f>'D-Risk'!$AO$27</f>
        <v>Uncalculated</v>
      </c>
      <c r="AA40" t="s">
        <v>2186</v>
      </c>
      <c r="AB40" t="s">
        <v>2186</v>
      </c>
      <c r="AC40" t="s">
        <v>2186</v>
      </c>
      <c r="AD40" t="s">
        <v>2186</v>
      </c>
      <c r="AE40" t="s">
        <v>2186</v>
      </c>
      <c r="AF40" t="s">
        <v>2186</v>
      </c>
      <c r="AG40" t="s">
        <v>2186</v>
      </c>
      <c r="AH40" t="s">
        <v>2186</v>
      </c>
      <c r="AI40" t="s">
        <v>2186</v>
      </c>
    </row>
    <row r="41" spans="1:35" x14ac:dyDescent="0.25">
      <c r="A41">
        <f t="shared" si="17"/>
        <v>0</v>
      </c>
      <c r="B41">
        <f t="shared" si="18"/>
        <v>0</v>
      </c>
      <c r="C41">
        <f t="shared" si="19"/>
        <v>0</v>
      </c>
      <c r="D41">
        <f t="shared" si="20"/>
        <v>0</v>
      </c>
      <c r="E41">
        <f t="shared" si="21"/>
        <v>0</v>
      </c>
      <c r="F41">
        <f>'D-RepLevel'!$F$2</f>
        <v>0</v>
      </c>
      <c r="G41">
        <f>'D-RepLevel'!$G$2</f>
        <v>0</v>
      </c>
      <c r="H41">
        <f t="shared" si="22"/>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23"/>
        <v>0</v>
      </c>
      <c r="M41">
        <f t="shared" si="24"/>
        <v>0</v>
      </c>
      <c r="N41">
        <f t="shared" si="25"/>
        <v>0</v>
      </c>
      <c r="O41">
        <f t="shared" si="26"/>
        <v>2015</v>
      </c>
      <c r="P41">
        <f t="shared" si="27"/>
        <v>0</v>
      </c>
      <c r="Q41">
        <f t="shared" si="28"/>
        <v>0</v>
      </c>
      <c r="R41">
        <f t="shared" si="29"/>
        <v>0</v>
      </c>
      <c r="S41">
        <f t="shared" si="30"/>
        <v>0</v>
      </c>
      <c r="T41">
        <f>COUNTIF('9a'!$K$22:$K$32, "Yes")+COUNTIF('9a'!$O$22:$O$32, "Yes")</f>
        <v>0</v>
      </c>
      <c r="U41" t="str">
        <f t="shared" si="31"/>
        <v>No Expenditures</v>
      </c>
      <c r="V41" t="str">
        <f t="shared" si="32"/>
        <v>No Expenditures</v>
      </c>
      <c r="W41">
        <f t="shared" si="33"/>
        <v>0</v>
      </c>
      <c r="X41" t="str">
        <f>'D-Risk'!$AO$25</f>
        <v>Insufficient Data</v>
      </c>
      <c r="Y41" t="str">
        <f>'D-Risk'!$AO$26</f>
        <v>Insufficient Data</v>
      </c>
      <c r="Z41" t="str">
        <f>'D-Risk'!$AO$27</f>
        <v>Uncalculated</v>
      </c>
      <c r="AA41" t="s">
        <v>2186</v>
      </c>
      <c r="AB41" t="s">
        <v>2186</v>
      </c>
      <c r="AC41" t="s">
        <v>2186</v>
      </c>
      <c r="AD41" t="s">
        <v>2186</v>
      </c>
      <c r="AE41" t="s">
        <v>2186</v>
      </c>
      <c r="AF41" t="s">
        <v>2186</v>
      </c>
      <c r="AG41" t="s">
        <v>2186</v>
      </c>
      <c r="AH41" t="s">
        <v>2186</v>
      </c>
      <c r="AI41" t="s">
        <v>2186</v>
      </c>
    </row>
    <row r="42" spans="1:35" x14ac:dyDescent="0.25">
      <c r="A42">
        <f t="shared" si="17"/>
        <v>0</v>
      </c>
      <c r="B42">
        <f t="shared" si="18"/>
        <v>0</v>
      </c>
      <c r="C42">
        <f t="shared" si="19"/>
        <v>0</v>
      </c>
      <c r="D42">
        <f t="shared" si="20"/>
        <v>0</v>
      </c>
      <c r="E42">
        <f t="shared" si="21"/>
        <v>0</v>
      </c>
      <c r="F42">
        <f>'D-RepLevel'!$F$2</f>
        <v>0</v>
      </c>
      <c r="G42">
        <f>'D-RepLevel'!$G$2</f>
        <v>0</v>
      </c>
      <c r="H42">
        <f t="shared" si="22"/>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23"/>
        <v>0</v>
      </c>
      <c r="M42">
        <f t="shared" si="24"/>
        <v>0</v>
      </c>
      <c r="N42">
        <f t="shared" si="25"/>
        <v>0</v>
      </c>
      <c r="O42">
        <f t="shared" si="26"/>
        <v>2015</v>
      </c>
      <c r="P42">
        <f t="shared" si="27"/>
        <v>0</v>
      </c>
      <c r="Q42">
        <f t="shared" si="28"/>
        <v>0</v>
      </c>
      <c r="R42">
        <f t="shared" si="29"/>
        <v>0</v>
      </c>
      <c r="S42">
        <f t="shared" si="30"/>
        <v>0</v>
      </c>
      <c r="T42">
        <f>COUNTIF('9a'!$K$22:$K$32, "Yes")+COUNTIF('9a'!$O$22:$O$32, "Yes")</f>
        <v>0</v>
      </c>
      <c r="U42" t="str">
        <f t="shared" si="31"/>
        <v>No Expenditures</v>
      </c>
      <c r="V42" t="str">
        <f t="shared" si="32"/>
        <v>No Expenditures</v>
      </c>
      <c r="W42">
        <f t="shared" si="33"/>
        <v>0</v>
      </c>
      <c r="X42" t="str">
        <f>'D-Risk'!$AO$25</f>
        <v>Insufficient Data</v>
      </c>
      <c r="Y42" t="str">
        <f>'D-Risk'!$AO$26</f>
        <v>Insufficient Data</v>
      </c>
      <c r="Z42" t="str">
        <f>'D-Risk'!$AO$27</f>
        <v>Uncalculated</v>
      </c>
      <c r="AA42" t="s">
        <v>2186</v>
      </c>
      <c r="AB42" t="s">
        <v>2186</v>
      </c>
      <c r="AC42" t="s">
        <v>2186</v>
      </c>
      <c r="AD42" t="s">
        <v>2186</v>
      </c>
      <c r="AE42" t="s">
        <v>2186</v>
      </c>
      <c r="AF42" t="s">
        <v>2186</v>
      </c>
      <c r="AG42" t="s">
        <v>2186</v>
      </c>
      <c r="AH42" t="s">
        <v>2186</v>
      </c>
      <c r="AI42" t="s">
        <v>2186</v>
      </c>
    </row>
    <row r="43" spans="1:35" x14ac:dyDescent="0.25">
      <c r="A43">
        <f t="shared" si="17"/>
        <v>0</v>
      </c>
      <c r="B43">
        <f t="shared" si="18"/>
        <v>0</v>
      </c>
      <c r="C43">
        <f t="shared" si="19"/>
        <v>0</v>
      </c>
      <c r="D43">
        <f t="shared" si="20"/>
        <v>0</v>
      </c>
      <c r="E43">
        <f t="shared" si="21"/>
        <v>0</v>
      </c>
      <c r="F43">
        <f>'D-RepLevel'!$F$2</f>
        <v>0</v>
      </c>
      <c r="G43">
        <f>'D-RepLevel'!$G$2</f>
        <v>0</v>
      </c>
      <c r="H43">
        <f t="shared" si="22"/>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23"/>
        <v>0</v>
      </c>
      <c r="M43">
        <f t="shared" si="24"/>
        <v>0</v>
      </c>
      <c r="N43">
        <f t="shared" si="25"/>
        <v>0</v>
      </c>
      <c r="O43">
        <f t="shared" si="26"/>
        <v>2015</v>
      </c>
      <c r="P43">
        <f t="shared" si="27"/>
        <v>0</v>
      </c>
      <c r="Q43">
        <f t="shared" si="28"/>
        <v>0</v>
      </c>
      <c r="R43">
        <f t="shared" si="29"/>
        <v>0</v>
      </c>
      <c r="S43">
        <f t="shared" si="30"/>
        <v>0</v>
      </c>
      <c r="T43">
        <f>COUNTIF('9a'!$K$22:$K$32, "Yes")+COUNTIF('9a'!$O$22:$O$32, "Yes")</f>
        <v>0</v>
      </c>
      <c r="U43" t="str">
        <f t="shared" si="31"/>
        <v>No Expenditures</v>
      </c>
      <c r="V43" t="str">
        <f t="shared" si="32"/>
        <v>No Expenditures</v>
      </c>
      <c r="W43">
        <f t="shared" si="33"/>
        <v>0</v>
      </c>
      <c r="X43" t="str">
        <f>'D-Risk'!$AO$25</f>
        <v>Insufficient Data</v>
      </c>
      <c r="Y43" t="str">
        <f>'D-Risk'!$AO$26</f>
        <v>Insufficient Data</v>
      </c>
      <c r="Z43" t="str">
        <f>'D-Risk'!$AO$27</f>
        <v>Uncalculated</v>
      </c>
      <c r="AA43" t="s">
        <v>2186</v>
      </c>
      <c r="AB43" t="s">
        <v>2186</v>
      </c>
      <c r="AC43" t="s">
        <v>2186</v>
      </c>
      <c r="AD43" t="s">
        <v>2186</v>
      </c>
      <c r="AE43" t="s">
        <v>2186</v>
      </c>
      <c r="AF43" t="s">
        <v>2186</v>
      </c>
      <c r="AG43" t="s">
        <v>2186</v>
      </c>
      <c r="AH43" t="s">
        <v>2186</v>
      </c>
      <c r="AI43" t="s">
        <v>2186</v>
      </c>
    </row>
    <row r="44" spans="1:35" x14ac:dyDescent="0.25">
      <c r="A44">
        <f t="shared" si="17"/>
        <v>0</v>
      </c>
      <c r="B44">
        <f t="shared" si="18"/>
        <v>0</v>
      </c>
      <c r="C44">
        <f t="shared" si="19"/>
        <v>0</v>
      </c>
      <c r="D44">
        <f t="shared" si="20"/>
        <v>0</v>
      </c>
      <c r="E44">
        <f t="shared" si="21"/>
        <v>0</v>
      </c>
      <c r="F44">
        <f>'D-RepLevel'!$F$2</f>
        <v>0</v>
      </c>
      <c r="G44">
        <f>'D-RepLevel'!$G$2</f>
        <v>0</v>
      </c>
      <c r="H44">
        <f t="shared" si="22"/>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23"/>
        <v>0</v>
      </c>
      <c r="M44">
        <f t="shared" si="24"/>
        <v>0</v>
      </c>
      <c r="N44">
        <f t="shared" si="25"/>
        <v>0</v>
      </c>
      <c r="O44">
        <f t="shared" si="26"/>
        <v>2015</v>
      </c>
      <c r="P44">
        <f t="shared" si="27"/>
        <v>0</v>
      </c>
      <c r="Q44">
        <f t="shared" si="28"/>
        <v>0</v>
      </c>
      <c r="R44">
        <f t="shared" si="29"/>
        <v>0</v>
      </c>
      <c r="S44">
        <f t="shared" si="30"/>
        <v>0</v>
      </c>
      <c r="T44">
        <f>COUNTIF('9a'!$K$22:$K$32, "Yes")+COUNTIF('9a'!$O$22:$O$32, "Yes")</f>
        <v>0</v>
      </c>
      <c r="U44" t="str">
        <f t="shared" si="31"/>
        <v>No Expenditures</v>
      </c>
      <c r="V44" t="str">
        <f t="shared" si="32"/>
        <v>No Expenditures</v>
      </c>
      <c r="W44">
        <f t="shared" si="33"/>
        <v>0</v>
      </c>
      <c r="X44" t="str">
        <f>'D-Risk'!$AO$25</f>
        <v>Insufficient Data</v>
      </c>
      <c r="Y44" t="str">
        <f>'D-Risk'!$AO$26</f>
        <v>Insufficient Data</v>
      </c>
      <c r="Z44" t="str">
        <f>'D-Risk'!$AO$27</f>
        <v>Uncalculated</v>
      </c>
      <c r="AA44" t="s">
        <v>2186</v>
      </c>
      <c r="AB44" t="s">
        <v>2186</v>
      </c>
      <c r="AC44" t="s">
        <v>2186</v>
      </c>
      <c r="AD44" t="s">
        <v>2186</v>
      </c>
      <c r="AE44" t="s">
        <v>2186</v>
      </c>
      <c r="AF44" t="s">
        <v>2186</v>
      </c>
      <c r="AG44" t="s">
        <v>2186</v>
      </c>
      <c r="AH44" t="s">
        <v>2186</v>
      </c>
      <c r="AI44" t="s">
        <v>2186</v>
      </c>
    </row>
    <row r="45" spans="1:35" x14ac:dyDescent="0.25">
      <c r="A45">
        <f t="shared" si="17"/>
        <v>0</v>
      </c>
      <c r="B45">
        <f t="shared" si="18"/>
        <v>0</v>
      </c>
      <c r="C45">
        <f t="shared" si="19"/>
        <v>0</v>
      </c>
      <c r="D45">
        <f t="shared" si="20"/>
        <v>0</v>
      </c>
      <c r="E45">
        <f t="shared" si="21"/>
        <v>0</v>
      </c>
      <c r="F45">
        <f>'D-RepLevel'!$F$2</f>
        <v>0</v>
      </c>
      <c r="G45">
        <f>'D-RepLevel'!$G$2</f>
        <v>0</v>
      </c>
      <c r="H45">
        <f t="shared" si="22"/>
        <v>0</v>
      </c>
      <c r="I45" t="str">
        <f>IF(ISERROR(INDEX('1b'!$C$5:$C$21, MATCH("Primary Business Line", '1b'!$H$5:$H$21, FALSE), 1)), "None Selected", INDEX('1b'!$C$5:$C$21, MATCH("Primary Business Line", '1b'!$H$5:$H$21, FALSE), 1))</f>
        <v>None Selected</v>
      </c>
      <c r="J45">
        <f>'D-3'!$J$2</f>
        <v>0</v>
      </c>
      <c r="K45">
        <f>COUNTIF('4a'!$E$6:$E$29, "Direct")+COUNTIF('4a'!$E$6:$E$29, "Indirect")+COUNTIF('4a'!$E$6:$E$29, "Both")</f>
        <v>0</v>
      </c>
      <c r="L45">
        <f t="shared" si="23"/>
        <v>0</v>
      </c>
      <c r="M45">
        <f t="shared" si="24"/>
        <v>0</v>
      </c>
      <c r="N45">
        <f t="shared" si="25"/>
        <v>0</v>
      </c>
      <c r="O45">
        <f t="shared" si="26"/>
        <v>2015</v>
      </c>
      <c r="P45">
        <f t="shared" si="27"/>
        <v>0</v>
      </c>
      <c r="Q45">
        <f t="shared" si="28"/>
        <v>0</v>
      </c>
      <c r="R45">
        <f t="shared" si="29"/>
        <v>0</v>
      </c>
      <c r="S45">
        <f t="shared" si="30"/>
        <v>0</v>
      </c>
      <c r="T45">
        <f>COUNTIF('9a'!$K$22:$K$32, "Yes")+COUNTIF('9a'!$O$22:$O$32, "Yes")</f>
        <v>0</v>
      </c>
      <c r="U45" t="str">
        <f t="shared" si="31"/>
        <v>No Expenditures</v>
      </c>
      <c r="V45" t="str">
        <f t="shared" si="32"/>
        <v>No Expenditures</v>
      </c>
      <c r="W45">
        <f t="shared" si="33"/>
        <v>0</v>
      </c>
      <c r="X45" t="str">
        <f>'D-Risk'!$AO$25</f>
        <v>Insufficient Data</v>
      </c>
      <c r="Y45" t="str">
        <f>'D-Risk'!$AO$26</f>
        <v>Insufficient Data</v>
      </c>
      <c r="Z45" t="str">
        <f>'D-Risk'!$AO$27</f>
        <v>Uncalculated</v>
      </c>
      <c r="AA45" t="s">
        <v>2186</v>
      </c>
      <c r="AB45" t="s">
        <v>2186</v>
      </c>
      <c r="AC45" t="s">
        <v>2186</v>
      </c>
      <c r="AD45" t="s">
        <v>2186</v>
      </c>
      <c r="AE45" t="s">
        <v>2186</v>
      </c>
      <c r="AF45" t="s">
        <v>2186</v>
      </c>
      <c r="AG45" t="s">
        <v>2186</v>
      </c>
      <c r="AH45" t="s">
        <v>2186</v>
      </c>
      <c r="AI45" t="s">
        <v>2186</v>
      </c>
    </row>
    <row r="46" spans="1:35" x14ac:dyDescent="0.25">
      <c r="A46">
        <f t="shared" si="17"/>
        <v>0</v>
      </c>
      <c r="B46">
        <f t="shared" si="18"/>
        <v>0</v>
      </c>
      <c r="C46">
        <f t="shared" si="19"/>
        <v>0</v>
      </c>
      <c r="D46">
        <f t="shared" si="20"/>
        <v>0</v>
      </c>
      <c r="E46">
        <f t="shared" si="21"/>
        <v>0</v>
      </c>
      <c r="F46">
        <f>'D-RepLevel'!$F$2</f>
        <v>0</v>
      </c>
      <c r="G46">
        <f>'D-RepLevel'!$G$2</f>
        <v>0</v>
      </c>
      <c r="H46">
        <f t="shared" si="22"/>
        <v>0</v>
      </c>
      <c r="I46" t="str">
        <f>IF(ISERROR(INDEX('1b'!$C$5:$C$21, MATCH("Primary Business Line", '1b'!$H$5:$H$21, FALSE), 1)), "None Selected", INDEX('1b'!$C$5:$C$21, MATCH("Primary Business Line", '1b'!$H$5:$H$21, FALSE), 1))</f>
        <v>None Selected</v>
      </c>
      <c r="J46">
        <f>'D-3'!$J$2</f>
        <v>0</v>
      </c>
      <c r="K46">
        <f>COUNTIF('4a'!$E$6:$E$29, "Direct")+COUNTIF('4a'!$E$6:$E$29, "Indirect")+COUNTIF('4a'!$E$6:$E$29, "Both")</f>
        <v>0</v>
      </c>
      <c r="L46">
        <f t="shared" si="23"/>
        <v>0</v>
      </c>
      <c r="M46">
        <f t="shared" si="24"/>
        <v>0</v>
      </c>
      <c r="N46">
        <f t="shared" si="25"/>
        <v>0</v>
      </c>
      <c r="O46">
        <f t="shared" si="26"/>
        <v>2015</v>
      </c>
      <c r="P46">
        <f t="shared" si="27"/>
        <v>0</v>
      </c>
      <c r="Q46">
        <f t="shared" si="28"/>
        <v>0</v>
      </c>
      <c r="R46">
        <f t="shared" si="29"/>
        <v>0</v>
      </c>
      <c r="S46">
        <f t="shared" si="30"/>
        <v>0</v>
      </c>
      <c r="T46">
        <f>COUNTIF('9a'!$K$22:$K$32, "Yes")+COUNTIF('9a'!$O$22:$O$32, "Yes")</f>
        <v>0</v>
      </c>
      <c r="U46" t="str">
        <f t="shared" si="31"/>
        <v>No Expenditures</v>
      </c>
      <c r="V46" t="str">
        <f t="shared" si="32"/>
        <v>No Expenditures</v>
      </c>
      <c r="W46">
        <f t="shared" si="33"/>
        <v>0</v>
      </c>
      <c r="X46" t="str">
        <f>'D-Risk'!$AO$25</f>
        <v>Insufficient Data</v>
      </c>
      <c r="Y46" t="str">
        <f>'D-Risk'!$AO$26</f>
        <v>Insufficient Data</v>
      </c>
      <c r="Z46" t="str">
        <f>'D-Risk'!$AO$27</f>
        <v>Uncalculated</v>
      </c>
      <c r="AA46" t="s">
        <v>2186</v>
      </c>
      <c r="AB46" t="s">
        <v>2186</v>
      </c>
      <c r="AC46" t="s">
        <v>2186</v>
      </c>
      <c r="AD46" t="s">
        <v>2186</v>
      </c>
      <c r="AE46" t="s">
        <v>2186</v>
      </c>
      <c r="AF46" t="s">
        <v>2186</v>
      </c>
      <c r="AG46" t="s">
        <v>2186</v>
      </c>
      <c r="AH46" t="s">
        <v>2186</v>
      </c>
      <c r="AI46" t="s">
        <v>2186</v>
      </c>
    </row>
    <row r="47" spans="1:35" x14ac:dyDescent="0.25">
      <c r="A47">
        <f t="shared" si="17"/>
        <v>0</v>
      </c>
      <c r="B47">
        <f t="shared" si="18"/>
        <v>0</v>
      </c>
      <c r="C47">
        <f t="shared" si="19"/>
        <v>0</v>
      </c>
      <c r="D47">
        <f t="shared" si="20"/>
        <v>0</v>
      </c>
      <c r="E47">
        <f t="shared" si="21"/>
        <v>0</v>
      </c>
      <c r="F47">
        <f>'D-RepLevel'!$F$2</f>
        <v>0</v>
      </c>
      <c r="G47">
        <f>'D-RepLevel'!$G$2</f>
        <v>0</v>
      </c>
      <c r="H47">
        <f t="shared" si="22"/>
        <v>0</v>
      </c>
      <c r="I47" t="str">
        <f>IF(ISERROR(INDEX('1b'!$C$5:$C$21, MATCH("Primary Business Line", '1b'!$H$5:$H$21, FALSE), 1)), "None Selected", INDEX('1b'!$C$5:$C$21, MATCH("Primary Business Line", '1b'!$H$5:$H$21, FALSE), 1))</f>
        <v>None Selected</v>
      </c>
      <c r="J47">
        <f>'D-3'!$J$2</f>
        <v>0</v>
      </c>
      <c r="K47">
        <f>COUNTIF('4a'!$E$6:$E$29, "Direct")+COUNTIF('4a'!$E$6:$E$29, "Indirect")+COUNTIF('4a'!$E$6:$E$29, "Both")</f>
        <v>0</v>
      </c>
      <c r="L47">
        <f t="shared" si="23"/>
        <v>0</v>
      </c>
      <c r="M47">
        <f t="shared" si="24"/>
        <v>0</v>
      </c>
      <c r="N47">
        <f t="shared" si="25"/>
        <v>0</v>
      </c>
      <c r="O47">
        <f t="shared" si="26"/>
        <v>2015</v>
      </c>
      <c r="P47">
        <f t="shared" si="27"/>
        <v>0</v>
      </c>
      <c r="Q47">
        <f t="shared" si="28"/>
        <v>0</v>
      </c>
      <c r="R47">
        <f t="shared" si="29"/>
        <v>0</v>
      </c>
      <c r="S47">
        <f t="shared" si="30"/>
        <v>0</v>
      </c>
      <c r="T47">
        <f>COUNTIF('9a'!$K$22:$K$32, "Yes")+COUNTIF('9a'!$O$22:$O$32, "Yes")</f>
        <v>0</v>
      </c>
      <c r="U47" t="str">
        <f t="shared" si="31"/>
        <v>No Expenditures</v>
      </c>
      <c r="V47" t="str">
        <f t="shared" si="32"/>
        <v>No Expenditures</v>
      </c>
      <c r="W47">
        <f t="shared" si="33"/>
        <v>0</v>
      </c>
      <c r="X47" t="str">
        <f>'D-Risk'!$AO$25</f>
        <v>Insufficient Data</v>
      </c>
      <c r="Y47" t="str">
        <f>'D-Risk'!$AO$26</f>
        <v>Insufficient Data</v>
      </c>
      <c r="Z47" t="str">
        <f>'D-Risk'!$AO$27</f>
        <v>Uncalculated</v>
      </c>
      <c r="AA47" t="s">
        <v>2186</v>
      </c>
      <c r="AB47" t="s">
        <v>2186</v>
      </c>
      <c r="AC47" t="s">
        <v>2186</v>
      </c>
      <c r="AD47" t="s">
        <v>2186</v>
      </c>
      <c r="AE47" t="s">
        <v>2186</v>
      </c>
      <c r="AF47" t="s">
        <v>2186</v>
      </c>
      <c r="AG47" t="s">
        <v>2186</v>
      </c>
      <c r="AH47" t="s">
        <v>2186</v>
      </c>
      <c r="AI47" t="s">
        <v>2186</v>
      </c>
    </row>
    <row r="48" spans="1:35" x14ac:dyDescent="0.25">
      <c r="A48">
        <f t="shared" si="17"/>
        <v>0</v>
      </c>
      <c r="B48">
        <f t="shared" si="18"/>
        <v>0</v>
      </c>
      <c r="C48">
        <f t="shared" si="19"/>
        <v>0</v>
      </c>
      <c r="D48">
        <f t="shared" si="20"/>
        <v>0</v>
      </c>
      <c r="E48">
        <f t="shared" si="21"/>
        <v>0</v>
      </c>
      <c r="F48">
        <f>'D-RepLevel'!$F$2</f>
        <v>0</v>
      </c>
      <c r="G48">
        <f>'D-RepLevel'!$G$2</f>
        <v>0</v>
      </c>
      <c r="H48">
        <f t="shared" si="22"/>
        <v>0</v>
      </c>
      <c r="I48" t="str">
        <f>IF(ISERROR(INDEX('1b'!$C$5:$C$21, MATCH("Primary Business Line", '1b'!$H$5:$H$21, FALSE), 1)), "None Selected", INDEX('1b'!$C$5:$C$21, MATCH("Primary Business Line", '1b'!$H$5:$H$21, FALSE), 1))</f>
        <v>None Selected</v>
      </c>
      <c r="J48">
        <f>'D-3'!$J$2</f>
        <v>0</v>
      </c>
      <c r="K48">
        <f>COUNTIF('4a'!$E$6:$E$29, "Direct")+COUNTIF('4a'!$E$6:$E$29, "Indirect")+COUNTIF('4a'!$E$6:$E$29, "Both")</f>
        <v>0</v>
      </c>
      <c r="L48">
        <f t="shared" si="23"/>
        <v>0</v>
      </c>
      <c r="M48">
        <f t="shared" si="24"/>
        <v>0</v>
      </c>
      <c r="N48">
        <f t="shared" si="25"/>
        <v>0</v>
      </c>
      <c r="O48">
        <f t="shared" si="26"/>
        <v>2015</v>
      </c>
      <c r="P48">
        <f t="shared" si="27"/>
        <v>0</v>
      </c>
      <c r="Q48">
        <f t="shared" si="28"/>
        <v>0</v>
      </c>
      <c r="R48">
        <f t="shared" si="29"/>
        <v>0</v>
      </c>
      <c r="S48">
        <f t="shared" si="30"/>
        <v>0</v>
      </c>
      <c r="T48">
        <f>COUNTIF('9a'!$K$22:$K$32, "Yes")+COUNTIF('9a'!$O$22:$O$32, "Yes")</f>
        <v>0</v>
      </c>
      <c r="U48" t="str">
        <f t="shared" si="31"/>
        <v>No Expenditures</v>
      </c>
      <c r="V48" t="str">
        <f t="shared" si="32"/>
        <v>No Expenditures</v>
      </c>
      <c r="W48">
        <f t="shared" si="33"/>
        <v>0</v>
      </c>
      <c r="X48" t="str">
        <f>'D-Risk'!$AO$25</f>
        <v>Insufficient Data</v>
      </c>
      <c r="Y48" t="str">
        <f>'D-Risk'!$AO$26</f>
        <v>Insufficient Data</v>
      </c>
      <c r="Z48" t="str">
        <f>'D-Risk'!$AO$27</f>
        <v>Uncalculated</v>
      </c>
      <c r="AA48" t="s">
        <v>2186</v>
      </c>
      <c r="AB48" t="s">
        <v>2186</v>
      </c>
      <c r="AC48" t="s">
        <v>2186</v>
      </c>
      <c r="AD48" t="s">
        <v>2186</v>
      </c>
      <c r="AE48" t="s">
        <v>2186</v>
      </c>
      <c r="AF48" t="s">
        <v>2186</v>
      </c>
      <c r="AG48" t="s">
        <v>2186</v>
      </c>
      <c r="AH48" t="s">
        <v>2186</v>
      </c>
      <c r="AI48" t="s">
        <v>2186</v>
      </c>
    </row>
    <row r="49" spans="1:35" x14ac:dyDescent="0.25">
      <c r="A49">
        <f t="shared" si="17"/>
        <v>0</v>
      </c>
      <c r="B49">
        <f t="shared" si="18"/>
        <v>0</v>
      </c>
      <c r="C49">
        <f t="shared" si="19"/>
        <v>0</v>
      </c>
      <c r="D49">
        <f t="shared" si="20"/>
        <v>0</v>
      </c>
      <c r="E49">
        <f t="shared" si="21"/>
        <v>0</v>
      </c>
      <c r="F49">
        <f>'D-RepLevel'!$F$2</f>
        <v>0</v>
      </c>
      <c r="G49">
        <f>'D-RepLevel'!$G$2</f>
        <v>0</v>
      </c>
      <c r="H49">
        <f t="shared" si="22"/>
        <v>0</v>
      </c>
      <c r="I49" t="str">
        <f>IF(ISERROR(INDEX('1b'!$C$5:$C$21, MATCH("Primary Business Line", '1b'!$H$5:$H$21, FALSE), 1)), "None Selected", INDEX('1b'!$C$5:$C$21, MATCH("Primary Business Line", '1b'!$H$5:$H$21, FALSE), 1))</f>
        <v>None Selected</v>
      </c>
      <c r="J49">
        <f>'D-3'!$J$2</f>
        <v>0</v>
      </c>
      <c r="K49">
        <f>COUNTIF('4a'!$E$6:$E$29, "Direct")+COUNTIF('4a'!$E$6:$E$29, "Indirect")+COUNTIF('4a'!$E$6:$E$29, "Both")</f>
        <v>0</v>
      </c>
      <c r="L49">
        <f t="shared" si="23"/>
        <v>0</v>
      </c>
      <c r="M49">
        <f t="shared" si="24"/>
        <v>0</v>
      </c>
      <c r="N49">
        <f t="shared" si="25"/>
        <v>0</v>
      </c>
      <c r="O49">
        <f t="shared" si="26"/>
        <v>2015</v>
      </c>
      <c r="P49">
        <f t="shared" si="27"/>
        <v>0</v>
      </c>
      <c r="Q49">
        <f t="shared" si="28"/>
        <v>0</v>
      </c>
      <c r="R49">
        <f t="shared" si="29"/>
        <v>0</v>
      </c>
      <c r="S49">
        <f t="shared" si="30"/>
        <v>0</v>
      </c>
      <c r="T49">
        <f>COUNTIF('9a'!$K$22:$K$32, "Yes")+COUNTIF('9a'!$O$22:$O$32, "Yes")</f>
        <v>0</v>
      </c>
      <c r="U49" t="str">
        <f t="shared" si="31"/>
        <v>No Expenditures</v>
      </c>
      <c r="V49" t="str">
        <f t="shared" si="32"/>
        <v>No Expenditures</v>
      </c>
      <c r="W49">
        <f t="shared" si="33"/>
        <v>0</v>
      </c>
      <c r="X49" t="str">
        <f>'D-Risk'!$AO$25</f>
        <v>Insufficient Data</v>
      </c>
      <c r="Y49" t="str">
        <f>'D-Risk'!$AO$26</f>
        <v>Insufficient Data</v>
      </c>
      <c r="Z49" t="str">
        <f>'D-Risk'!$AO$27</f>
        <v>Uncalculated</v>
      </c>
      <c r="AA49" t="s">
        <v>2186</v>
      </c>
      <c r="AB49" t="s">
        <v>2186</v>
      </c>
      <c r="AC49" t="s">
        <v>2186</v>
      </c>
      <c r="AD49" t="s">
        <v>2186</v>
      </c>
      <c r="AE49" t="s">
        <v>2186</v>
      </c>
      <c r="AF49" t="s">
        <v>2186</v>
      </c>
      <c r="AG49" t="s">
        <v>2186</v>
      </c>
      <c r="AH49" t="s">
        <v>2186</v>
      </c>
      <c r="AI49" t="s">
        <v>2186</v>
      </c>
    </row>
    <row r="50" spans="1:35" x14ac:dyDescent="0.25">
      <c r="A50">
        <f t="shared" si="17"/>
        <v>0</v>
      </c>
      <c r="B50">
        <f t="shared" si="18"/>
        <v>0</v>
      </c>
      <c r="C50">
        <f t="shared" si="19"/>
        <v>0</v>
      </c>
      <c r="D50">
        <f t="shared" si="20"/>
        <v>0</v>
      </c>
      <c r="E50">
        <f t="shared" si="21"/>
        <v>0</v>
      </c>
      <c r="F50">
        <f>'D-RepLevel'!$F$2</f>
        <v>0</v>
      </c>
      <c r="G50">
        <f>'D-RepLevel'!$G$2</f>
        <v>0</v>
      </c>
      <c r="H50">
        <f t="shared" si="22"/>
        <v>0</v>
      </c>
      <c r="I50" t="str">
        <f>IF(ISERROR(INDEX('1b'!$C$5:$C$21, MATCH("Primary Business Line", '1b'!$H$5:$H$21, FALSE), 1)), "None Selected", INDEX('1b'!$C$5:$C$21, MATCH("Primary Business Line", '1b'!$H$5:$H$21, FALSE), 1))</f>
        <v>None Selected</v>
      </c>
      <c r="J50">
        <f>'D-3'!$J$2</f>
        <v>0</v>
      </c>
      <c r="K50">
        <f>COUNTIF('4a'!$E$6:$E$29, "Direct")+COUNTIF('4a'!$E$6:$E$29, "Indirect")+COUNTIF('4a'!$E$6:$E$29, "Both")</f>
        <v>0</v>
      </c>
      <c r="L50">
        <f t="shared" si="23"/>
        <v>0</v>
      </c>
      <c r="M50">
        <f t="shared" si="24"/>
        <v>0</v>
      </c>
      <c r="N50">
        <f t="shared" si="25"/>
        <v>0</v>
      </c>
      <c r="O50">
        <f t="shared" si="26"/>
        <v>2015</v>
      </c>
      <c r="P50">
        <f t="shared" si="27"/>
        <v>0</v>
      </c>
      <c r="Q50">
        <f t="shared" si="28"/>
        <v>0</v>
      </c>
      <c r="R50">
        <f t="shared" si="29"/>
        <v>0</v>
      </c>
      <c r="S50">
        <f t="shared" si="30"/>
        <v>0</v>
      </c>
      <c r="T50">
        <f>COUNTIF('9a'!$K$22:$K$32, "Yes")+COUNTIF('9a'!$O$22:$O$32, "Yes")</f>
        <v>0</v>
      </c>
      <c r="U50" t="str">
        <f t="shared" si="31"/>
        <v>No Expenditures</v>
      </c>
      <c r="V50" t="str">
        <f t="shared" si="32"/>
        <v>No Expenditures</v>
      </c>
      <c r="W50">
        <f t="shared" si="33"/>
        <v>0</v>
      </c>
      <c r="X50" t="str">
        <f>'D-Risk'!$AO$25</f>
        <v>Insufficient Data</v>
      </c>
      <c r="Y50" t="str">
        <f>'D-Risk'!$AO$26</f>
        <v>Insufficient Data</v>
      </c>
      <c r="Z50" t="str">
        <f>'D-Risk'!$AO$27</f>
        <v>Uncalculated</v>
      </c>
      <c r="AA50" t="s">
        <v>2186</v>
      </c>
      <c r="AB50" t="s">
        <v>2186</v>
      </c>
      <c r="AC50" t="s">
        <v>2186</v>
      </c>
      <c r="AD50" t="s">
        <v>2186</v>
      </c>
      <c r="AE50" t="s">
        <v>2186</v>
      </c>
      <c r="AF50" t="s">
        <v>2186</v>
      </c>
      <c r="AG50" t="s">
        <v>2186</v>
      </c>
      <c r="AH50" t="s">
        <v>2186</v>
      </c>
      <c r="AI50" t="s">
        <v>2186</v>
      </c>
    </row>
    <row r="51" spans="1:35" x14ac:dyDescent="0.25">
      <c r="A51">
        <f t="shared" si="17"/>
        <v>0</v>
      </c>
      <c r="B51">
        <f t="shared" si="18"/>
        <v>0</v>
      </c>
      <c r="C51">
        <f t="shared" si="19"/>
        <v>0</v>
      </c>
      <c r="D51">
        <f t="shared" si="20"/>
        <v>0</v>
      </c>
      <c r="E51">
        <f t="shared" si="21"/>
        <v>0</v>
      </c>
      <c r="F51">
        <f>'D-RepLevel'!$F$2</f>
        <v>0</v>
      </c>
      <c r="G51">
        <f>'D-RepLevel'!$G$2</f>
        <v>0</v>
      </c>
      <c r="H51">
        <f t="shared" si="22"/>
        <v>0</v>
      </c>
      <c r="I51" t="str">
        <f>IF(ISERROR(INDEX('1b'!$C$5:$C$21, MATCH("Primary Business Line", '1b'!$H$5:$H$21, FALSE), 1)), "None Selected", INDEX('1b'!$C$5:$C$21, MATCH("Primary Business Line", '1b'!$H$5:$H$21, FALSE), 1))</f>
        <v>None Selected</v>
      </c>
      <c r="J51">
        <f>'D-3'!$J$2</f>
        <v>0</v>
      </c>
      <c r="K51">
        <f>COUNTIF('4a'!$E$6:$E$29, "Direct")+COUNTIF('4a'!$E$6:$E$29, "Indirect")+COUNTIF('4a'!$E$6:$E$29, "Both")</f>
        <v>0</v>
      </c>
      <c r="L51">
        <f t="shared" si="23"/>
        <v>0</v>
      </c>
      <c r="M51">
        <f t="shared" si="24"/>
        <v>0</v>
      </c>
      <c r="N51">
        <f t="shared" si="25"/>
        <v>0</v>
      </c>
      <c r="O51">
        <f t="shared" si="26"/>
        <v>2015</v>
      </c>
      <c r="P51">
        <f t="shared" si="27"/>
        <v>0</v>
      </c>
      <c r="Q51">
        <f t="shared" si="28"/>
        <v>0</v>
      </c>
      <c r="R51">
        <f t="shared" si="29"/>
        <v>0</v>
      </c>
      <c r="S51">
        <f t="shared" si="30"/>
        <v>0</v>
      </c>
      <c r="T51">
        <f>COUNTIF('9a'!$K$22:$K$32, "Yes")+COUNTIF('9a'!$O$22:$O$32, "Yes")</f>
        <v>0</v>
      </c>
      <c r="U51" t="str">
        <f t="shared" si="31"/>
        <v>No Expenditures</v>
      </c>
      <c r="V51" t="str">
        <f t="shared" si="32"/>
        <v>No Expenditures</v>
      </c>
      <c r="W51">
        <f t="shared" si="33"/>
        <v>0</v>
      </c>
      <c r="X51" t="str">
        <f>'D-Risk'!$AO$25</f>
        <v>Insufficient Data</v>
      </c>
      <c r="Y51" t="str">
        <f>'D-Risk'!$AO$26</f>
        <v>Insufficient Data</v>
      </c>
      <c r="Z51" t="str">
        <f>'D-Risk'!$AO$27</f>
        <v>Uncalculated</v>
      </c>
      <c r="AA51" t="s">
        <v>2186</v>
      </c>
      <c r="AB51" t="s">
        <v>2186</v>
      </c>
      <c r="AC51" t="s">
        <v>2186</v>
      </c>
      <c r="AD51" t="s">
        <v>2186</v>
      </c>
      <c r="AE51" t="s">
        <v>2186</v>
      </c>
      <c r="AF51" t="s">
        <v>2186</v>
      </c>
      <c r="AG51" t="s">
        <v>2186</v>
      </c>
      <c r="AH51" t="s">
        <v>2186</v>
      </c>
      <c r="AI51" t="s">
        <v>2186</v>
      </c>
    </row>
    <row r="52" spans="1:35" x14ac:dyDescent="0.25">
      <c r="A52">
        <f t="shared" si="17"/>
        <v>0</v>
      </c>
      <c r="B52">
        <f t="shared" si="18"/>
        <v>0</v>
      </c>
      <c r="C52">
        <f t="shared" si="19"/>
        <v>0</v>
      </c>
      <c r="D52">
        <f t="shared" si="20"/>
        <v>0</v>
      </c>
      <c r="E52">
        <f t="shared" si="21"/>
        <v>0</v>
      </c>
      <c r="F52">
        <f>'D-RepLevel'!$F$2</f>
        <v>0</v>
      </c>
      <c r="G52">
        <f>'D-RepLevel'!$G$2</f>
        <v>0</v>
      </c>
      <c r="H52">
        <f t="shared" si="22"/>
        <v>0</v>
      </c>
      <c r="I52" t="str">
        <f>IF(ISERROR(INDEX('1b'!$C$5:$C$21, MATCH("Primary Business Line", '1b'!$H$5:$H$21, FALSE), 1)), "None Selected", INDEX('1b'!$C$5:$C$21, MATCH("Primary Business Line", '1b'!$H$5:$H$21, FALSE), 1))</f>
        <v>None Selected</v>
      </c>
      <c r="J52">
        <f>'D-3'!$J$2</f>
        <v>0</v>
      </c>
      <c r="K52">
        <f>COUNTIF('4a'!$E$6:$E$29, "Direct")+COUNTIF('4a'!$E$6:$E$29, "Indirect")+COUNTIF('4a'!$E$6:$E$29, "Both")</f>
        <v>0</v>
      </c>
      <c r="L52">
        <f t="shared" si="23"/>
        <v>0</v>
      </c>
      <c r="M52">
        <f t="shared" si="24"/>
        <v>0</v>
      </c>
      <c r="N52">
        <f t="shared" si="25"/>
        <v>0</v>
      </c>
      <c r="O52">
        <f t="shared" si="26"/>
        <v>2015</v>
      </c>
      <c r="P52">
        <f t="shared" si="27"/>
        <v>0</v>
      </c>
      <c r="Q52">
        <f t="shared" si="28"/>
        <v>0</v>
      </c>
      <c r="R52">
        <f t="shared" si="29"/>
        <v>0</v>
      </c>
      <c r="S52">
        <f t="shared" si="30"/>
        <v>0</v>
      </c>
      <c r="T52">
        <f>COUNTIF('9a'!$K$22:$K$32, "Yes")+COUNTIF('9a'!$O$22:$O$32, "Yes")</f>
        <v>0</v>
      </c>
      <c r="U52" t="str">
        <f t="shared" si="31"/>
        <v>No Expenditures</v>
      </c>
      <c r="V52" t="str">
        <f t="shared" si="32"/>
        <v>No Expenditures</v>
      </c>
      <c r="W52">
        <f t="shared" si="33"/>
        <v>0</v>
      </c>
      <c r="X52" t="str">
        <f>'D-Risk'!$AO$25</f>
        <v>Insufficient Data</v>
      </c>
      <c r="Y52" t="str">
        <f>'D-Risk'!$AO$26</f>
        <v>Insufficient Data</v>
      </c>
      <c r="Z52" t="str">
        <f>'D-Risk'!$AO$27</f>
        <v>Uncalculated</v>
      </c>
      <c r="AA52" t="s">
        <v>2186</v>
      </c>
      <c r="AB52" t="s">
        <v>2186</v>
      </c>
      <c r="AC52" t="s">
        <v>2186</v>
      </c>
      <c r="AD52" t="s">
        <v>2186</v>
      </c>
      <c r="AE52" t="s">
        <v>2186</v>
      </c>
      <c r="AF52" t="s">
        <v>2186</v>
      </c>
      <c r="AG52" t="s">
        <v>2186</v>
      </c>
      <c r="AH52" t="s">
        <v>2186</v>
      </c>
      <c r="AI52" t="s">
        <v>2186</v>
      </c>
    </row>
    <row r="53" spans="1:35" x14ac:dyDescent="0.25">
      <c r="A53">
        <f t="shared" si="17"/>
        <v>0</v>
      </c>
      <c r="B53">
        <f t="shared" si="18"/>
        <v>0</v>
      </c>
      <c r="C53">
        <f t="shared" si="19"/>
        <v>0</v>
      </c>
      <c r="D53">
        <f t="shared" si="20"/>
        <v>0</v>
      </c>
      <c r="E53">
        <f t="shared" si="21"/>
        <v>0</v>
      </c>
      <c r="F53">
        <f>'D-RepLevel'!$F$2</f>
        <v>0</v>
      </c>
      <c r="G53">
        <f>'D-RepLevel'!$G$2</f>
        <v>0</v>
      </c>
      <c r="H53">
        <f t="shared" si="22"/>
        <v>0</v>
      </c>
      <c r="I53" t="str">
        <f>IF(ISERROR(INDEX('1b'!$C$5:$C$21, MATCH("Primary Business Line", '1b'!$H$5:$H$21, FALSE), 1)), "None Selected", INDEX('1b'!$C$5:$C$21, MATCH("Primary Business Line", '1b'!$H$5:$H$21, FALSE), 1))</f>
        <v>None Selected</v>
      </c>
      <c r="J53">
        <f>'D-3'!$J$2</f>
        <v>0</v>
      </c>
      <c r="K53">
        <f>COUNTIF('4a'!$E$6:$E$29, "Direct")+COUNTIF('4a'!$E$6:$E$29, "Indirect")+COUNTIF('4a'!$E$6:$E$29, "Both")</f>
        <v>0</v>
      </c>
      <c r="L53">
        <f t="shared" si="23"/>
        <v>0</v>
      </c>
      <c r="M53">
        <f t="shared" si="24"/>
        <v>0</v>
      </c>
      <c r="N53">
        <f t="shared" si="25"/>
        <v>0</v>
      </c>
      <c r="O53">
        <f t="shared" si="26"/>
        <v>2015</v>
      </c>
      <c r="P53">
        <f t="shared" si="27"/>
        <v>0</v>
      </c>
      <c r="Q53">
        <f t="shared" si="28"/>
        <v>0</v>
      </c>
      <c r="R53">
        <f t="shared" si="29"/>
        <v>0</v>
      </c>
      <c r="S53">
        <f t="shared" si="30"/>
        <v>0</v>
      </c>
      <c r="T53">
        <f>COUNTIF('9a'!$K$22:$K$32, "Yes")+COUNTIF('9a'!$O$22:$O$32, "Yes")</f>
        <v>0</v>
      </c>
      <c r="U53" t="str">
        <f t="shared" si="31"/>
        <v>No Expenditures</v>
      </c>
      <c r="V53" t="str">
        <f t="shared" si="32"/>
        <v>No Expenditures</v>
      </c>
      <c r="W53">
        <f t="shared" si="33"/>
        <v>0</v>
      </c>
      <c r="X53" t="str">
        <f>'D-Risk'!$AO$25</f>
        <v>Insufficient Data</v>
      </c>
      <c r="Y53" t="str">
        <f>'D-Risk'!$AO$26</f>
        <v>Insufficient Data</v>
      </c>
      <c r="Z53" t="str">
        <f>'D-Risk'!$AO$27</f>
        <v>Uncalculated</v>
      </c>
      <c r="AA53" t="s">
        <v>2186</v>
      </c>
      <c r="AB53" t="s">
        <v>2186</v>
      </c>
      <c r="AC53" t="s">
        <v>2186</v>
      </c>
      <c r="AD53" t="s">
        <v>2186</v>
      </c>
      <c r="AE53" t="s">
        <v>2186</v>
      </c>
      <c r="AF53" t="s">
        <v>2186</v>
      </c>
      <c r="AG53" t="s">
        <v>2186</v>
      </c>
      <c r="AH53" t="s">
        <v>2186</v>
      </c>
      <c r="AI53" t="s">
        <v>2186</v>
      </c>
    </row>
    <row r="54" spans="1:35" x14ac:dyDescent="0.25">
      <c r="A54">
        <f t="shared" si="17"/>
        <v>0</v>
      </c>
      <c r="B54">
        <f t="shared" si="18"/>
        <v>0</v>
      </c>
      <c r="C54">
        <f t="shared" si="19"/>
        <v>0</v>
      </c>
      <c r="D54">
        <f t="shared" si="20"/>
        <v>0</v>
      </c>
      <c r="E54">
        <f t="shared" si="21"/>
        <v>0</v>
      </c>
      <c r="F54">
        <f>'D-RepLevel'!$F$2</f>
        <v>0</v>
      </c>
      <c r="G54">
        <f>'D-RepLevel'!$G$2</f>
        <v>0</v>
      </c>
      <c r="H54">
        <f t="shared" si="22"/>
        <v>0</v>
      </c>
      <c r="I54" t="str">
        <f>IF(ISERROR(INDEX('1b'!$C$5:$C$21, MATCH("Primary Business Line", '1b'!$H$5:$H$21, FALSE), 1)), "None Selected", INDEX('1b'!$C$5:$C$21, MATCH("Primary Business Line", '1b'!$H$5:$H$21, FALSE), 1))</f>
        <v>None Selected</v>
      </c>
      <c r="J54">
        <f>'D-3'!$J$2</f>
        <v>0</v>
      </c>
      <c r="K54">
        <f>COUNTIF('4a'!$E$6:$E$29, "Direct")+COUNTIF('4a'!$E$6:$E$29, "Indirect")+COUNTIF('4a'!$E$6:$E$29, "Both")</f>
        <v>0</v>
      </c>
      <c r="L54">
        <f t="shared" si="23"/>
        <v>0</v>
      </c>
      <c r="M54">
        <f t="shared" si="24"/>
        <v>0</v>
      </c>
      <c r="N54">
        <f t="shared" si="25"/>
        <v>0</v>
      </c>
      <c r="O54">
        <f t="shared" si="26"/>
        <v>2015</v>
      </c>
      <c r="P54">
        <f t="shared" si="27"/>
        <v>0</v>
      </c>
      <c r="Q54">
        <f t="shared" si="28"/>
        <v>0</v>
      </c>
      <c r="R54">
        <f t="shared" si="29"/>
        <v>0</v>
      </c>
      <c r="S54">
        <f t="shared" si="30"/>
        <v>0</v>
      </c>
      <c r="T54">
        <f>COUNTIF('9a'!$K$22:$K$32, "Yes")+COUNTIF('9a'!$O$22:$O$32, "Yes")</f>
        <v>0</v>
      </c>
      <c r="U54" t="str">
        <f t="shared" si="31"/>
        <v>No Expenditures</v>
      </c>
      <c r="V54" t="str">
        <f t="shared" si="32"/>
        <v>No Expenditures</v>
      </c>
      <c r="W54">
        <f t="shared" si="33"/>
        <v>0</v>
      </c>
      <c r="X54" t="str">
        <f>'D-Risk'!$AO$25</f>
        <v>Insufficient Data</v>
      </c>
      <c r="Y54" t="str">
        <f>'D-Risk'!$AO$26</f>
        <v>Insufficient Data</v>
      </c>
      <c r="Z54" t="str">
        <f>'D-Risk'!$AO$27</f>
        <v>Uncalculated</v>
      </c>
      <c r="AA54" t="s">
        <v>2186</v>
      </c>
      <c r="AB54" t="s">
        <v>2186</v>
      </c>
      <c r="AC54" t="s">
        <v>2186</v>
      </c>
      <c r="AD54" t="s">
        <v>2186</v>
      </c>
      <c r="AE54" t="s">
        <v>2186</v>
      </c>
      <c r="AF54" t="s">
        <v>2186</v>
      </c>
      <c r="AG54" t="s">
        <v>2186</v>
      </c>
      <c r="AH54" t="s">
        <v>2186</v>
      </c>
      <c r="AI54" t="s">
        <v>2186</v>
      </c>
    </row>
    <row r="55" spans="1:35" x14ac:dyDescent="0.25">
      <c r="A55">
        <f t="shared" si="17"/>
        <v>0</v>
      </c>
      <c r="B55">
        <f t="shared" si="18"/>
        <v>0</v>
      </c>
      <c r="C55">
        <f t="shared" si="19"/>
        <v>0</v>
      </c>
      <c r="D55">
        <f t="shared" si="20"/>
        <v>0</v>
      </c>
      <c r="E55">
        <f t="shared" si="21"/>
        <v>0</v>
      </c>
      <c r="F55">
        <f>'D-RepLevel'!$F$2</f>
        <v>0</v>
      </c>
      <c r="G55">
        <f>'D-RepLevel'!$G$2</f>
        <v>0</v>
      </c>
      <c r="H55">
        <f t="shared" si="22"/>
        <v>0</v>
      </c>
      <c r="I55" t="str">
        <f>IF(ISERROR(INDEX('1b'!$C$5:$C$21, MATCH("Primary Business Line", '1b'!$H$5:$H$21, FALSE), 1)), "None Selected", INDEX('1b'!$C$5:$C$21, MATCH("Primary Business Line", '1b'!$H$5:$H$21, FALSE), 1))</f>
        <v>None Selected</v>
      </c>
      <c r="J55">
        <f>'D-3'!$J$2</f>
        <v>0</v>
      </c>
      <c r="K55">
        <f>COUNTIF('4a'!$E$6:$E$29, "Direct")+COUNTIF('4a'!$E$6:$E$29, "Indirect")+COUNTIF('4a'!$E$6:$E$29, "Both")</f>
        <v>0</v>
      </c>
      <c r="L55">
        <f t="shared" si="23"/>
        <v>0</v>
      </c>
      <c r="M55">
        <f t="shared" si="24"/>
        <v>0</v>
      </c>
      <c r="N55">
        <f t="shared" si="25"/>
        <v>0</v>
      </c>
      <c r="O55">
        <f t="shared" si="26"/>
        <v>2015</v>
      </c>
      <c r="P55">
        <f t="shared" si="27"/>
        <v>0</v>
      </c>
      <c r="Q55">
        <f t="shared" si="28"/>
        <v>0</v>
      </c>
      <c r="R55">
        <f t="shared" si="29"/>
        <v>0</v>
      </c>
      <c r="S55">
        <f t="shared" si="30"/>
        <v>0</v>
      </c>
      <c r="T55">
        <f>COUNTIF('9a'!$K$22:$K$32, "Yes")+COUNTIF('9a'!$O$22:$O$32, "Yes")</f>
        <v>0</v>
      </c>
      <c r="U55" t="str">
        <f t="shared" si="31"/>
        <v>No Expenditures</v>
      </c>
      <c r="V55" t="str">
        <f t="shared" si="32"/>
        <v>No Expenditures</v>
      </c>
      <c r="W55">
        <f t="shared" si="33"/>
        <v>0</v>
      </c>
      <c r="X55" t="str">
        <f>'D-Risk'!$AO$25</f>
        <v>Insufficient Data</v>
      </c>
      <c r="Y55" t="str">
        <f>'D-Risk'!$AO$26</f>
        <v>Insufficient Data</v>
      </c>
      <c r="Z55" t="str">
        <f>'D-Risk'!$AO$27</f>
        <v>Uncalculated</v>
      </c>
      <c r="AA55" t="s">
        <v>2186</v>
      </c>
      <c r="AB55" t="s">
        <v>2186</v>
      </c>
      <c r="AC55" t="s">
        <v>2186</v>
      </c>
      <c r="AD55" t="s">
        <v>2186</v>
      </c>
      <c r="AE55" t="s">
        <v>2186</v>
      </c>
      <c r="AF55" t="s">
        <v>2186</v>
      </c>
      <c r="AG55" t="s">
        <v>2186</v>
      </c>
      <c r="AH55" t="s">
        <v>2186</v>
      </c>
      <c r="AI55" t="s">
        <v>2186</v>
      </c>
    </row>
    <row r="56" spans="1:35" x14ac:dyDescent="0.25">
      <c r="A56">
        <f t="shared" si="17"/>
        <v>0</v>
      </c>
      <c r="B56">
        <f t="shared" si="18"/>
        <v>0</v>
      </c>
      <c r="C56">
        <f t="shared" si="19"/>
        <v>0</v>
      </c>
      <c r="D56">
        <f t="shared" si="20"/>
        <v>0</v>
      </c>
      <c r="E56">
        <f t="shared" si="21"/>
        <v>0</v>
      </c>
      <c r="F56">
        <f>'D-RepLevel'!$F$2</f>
        <v>0</v>
      </c>
      <c r="G56">
        <f>'D-RepLevel'!$G$2</f>
        <v>0</v>
      </c>
      <c r="H56">
        <f t="shared" si="22"/>
        <v>0</v>
      </c>
      <c r="I56" t="str">
        <f>IF(ISERROR(INDEX('1b'!$C$5:$C$21, MATCH("Primary Business Line", '1b'!$H$5:$H$21, FALSE), 1)), "None Selected", INDEX('1b'!$C$5:$C$21, MATCH("Primary Business Line", '1b'!$H$5:$H$21, FALSE), 1))</f>
        <v>None Selected</v>
      </c>
      <c r="J56">
        <f>'D-3'!$J$2</f>
        <v>0</v>
      </c>
      <c r="K56">
        <f>COUNTIF('4a'!$E$6:$E$29, "Direct")+COUNTIF('4a'!$E$6:$E$29, "Indirect")+COUNTIF('4a'!$E$6:$E$29, "Both")</f>
        <v>0</v>
      </c>
      <c r="L56">
        <f t="shared" si="23"/>
        <v>0</v>
      </c>
      <c r="M56">
        <f t="shared" si="24"/>
        <v>0</v>
      </c>
      <c r="N56">
        <f t="shared" si="25"/>
        <v>0</v>
      </c>
      <c r="O56">
        <f t="shared" si="26"/>
        <v>2015</v>
      </c>
      <c r="P56">
        <f t="shared" si="27"/>
        <v>0</v>
      </c>
      <c r="Q56">
        <f t="shared" si="28"/>
        <v>0</v>
      </c>
      <c r="R56">
        <f t="shared" si="29"/>
        <v>0</v>
      </c>
      <c r="S56">
        <f t="shared" si="30"/>
        <v>0</v>
      </c>
      <c r="T56">
        <f>COUNTIF('9a'!$K$22:$K$32, "Yes")+COUNTIF('9a'!$O$22:$O$32, "Yes")</f>
        <v>0</v>
      </c>
      <c r="U56" t="str">
        <f t="shared" si="31"/>
        <v>No Expenditures</v>
      </c>
      <c r="V56" t="str">
        <f t="shared" si="32"/>
        <v>No Expenditures</v>
      </c>
      <c r="W56">
        <f t="shared" si="33"/>
        <v>0</v>
      </c>
      <c r="X56" t="str">
        <f>'D-Risk'!$AO$25</f>
        <v>Insufficient Data</v>
      </c>
      <c r="Y56" t="str">
        <f>'D-Risk'!$AO$26</f>
        <v>Insufficient Data</v>
      </c>
      <c r="Z56" t="str">
        <f>'D-Risk'!$AO$27</f>
        <v>Uncalculated</v>
      </c>
      <c r="AA56" t="s">
        <v>2186</v>
      </c>
      <c r="AB56" t="s">
        <v>2186</v>
      </c>
      <c r="AC56" t="s">
        <v>2186</v>
      </c>
      <c r="AD56" t="s">
        <v>2186</v>
      </c>
      <c r="AE56" t="s">
        <v>2186</v>
      </c>
      <c r="AF56" t="s">
        <v>2186</v>
      </c>
      <c r="AG56" t="s">
        <v>2186</v>
      </c>
      <c r="AH56" t="s">
        <v>2186</v>
      </c>
      <c r="AI56" t="s">
        <v>2186</v>
      </c>
    </row>
    <row r="57" spans="1:35" x14ac:dyDescent="0.25">
      <c r="A57">
        <f t="shared" si="17"/>
        <v>0</v>
      </c>
      <c r="B57">
        <f t="shared" si="18"/>
        <v>0</v>
      </c>
      <c r="C57">
        <f t="shared" si="19"/>
        <v>0</v>
      </c>
      <c r="D57">
        <f t="shared" si="20"/>
        <v>0</v>
      </c>
      <c r="E57">
        <f t="shared" si="21"/>
        <v>0</v>
      </c>
      <c r="F57">
        <f>'D-RepLevel'!$F$2</f>
        <v>0</v>
      </c>
      <c r="G57">
        <f>'D-RepLevel'!$G$2</f>
        <v>0</v>
      </c>
      <c r="H57">
        <f t="shared" si="22"/>
        <v>0</v>
      </c>
      <c r="I57" t="str">
        <f>IF(ISERROR(INDEX('1b'!$C$5:$C$21, MATCH("Primary Business Line", '1b'!$H$5:$H$21, FALSE), 1)), "None Selected", INDEX('1b'!$C$5:$C$21, MATCH("Primary Business Line", '1b'!$H$5:$H$21, FALSE), 1))</f>
        <v>None Selected</v>
      </c>
      <c r="J57">
        <f>'D-3'!$J$2</f>
        <v>0</v>
      </c>
      <c r="K57">
        <f>COUNTIF('4a'!$E$6:$E$29, "Direct")+COUNTIF('4a'!$E$6:$E$29, "Indirect")+COUNTIF('4a'!$E$6:$E$29, "Both")</f>
        <v>0</v>
      </c>
      <c r="L57">
        <f t="shared" si="23"/>
        <v>0</v>
      </c>
      <c r="M57">
        <f t="shared" si="24"/>
        <v>0</v>
      </c>
      <c r="N57">
        <f t="shared" si="25"/>
        <v>0</v>
      </c>
      <c r="O57">
        <f t="shared" si="26"/>
        <v>2015</v>
      </c>
      <c r="P57">
        <f t="shared" si="27"/>
        <v>0</v>
      </c>
      <c r="Q57">
        <f t="shared" si="28"/>
        <v>0</v>
      </c>
      <c r="R57">
        <f t="shared" si="29"/>
        <v>0</v>
      </c>
      <c r="S57">
        <f t="shared" si="30"/>
        <v>0</v>
      </c>
      <c r="T57">
        <f>COUNTIF('9a'!$K$22:$K$32, "Yes")+COUNTIF('9a'!$O$22:$O$32, "Yes")</f>
        <v>0</v>
      </c>
      <c r="U57" t="str">
        <f t="shared" si="31"/>
        <v>No Expenditures</v>
      </c>
      <c r="V57" t="str">
        <f t="shared" si="32"/>
        <v>No Expenditures</v>
      </c>
      <c r="W57">
        <f t="shared" si="33"/>
        <v>0</v>
      </c>
      <c r="X57" t="str">
        <f>'D-Risk'!$AO$25</f>
        <v>Insufficient Data</v>
      </c>
      <c r="Y57" t="str">
        <f>'D-Risk'!$AO$26</f>
        <v>Insufficient Data</v>
      </c>
      <c r="Z57" t="str">
        <f>'D-Risk'!$AO$27</f>
        <v>Uncalculated</v>
      </c>
      <c r="AA57" t="s">
        <v>2186</v>
      </c>
      <c r="AB57" t="s">
        <v>2186</v>
      </c>
      <c r="AC57" t="s">
        <v>2186</v>
      </c>
      <c r="AD57" t="s">
        <v>2186</v>
      </c>
      <c r="AE57" t="s">
        <v>2186</v>
      </c>
      <c r="AF57" t="s">
        <v>2186</v>
      </c>
      <c r="AG57" t="s">
        <v>2186</v>
      </c>
      <c r="AH57" t="s">
        <v>2186</v>
      </c>
      <c r="AI57" t="s">
        <v>2186</v>
      </c>
    </row>
    <row r="58" spans="1:35" x14ac:dyDescent="0.25">
      <c r="A58">
        <f t="shared" si="17"/>
        <v>0</v>
      </c>
      <c r="B58">
        <f t="shared" si="18"/>
        <v>0</v>
      </c>
      <c r="C58">
        <f t="shared" si="19"/>
        <v>0</v>
      </c>
      <c r="D58">
        <f t="shared" si="20"/>
        <v>0</v>
      </c>
      <c r="E58">
        <f t="shared" si="21"/>
        <v>0</v>
      </c>
      <c r="F58">
        <f>'D-RepLevel'!$F$2</f>
        <v>0</v>
      </c>
      <c r="G58">
        <f>'D-RepLevel'!$G$2</f>
        <v>0</v>
      </c>
      <c r="H58">
        <f t="shared" si="22"/>
        <v>0</v>
      </c>
      <c r="I58" t="str">
        <f>IF(ISERROR(INDEX('1b'!$C$5:$C$21, MATCH("Primary Business Line", '1b'!$H$5:$H$21, FALSE), 1)), "None Selected", INDEX('1b'!$C$5:$C$21, MATCH("Primary Business Line", '1b'!$H$5:$H$21, FALSE), 1))</f>
        <v>None Selected</v>
      </c>
      <c r="J58">
        <f>'D-3'!$J$2</f>
        <v>0</v>
      </c>
      <c r="K58">
        <f>COUNTIF('4a'!$E$6:$E$29, "Direct")+COUNTIF('4a'!$E$6:$E$29, "Indirect")+COUNTIF('4a'!$E$6:$E$29, "Both")</f>
        <v>0</v>
      </c>
      <c r="L58">
        <f t="shared" si="23"/>
        <v>0</v>
      </c>
      <c r="M58">
        <f t="shared" si="24"/>
        <v>0</v>
      </c>
      <c r="N58">
        <f t="shared" si="25"/>
        <v>0</v>
      </c>
      <c r="O58">
        <f t="shared" si="26"/>
        <v>2015</v>
      </c>
      <c r="P58">
        <f t="shared" si="27"/>
        <v>0</v>
      </c>
      <c r="Q58">
        <f t="shared" si="28"/>
        <v>0</v>
      </c>
      <c r="R58">
        <f t="shared" si="29"/>
        <v>0</v>
      </c>
      <c r="S58">
        <f t="shared" si="30"/>
        <v>0</v>
      </c>
      <c r="T58">
        <f>COUNTIF('9a'!$K$22:$K$32, "Yes")+COUNTIF('9a'!$O$22:$O$32, "Yes")</f>
        <v>0</v>
      </c>
      <c r="U58" t="str">
        <f t="shared" si="31"/>
        <v>No Expenditures</v>
      </c>
      <c r="V58" t="str">
        <f t="shared" si="32"/>
        <v>No Expenditures</v>
      </c>
      <c r="W58">
        <f t="shared" si="33"/>
        <v>0</v>
      </c>
      <c r="X58" t="str">
        <f>'D-Risk'!$AO$25</f>
        <v>Insufficient Data</v>
      </c>
      <c r="Y58" t="str">
        <f>'D-Risk'!$AO$26</f>
        <v>Insufficient Data</v>
      </c>
      <c r="Z58" t="str">
        <f>'D-Risk'!$AO$27</f>
        <v>Uncalculated</v>
      </c>
      <c r="AA58" t="s">
        <v>2186</v>
      </c>
      <c r="AB58" t="s">
        <v>2186</v>
      </c>
      <c r="AC58" t="s">
        <v>2186</v>
      </c>
      <c r="AD58" t="s">
        <v>2186</v>
      </c>
      <c r="AE58" t="s">
        <v>2186</v>
      </c>
      <c r="AF58" t="s">
        <v>2186</v>
      </c>
      <c r="AG58" t="s">
        <v>2186</v>
      </c>
      <c r="AH58" t="s">
        <v>2186</v>
      </c>
      <c r="AI58" t="s">
        <v>2186</v>
      </c>
    </row>
    <row r="59" spans="1:35" x14ac:dyDescent="0.25">
      <c r="A59">
        <f t="shared" si="17"/>
        <v>0</v>
      </c>
      <c r="B59">
        <f t="shared" si="18"/>
        <v>0</v>
      </c>
      <c r="C59">
        <f t="shared" si="19"/>
        <v>0</v>
      </c>
      <c r="D59">
        <f t="shared" si="20"/>
        <v>0</v>
      </c>
      <c r="E59">
        <f t="shared" si="21"/>
        <v>0</v>
      </c>
      <c r="F59">
        <f>'D-RepLevel'!$F$2</f>
        <v>0</v>
      </c>
      <c r="G59">
        <f>'D-RepLevel'!$G$2</f>
        <v>0</v>
      </c>
      <c r="H59">
        <f t="shared" si="22"/>
        <v>0</v>
      </c>
      <c r="I59" t="str">
        <f>IF(ISERROR(INDEX('1b'!$C$5:$C$21, MATCH("Primary Business Line", '1b'!$H$5:$H$21, FALSE), 1)), "None Selected", INDEX('1b'!$C$5:$C$21, MATCH("Primary Business Line", '1b'!$H$5:$H$21, FALSE), 1))</f>
        <v>None Selected</v>
      </c>
      <c r="J59">
        <f>'D-3'!$J$2</f>
        <v>0</v>
      </c>
      <c r="K59">
        <f>COUNTIF('4a'!$E$6:$E$29, "Direct")+COUNTIF('4a'!$E$6:$E$29, "Indirect")+COUNTIF('4a'!$E$6:$E$29, "Both")</f>
        <v>0</v>
      </c>
      <c r="L59">
        <f t="shared" si="23"/>
        <v>0</v>
      </c>
      <c r="M59">
        <f t="shared" si="24"/>
        <v>0</v>
      </c>
      <c r="N59">
        <f t="shared" si="25"/>
        <v>0</v>
      </c>
      <c r="O59">
        <f t="shared" si="26"/>
        <v>2015</v>
      </c>
      <c r="P59">
        <f t="shared" si="27"/>
        <v>0</v>
      </c>
      <c r="Q59">
        <f t="shared" si="28"/>
        <v>0</v>
      </c>
      <c r="R59">
        <f t="shared" si="29"/>
        <v>0</v>
      </c>
      <c r="S59">
        <f t="shared" si="30"/>
        <v>0</v>
      </c>
      <c r="T59">
        <f>COUNTIF('9a'!$K$22:$K$32, "Yes")+COUNTIF('9a'!$O$22:$O$32, "Yes")</f>
        <v>0</v>
      </c>
      <c r="U59" t="str">
        <f t="shared" si="31"/>
        <v>No Expenditures</v>
      </c>
      <c r="V59" t="str">
        <f t="shared" si="32"/>
        <v>No Expenditures</v>
      </c>
      <c r="W59">
        <f t="shared" si="33"/>
        <v>0</v>
      </c>
      <c r="X59" t="str">
        <f>'D-Risk'!$AO$25</f>
        <v>Insufficient Data</v>
      </c>
      <c r="Y59" t="str">
        <f>'D-Risk'!$AO$26</f>
        <v>Insufficient Data</v>
      </c>
      <c r="Z59" t="str">
        <f>'D-Risk'!$AO$27</f>
        <v>Uncalculated</v>
      </c>
      <c r="AA59" t="s">
        <v>2186</v>
      </c>
      <c r="AB59" t="s">
        <v>2186</v>
      </c>
      <c r="AC59" t="s">
        <v>2186</v>
      </c>
      <c r="AD59" t="s">
        <v>2186</v>
      </c>
      <c r="AE59" t="s">
        <v>2186</v>
      </c>
      <c r="AF59" t="s">
        <v>2186</v>
      </c>
      <c r="AG59" t="s">
        <v>2186</v>
      </c>
      <c r="AH59" t="s">
        <v>2186</v>
      </c>
      <c r="AI59" t="s">
        <v>2186</v>
      </c>
    </row>
    <row r="60" spans="1:35" x14ac:dyDescent="0.25">
      <c r="A60">
        <f t="shared" si="17"/>
        <v>0</v>
      </c>
      <c r="B60">
        <f t="shared" si="18"/>
        <v>0</v>
      </c>
      <c r="C60">
        <f t="shared" si="19"/>
        <v>0</v>
      </c>
      <c r="D60">
        <f t="shared" si="20"/>
        <v>0</v>
      </c>
      <c r="E60">
        <f t="shared" si="21"/>
        <v>0</v>
      </c>
      <c r="F60">
        <f>'D-RepLevel'!$F$2</f>
        <v>0</v>
      </c>
      <c r="G60">
        <f>'D-RepLevel'!$G$2</f>
        <v>0</v>
      </c>
      <c r="H60">
        <f t="shared" si="22"/>
        <v>0</v>
      </c>
      <c r="I60" t="str">
        <f>IF(ISERROR(INDEX('1b'!$C$5:$C$21, MATCH("Primary Business Line", '1b'!$H$5:$H$21, FALSE), 1)), "None Selected", INDEX('1b'!$C$5:$C$21, MATCH("Primary Business Line", '1b'!$H$5:$H$21, FALSE), 1))</f>
        <v>None Selected</v>
      </c>
      <c r="J60">
        <f>'D-3'!$J$2</f>
        <v>0</v>
      </c>
      <c r="K60">
        <f>COUNTIF('4a'!$E$6:$E$29, "Direct")+COUNTIF('4a'!$E$6:$E$29, "Indirect")+COUNTIF('4a'!$E$6:$E$29, "Both")</f>
        <v>0</v>
      </c>
      <c r="L60">
        <f t="shared" si="23"/>
        <v>0</v>
      </c>
      <c r="M60">
        <f t="shared" si="24"/>
        <v>0</v>
      </c>
      <c r="N60">
        <f t="shared" si="25"/>
        <v>0</v>
      </c>
      <c r="O60">
        <f t="shared" si="26"/>
        <v>2015</v>
      </c>
      <c r="P60">
        <f t="shared" si="27"/>
        <v>0</v>
      </c>
      <c r="Q60">
        <f t="shared" si="28"/>
        <v>0</v>
      </c>
      <c r="R60">
        <f t="shared" si="29"/>
        <v>0</v>
      </c>
      <c r="S60">
        <f t="shared" si="30"/>
        <v>0</v>
      </c>
      <c r="T60">
        <f>COUNTIF('9a'!$K$22:$K$32, "Yes")+COUNTIF('9a'!$O$22:$O$32, "Yes")</f>
        <v>0</v>
      </c>
      <c r="U60" t="str">
        <f t="shared" si="31"/>
        <v>No Expenditures</v>
      </c>
      <c r="V60" t="str">
        <f t="shared" si="32"/>
        <v>No Expenditures</v>
      </c>
      <c r="W60">
        <f t="shared" si="33"/>
        <v>0</v>
      </c>
      <c r="X60" t="str">
        <f>'D-Risk'!$AO$25</f>
        <v>Insufficient Data</v>
      </c>
      <c r="Y60" t="str">
        <f>'D-Risk'!$AO$26</f>
        <v>Insufficient Data</v>
      </c>
      <c r="Z60" t="str">
        <f>'D-Risk'!$AO$27</f>
        <v>Uncalculated</v>
      </c>
      <c r="AA60" t="s">
        <v>2186</v>
      </c>
      <c r="AB60" t="s">
        <v>2186</v>
      </c>
      <c r="AC60" t="s">
        <v>2186</v>
      </c>
      <c r="AD60" t="s">
        <v>2186</v>
      </c>
      <c r="AE60" t="s">
        <v>2186</v>
      </c>
      <c r="AF60" t="s">
        <v>2186</v>
      </c>
      <c r="AG60" t="s">
        <v>2186</v>
      </c>
      <c r="AH60" t="s">
        <v>2186</v>
      </c>
      <c r="AI60" t="s">
        <v>2186</v>
      </c>
    </row>
    <row r="61" spans="1:35" x14ac:dyDescent="0.25">
      <c r="A61">
        <f t="shared" si="17"/>
        <v>0</v>
      </c>
      <c r="B61">
        <f t="shared" si="18"/>
        <v>0</v>
      </c>
      <c r="C61">
        <f t="shared" si="19"/>
        <v>0</v>
      </c>
      <c r="D61">
        <f t="shared" si="20"/>
        <v>0</v>
      </c>
      <c r="E61">
        <f t="shared" si="21"/>
        <v>0</v>
      </c>
      <c r="F61">
        <f>'D-RepLevel'!$F$2</f>
        <v>0</v>
      </c>
      <c r="G61">
        <f>'D-RepLevel'!$G$2</f>
        <v>0</v>
      </c>
      <c r="H61">
        <f t="shared" si="22"/>
        <v>0</v>
      </c>
      <c r="I61" t="str">
        <f>IF(ISERROR(INDEX('1b'!$C$5:$C$21, MATCH("Primary Business Line", '1b'!$H$5:$H$21, FALSE), 1)), "None Selected", INDEX('1b'!$C$5:$C$21, MATCH("Primary Business Line", '1b'!$H$5:$H$21, FALSE), 1))</f>
        <v>None Selected</v>
      </c>
      <c r="J61">
        <f>'D-3'!$J$2</f>
        <v>0</v>
      </c>
      <c r="K61">
        <f>COUNTIF('4a'!$E$6:$E$29, "Direct")+COUNTIF('4a'!$E$6:$E$29, "Indirect")+COUNTIF('4a'!$E$6:$E$29, "Both")</f>
        <v>0</v>
      </c>
      <c r="L61">
        <f t="shared" si="23"/>
        <v>0</v>
      </c>
      <c r="M61">
        <f t="shared" si="24"/>
        <v>0</v>
      </c>
      <c r="N61">
        <f t="shared" si="25"/>
        <v>0</v>
      </c>
      <c r="O61">
        <f t="shared" si="26"/>
        <v>2015</v>
      </c>
      <c r="P61">
        <f t="shared" si="27"/>
        <v>0</v>
      </c>
      <c r="Q61">
        <f t="shared" si="28"/>
        <v>0</v>
      </c>
      <c r="R61">
        <f t="shared" si="29"/>
        <v>0</v>
      </c>
      <c r="S61">
        <f t="shared" si="30"/>
        <v>0</v>
      </c>
      <c r="T61">
        <f>COUNTIF('9a'!$K$22:$K$32, "Yes")+COUNTIF('9a'!$O$22:$O$32, "Yes")</f>
        <v>0</v>
      </c>
      <c r="U61" t="str">
        <f t="shared" si="31"/>
        <v>No Expenditures</v>
      </c>
      <c r="V61" t="str">
        <f t="shared" si="32"/>
        <v>No Expenditures</v>
      </c>
      <c r="W61">
        <f t="shared" si="33"/>
        <v>0</v>
      </c>
      <c r="X61" t="str">
        <f>'D-Risk'!$AO$25</f>
        <v>Insufficient Data</v>
      </c>
      <c r="Y61" t="str">
        <f>'D-Risk'!$AO$26</f>
        <v>Insufficient Data</v>
      </c>
      <c r="Z61" t="str">
        <f>'D-Risk'!$AO$27</f>
        <v>Uncalculated</v>
      </c>
      <c r="AA61" t="s">
        <v>2186</v>
      </c>
      <c r="AB61" t="s">
        <v>2186</v>
      </c>
      <c r="AC61" t="s">
        <v>2186</v>
      </c>
      <c r="AD61" t="s">
        <v>2186</v>
      </c>
      <c r="AE61" t="s">
        <v>2186</v>
      </c>
      <c r="AF61" t="s">
        <v>2186</v>
      </c>
      <c r="AG61" t="s">
        <v>2186</v>
      </c>
      <c r="AH61" t="s">
        <v>2186</v>
      </c>
      <c r="AI61" t="s">
        <v>2186</v>
      </c>
    </row>
  </sheetData>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76"/>
  <sheetViews>
    <sheetView zoomScale="70" zoomScaleNormal="70" workbookViewId="0">
      <selection activeCell="C7" sqref="C7:D7"/>
    </sheetView>
  </sheetViews>
  <sheetFormatPr defaultRowHeight="15" x14ac:dyDescent="0.25"/>
  <sheetData>
    <row r="1" spans="1:41"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2185</v>
      </c>
      <c r="AB1" t="s">
        <v>2263</v>
      </c>
      <c r="AC1" t="s">
        <v>2250</v>
      </c>
      <c r="AD1" t="s">
        <v>2251</v>
      </c>
      <c r="AE1" t="s">
        <v>184</v>
      </c>
      <c r="AF1" t="s">
        <v>2253</v>
      </c>
      <c r="AG1" t="s">
        <v>2254</v>
      </c>
      <c r="AH1" t="s">
        <v>2255</v>
      </c>
      <c r="AI1" t="s">
        <v>2256</v>
      </c>
      <c r="AJ1" t="s">
        <v>2257</v>
      </c>
      <c r="AK1" t="s">
        <v>2264</v>
      </c>
      <c r="AL1" t="s">
        <v>2265</v>
      </c>
      <c r="AM1" t="s">
        <v>2266</v>
      </c>
      <c r="AN1" t="s">
        <v>2267</v>
      </c>
      <c r="AO1" t="s">
        <v>2268</v>
      </c>
    </row>
    <row r="2" spans="1:41" x14ac:dyDescent="0.25">
      <c r="A2">
        <f t="shared" ref="A2:A33" si="0">Q_RP_B_DSSCAGE_01</f>
        <v>0</v>
      </c>
      <c r="B2">
        <f t="shared" ref="B2:B33" si="1">Q1a_A_LocationName</f>
        <v>0</v>
      </c>
      <c r="C2">
        <f t="shared" ref="C2:C33" si="2">Q1a_A_LocOrgName</f>
        <v>0</v>
      </c>
      <c r="D2">
        <f t="shared" ref="D2:D33" si="3">Q1a_B_Parent1_Name</f>
        <v>0</v>
      </c>
      <c r="E2">
        <f t="shared" ref="E2:E33" si="4">Q_RP_A_MultiResponse</f>
        <v>0</v>
      </c>
      <c r="F2">
        <f>'D-RepLevel'!$F$2</f>
        <v>0</v>
      </c>
      <c r="G2">
        <f>'D-RepLevel'!$G$2</f>
        <v>0</v>
      </c>
      <c r="H2">
        <f t="shared" ref="H2:H33"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3" si="6">Q4b_A_NumUSGPrograms</f>
        <v>0</v>
      </c>
      <c r="M2">
        <f t="shared" ref="M2:M33" si="7">Q6_A_Employees_Year3</f>
        <v>0</v>
      </c>
      <c r="N2">
        <f t="shared" ref="N2:N33" si="8">Q6_B_Employee_H1B_Total+Q6_B_Employee_H2B_Total+Q6_B_Employee_F1_Total+Q6_B_Employee_GreenCard_Total+Q6_B_Employee_Other_Total</f>
        <v>0</v>
      </c>
      <c r="O2">
        <f t="shared" ref="O2:O33" si="9">Year3</f>
        <v>2015</v>
      </c>
      <c r="P2">
        <f t="shared" ref="P2:P33" si="10">Q7_A_TotalSales_US_Year3+Q7_A_TotalSales_NonUS_Year3</f>
        <v>0</v>
      </c>
      <c r="Q2">
        <f t="shared" ref="Q2:Q33" si="11">Q7_B_DefSales_US_Year3_Pct*Q7_A_TotalSales_US_Year3+Q7_B_DefSales_NonUS_Year3_Pct*Q7_A_TotalSales_NonUS_Year3</f>
        <v>0</v>
      </c>
      <c r="R2">
        <f t="shared" ref="R2:R33" si="12">Q9a_B_Physical_Year3</f>
        <v>0</v>
      </c>
      <c r="S2">
        <f t="shared" ref="S2:S33" si="13">Q9a_B_Cyber_Year3</f>
        <v>0</v>
      </c>
      <c r="T2">
        <f>COUNTIF('9a'!$K$22:$K$32, "Yes")+COUNTIF('9a'!$O$22:$O$32, "Yes")</f>
        <v>0</v>
      </c>
      <c r="U2" t="str">
        <f t="shared" ref="U2:U33" si="14">IF(Q12_OpEx_Year3=0, "No Expenditures", Q9b_A_PhysicalSpending_Year3/(Q12_OpEx_Year3))</f>
        <v>No Expenditures</v>
      </c>
      <c r="V2" t="str">
        <f t="shared" ref="V2:V33" si="15">IF(Q12_OpEx_Year3=0, "No Expenditures", Q9b_A_CyberSpending_Year3/(Q12_OpEx_Year3))</f>
        <v>No Expenditures</v>
      </c>
      <c r="W2">
        <f t="shared" ref="W2:W33" si="16">Q9b_C_Pct_CSI_External</f>
        <v>0</v>
      </c>
      <c r="X2" t="str">
        <f>'D-Risk'!$AO$25</f>
        <v>Insufficient Data</v>
      </c>
      <c r="Y2" t="str">
        <f>'D-Risk'!$AO$26</f>
        <v>Insufficient Data</v>
      </c>
      <c r="Z2" t="str">
        <f>'D-Risk'!$AO$27</f>
        <v>Uncalculated</v>
      </c>
      <c r="AA2">
        <v>1</v>
      </c>
      <c r="AB2" t="str">
        <f>IF(ISERROR(Lists!AK2), ".", Lists!AK2)</f>
        <v>.</v>
      </c>
      <c r="AC2" t="str">
        <f>IF(AB2&lt;&gt;".",INDEX('4b'!$B$11:$B$241,MATCH('D-4b-Consolidated (Pivot)'!$AB2,'4b'!$D$11:$D$241,FALSE),1), ".")</f>
        <v>.</v>
      </c>
      <c r="AD2" t="str">
        <f>IF(AC2&lt;&gt;".",INDEX('4b'!$C$11:$C$241,MATCH('D-4b-Consolidated (Pivot)'!$AB2,'4b'!$D$11:$D$241,FALSE),1), ".")</f>
        <v>.</v>
      </c>
      <c r="AE2" t="str">
        <f>IF(AD2&lt;&gt;".",INDEX('4b'!E$11:E$241,MATCH('D-4b-Consolidated (Pivot)'!$AB2,'4b'!$D$11:$D$241,FALSE),1), ".")</f>
        <v>.</v>
      </c>
      <c r="AF2" t="str">
        <f>IF(AE2&lt;&gt;".",INDEX('4b'!F$11:F$241,MATCH('D-4b-Consolidated (Pivot)'!$AB2,'4b'!$D$11:$D$241,FALSE),1), ".")</f>
        <v>.</v>
      </c>
      <c r="AG2" t="str">
        <f>IF(AF2&lt;&gt;".",INDEX('4b'!G$11:G$241,MATCH('D-4b-Consolidated (Pivot)'!$AB2,'4b'!$D$11:$D$241,FALSE),1), ".")</f>
        <v>.</v>
      </c>
      <c r="AH2" t="str">
        <f>IF(AG2&lt;&gt;".",INDEX('4b'!H$11:H$241,MATCH('D-4b-Consolidated (Pivot)'!$AB2,'4b'!$D$11:$D$241,FALSE),1), ".")</f>
        <v>.</v>
      </c>
      <c r="AI2" t="str">
        <f>IF(AH2&lt;&gt;".",INDEX('4b'!I$11:I$241,MATCH('D-4b-Consolidated (Pivot)'!$AB2,'4b'!$D$11:$D$241,FALSE),1), ".")</f>
        <v>.</v>
      </c>
      <c r="AJ2" t="str">
        <f>IF(AI2&lt;&gt;".",INDEX('4b'!J$11:J$241,MATCH('D-4b-Consolidated (Pivot)'!$AB2,'4b'!$D$11:$D$241,FALSE),1), ".")</f>
        <v>.</v>
      </c>
      <c r="AK2" t="str">
        <f>IF(OR(AF2=0, AF2="."),".",COUNTIF('D-5 (Pivot)'!$AH$2:$AH$26,'D-4b-Consolidated (Pivot)'!AF2))</f>
        <v>.</v>
      </c>
      <c r="AL2" t="str">
        <f>IF(OR(AG2=0, AG2="."),".",COUNTIF('D-5 (Pivot)'!$AH$2:$AH$26,'D-4b-Consolidated (Pivot)'!AG2))</f>
        <v>.</v>
      </c>
      <c r="AM2" t="str">
        <f>IF(OR(AH2=0, AH2="."),".",COUNTIF('D-5 (Pivot)'!$AH$2:$AH$26,'D-4b-Consolidated (Pivot)'!AH2))</f>
        <v>.</v>
      </c>
      <c r="AN2" t="str">
        <f>IF(OR(AI2=0, AI2="."),".",COUNTIF('D-5 (Pivot)'!$AH$2:$AH$26,'D-4b-Consolidated (Pivot)'!AI2))</f>
        <v>.</v>
      </c>
      <c r="AO2" t="str">
        <f>IF(OR(AJ2=0, AJ2="."),".",COUNTIF('D-5 (Pivot)'!$AH$2:$AH$26,'D-4b-Consolidated (Pivot)'!AJ2))</f>
        <v>.</v>
      </c>
    </row>
    <row r="3" spans="1:41"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v>2</v>
      </c>
      <c r="AB3" t="str">
        <f>IF(ISERROR(Lists!AK3), ".", Lists!AK3)</f>
        <v>.</v>
      </c>
      <c r="AC3" t="str">
        <f>IF(AB3&lt;&gt;".",INDEX('4b'!$B$11:$B$241,MATCH('D-4b-Consolidated (Pivot)'!$AB3,'4b'!$D$11:$D$241,FALSE),1), ".")</f>
        <v>.</v>
      </c>
      <c r="AD3" t="str">
        <f>IF(AC3&lt;&gt;".",INDEX('4b'!$C$11:$C$241,MATCH('D-4b-Consolidated (Pivot)'!$AB3,'4b'!$D$11:$D$241,FALSE),1), ".")</f>
        <v>.</v>
      </c>
      <c r="AE3" t="str">
        <f>IF(AD3&lt;&gt;".",INDEX('4b'!E$11:E$241,MATCH('D-4b-Consolidated (Pivot)'!$AB3,'4b'!$D$11:$D$241,FALSE),1), ".")</f>
        <v>.</v>
      </c>
      <c r="AF3" t="str">
        <f>IF(AE3&lt;&gt;".",INDEX('4b'!F$11:F$241,MATCH('D-4b-Consolidated (Pivot)'!$AB3,'4b'!$D$11:$D$241,FALSE),1), ".")</f>
        <v>.</v>
      </c>
      <c r="AG3" t="str">
        <f>IF(AF3&lt;&gt;".",INDEX('4b'!G$11:G$241,MATCH('D-4b-Consolidated (Pivot)'!$AB3,'4b'!$D$11:$D$241,FALSE),1), ".")</f>
        <v>.</v>
      </c>
      <c r="AH3" t="str">
        <f>IF(AG3&lt;&gt;".",INDEX('4b'!H$11:H$241,MATCH('D-4b-Consolidated (Pivot)'!$AB3,'4b'!$D$11:$D$241,FALSE),1), ".")</f>
        <v>.</v>
      </c>
      <c r="AI3" t="str">
        <f>IF(AH3&lt;&gt;".",INDEX('4b'!I$11:I$241,MATCH('D-4b-Consolidated (Pivot)'!$AB3,'4b'!$D$11:$D$241,FALSE),1), ".")</f>
        <v>.</v>
      </c>
      <c r="AJ3" t="str">
        <f>IF(AI3&lt;&gt;".",INDEX('4b'!J$11:J$241,MATCH('D-4b-Consolidated (Pivot)'!$AB3,'4b'!$D$11:$D$241,FALSE),1), ".")</f>
        <v>.</v>
      </c>
      <c r="AK3" t="str">
        <f>IF(OR(AF3=0, AF3="."),".",COUNTIF('D-5 (Pivot)'!$AH$2:$AH$26,'D-4b-Consolidated (Pivot)'!AF3))</f>
        <v>.</v>
      </c>
      <c r="AL3" t="str">
        <f>IF(OR(AG3=0, AG3="."),".",COUNTIF('D-5 (Pivot)'!$AH$2:$AH$26,'D-4b-Consolidated (Pivot)'!AG3))</f>
        <v>.</v>
      </c>
      <c r="AM3" t="str">
        <f>IF(OR(AH3=0, AH3="."),".",COUNTIF('D-5 (Pivot)'!$AH$2:$AH$26,'D-4b-Consolidated (Pivot)'!AH3))</f>
        <v>.</v>
      </c>
      <c r="AN3" t="str">
        <f>IF(OR(AI3=0, AI3="."),".",COUNTIF('D-5 (Pivot)'!$AH$2:$AH$26,'D-4b-Consolidated (Pivot)'!AI3))</f>
        <v>.</v>
      </c>
      <c r="AO3" t="str">
        <f>IF(OR(AJ3=0, AJ3="."),".",COUNTIF('D-5 (Pivot)'!$AH$2:$AH$26,'D-4b-Consolidated (Pivot)'!AJ3))</f>
        <v>.</v>
      </c>
    </row>
    <row r="4" spans="1:41"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v>3</v>
      </c>
      <c r="AB4" t="str">
        <f>IF(ISERROR(Lists!AK4), ".", Lists!AK4)</f>
        <v>.</v>
      </c>
      <c r="AC4" t="str">
        <f>IF(AB4&lt;&gt;".",INDEX('4b'!$B$11:$B$241,MATCH('D-4b-Consolidated (Pivot)'!$AB4,'4b'!$D$11:$D$241,FALSE),1), ".")</f>
        <v>.</v>
      </c>
      <c r="AD4" t="str">
        <f>IF(AC4&lt;&gt;".",INDEX('4b'!$C$11:$C$241,MATCH('D-4b-Consolidated (Pivot)'!$AB4,'4b'!$D$11:$D$241,FALSE),1), ".")</f>
        <v>.</v>
      </c>
      <c r="AE4" t="str">
        <f>IF(AD4&lt;&gt;".",INDEX('4b'!E$11:E$241,MATCH('D-4b-Consolidated (Pivot)'!$AB4,'4b'!$D$11:$D$241,FALSE),1), ".")</f>
        <v>.</v>
      </c>
      <c r="AF4" t="str">
        <f>IF(AE4&lt;&gt;".",INDEX('4b'!F$11:F$241,MATCH('D-4b-Consolidated (Pivot)'!$AB4,'4b'!$D$11:$D$241,FALSE),1), ".")</f>
        <v>.</v>
      </c>
      <c r="AG4" t="str">
        <f>IF(AF4&lt;&gt;".",INDEX('4b'!G$11:G$241,MATCH('D-4b-Consolidated (Pivot)'!$AB4,'4b'!$D$11:$D$241,FALSE),1), ".")</f>
        <v>.</v>
      </c>
      <c r="AH4" t="str">
        <f>IF(AG4&lt;&gt;".",INDEX('4b'!H$11:H$241,MATCH('D-4b-Consolidated (Pivot)'!$AB4,'4b'!$D$11:$D$241,FALSE),1), ".")</f>
        <v>.</v>
      </c>
      <c r="AI4" t="str">
        <f>IF(AH4&lt;&gt;".",INDEX('4b'!I$11:I$241,MATCH('D-4b-Consolidated (Pivot)'!$AB4,'4b'!$D$11:$D$241,FALSE),1), ".")</f>
        <v>.</v>
      </c>
      <c r="AJ4" t="str">
        <f>IF(AI4&lt;&gt;".",INDEX('4b'!J$11:J$241,MATCH('D-4b-Consolidated (Pivot)'!$AB4,'4b'!$D$11:$D$241,FALSE),1), ".")</f>
        <v>.</v>
      </c>
      <c r="AK4" t="str">
        <f>IF(OR(AF4=0, AF4="."),".",COUNTIF('D-5 (Pivot)'!$AH$2:$AH$26,'D-4b-Consolidated (Pivot)'!AF4))</f>
        <v>.</v>
      </c>
      <c r="AL4" t="str">
        <f>IF(OR(AG4=0, AG4="."),".",COUNTIF('D-5 (Pivot)'!$AH$2:$AH$26,'D-4b-Consolidated (Pivot)'!AG4))</f>
        <v>.</v>
      </c>
      <c r="AM4" t="str">
        <f>IF(OR(AH4=0, AH4="."),".",COUNTIF('D-5 (Pivot)'!$AH$2:$AH$26,'D-4b-Consolidated (Pivot)'!AH4))</f>
        <v>.</v>
      </c>
      <c r="AN4" t="str">
        <f>IF(OR(AI4=0, AI4="."),".",COUNTIF('D-5 (Pivot)'!$AH$2:$AH$26,'D-4b-Consolidated (Pivot)'!AI4))</f>
        <v>.</v>
      </c>
      <c r="AO4" t="str">
        <f>IF(OR(AJ4=0, AJ4="."),".",COUNTIF('D-5 (Pivot)'!$AH$2:$AH$26,'D-4b-Consolidated (Pivot)'!AJ4))</f>
        <v>.</v>
      </c>
    </row>
    <row r="5" spans="1:41"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v>4</v>
      </c>
      <c r="AB5" t="str">
        <f>IF(ISERROR(Lists!AK5), ".", Lists!AK5)</f>
        <v>.</v>
      </c>
      <c r="AC5" t="str">
        <f>IF(AB5&lt;&gt;".",INDEX('4b'!$B$11:$B$241,MATCH('D-4b-Consolidated (Pivot)'!$AB5,'4b'!$D$11:$D$241,FALSE),1), ".")</f>
        <v>.</v>
      </c>
      <c r="AD5" t="str">
        <f>IF(AC5&lt;&gt;".",INDEX('4b'!$C$11:$C$241,MATCH('D-4b-Consolidated (Pivot)'!$AB5,'4b'!$D$11:$D$241,FALSE),1), ".")</f>
        <v>.</v>
      </c>
      <c r="AE5" t="str">
        <f>IF(AD5&lt;&gt;".",INDEX('4b'!E$11:E$241,MATCH('D-4b-Consolidated (Pivot)'!$AB5,'4b'!$D$11:$D$241,FALSE),1), ".")</f>
        <v>.</v>
      </c>
      <c r="AF5" t="str">
        <f>IF(AE5&lt;&gt;".",INDEX('4b'!F$11:F$241,MATCH('D-4b-Consolidated (Pivot)'!$AB5,'4b'!$D$11:$D$241,FALSE),1), ".")</f>
        <v>.</v>
      </c>
      <c r="AG5" t="str">
        <f>IF(AF5&lt;&gt;".",INDEX('4b'!G$11:G$241,MATCH('D-4b-Consolidated (Pivot)'!$AB5,'4b'!$D$11:$D$241,FALSE),1), ".")</f>
        <v>.</v>
      </c>
      <c r="AH5" t="str">
        <f>IF(AG5&lt;&gt;".",INDEX('4b'!H$11:H$241,MATCH('D-4b-Consolidated (Pivot)'!$AB5,'4b'!$D$11:$D$241,FALSE),1), ".")</f>
        <v>.</v>
      </c>
      <c r="AI5" t="str">
        <f>IF(AH5&lt;&gt;".",INDEX('4b'!I$11:I$241,MATCH('D-4b-Consolidated (Pivot)'!$AB5,'4b'!$D$11:$D$241,FALSE),1), ".")</f>
        <v>.</v>
      </c>
      <c r="AJ5" t="str">
        <f>IF(AI5&lt;&gt;".",INDEX('4b'!J$11:J$241,MATCH('D-4b-Consolidated (Pivot)'!$AB5,'4b'!$D$11:$D$241,FALSE),1), ".")</f>
        <v>.</v>
      </c>
      <c r="AK5" t="str">
        <f>IF(OR(AF5=0, AF5="."),".",COUNTIF('D-5 (Pivot)'!$AH$2:$AH$26,'D-4b-Consolidated (Pivot)'!AF5))</f>
        <v>.</v>
      </c>
      <c r="AL5" t="str">
        <f>IF(OR(AG5=0, AG5="."),".",COUNTIF('D-5 (Pivot)'!$AH$2:$AH$26,'D-4b-Consolidated (Pivot)'!AG5))</f>
        <v>.</v>
      </c>
      <c r="AM5" t="str">
        <f>IF(OR(AH5=0, AH5="."),".",COUNTIF('D-5 (Pivot)'!$AH$2:$AH$26,'D-4b-Consolidated (Pivot)'!AH5))</f>
        <v>.</v>
      </c>
      <c r="AN5" t="str">
        <f>IF(OR(AI5=0, AI5="."),".",COUNTIF('D-5 (Pivot)'!$AH$2:$AH$26,'D-4b-Consolidated (Pivot)'!AI5))</f>
        <v>.</v>
      </c>
      <c r="AO5" t="str">
        <f>IF(OR(AJ5=0, AJ5="."),".",COUNTIF('D-5 (Pivot)'!$AH$2:$AH$26,'D-4b-Consolidated (Pivot)'!AJ5))</f>
        <v>.</v>
      </c>
    </row>
    <row r="6" spans="1:41"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v>5</v>
      </c>
      <c r="AB6" t="str">
        <f>IF(ISERROR(Lists!AK6), ".", Lists!AK6)</f>
        <v>.</v>
      </c>
      <c r="AC6" t="str">
        <f>IF(AB6&lt;&gt;".",INDEX('4b'!$B$11:$B$241,MATCH('D-4b-Consolidated (Pivot)'!$AB6,'4b'!$D$11:$D$241,FALSE),1), ".")</f>
        <v>.</v>
      </c>
      <c r="AD6" t="str">
        <f>IF(AC6&lt;&gt;".",INDEX('4b'!$C$11:$C$241,MATCH('D-4b-Consolidated (Pivot)'!$AB6,'4b'!$D$11:$D$241,FALSE),1), ".")</f>
        <v>.</v>
      </c>
      <c r="AE6" t="str">
        <f>IF(AD6&lt;&gt;".",INDEX('4b'!E$11:E$241,MATCH('D-4b-Consolidated (Pivot)'!$AB6,'4b'!$D$11:$D$241,FALSE),1), ".")</f>
        <v>.</v>
      </c>
      <c r="AF6" t="str">
        <f>IF(AE6&lt;&gt;".",INDEX('4b'!F$11:F$241,MATCH('D-4b-Consolidated (Pivot)'!$AB6,'4b'!$D$11:$D$241,FALSE),1), ".")</f>
        <v>.</v>
      </c>
      <c r="AG6" t="str">
        <f>IF(AF6&lt;&gt;".",INDEX('4b'!G$11:G$241,MATCH('D-4b-Consolidated (Pivot)'!$AB6,'4b'!$D$11:$D$241,FALSE),1), ".")</f>
        <v>.</v>
      </c>
      <c r="AH6" t="str">
        <f>IF(AG6&lt;&gt;".",INDEX('4b'!H$11:H$241,MATCH('D-4b-Consolidated (Pivot)'!$AB6,'4b'!$D$11:$D$241,FALSE),1), ".")</f>
        <v>.</v>
      </c>
      <c r="AI6" t="str">
        <f>IF(AH6&lt;&gt;".",INDEX('4b'!I$11:I$241,MATCH('D-4b-Consolidated (Pivot)'!$AB6,'4b'!$D$11:$D$241,FALSE),1), ".")</f>
        <v>.</v>
      </c>
      <c r="AJ6" t="str">
        <f>IF(AI6&lt;&gt;".",INDEX('4b'!J$11:J$241,MATCH('D-4b-Consolidated (Pivot)'!$AB6,'4b'!$D$11:$D$241,FALSE),1), ".")</f>
        <v>.</v>
      </c>
      <c r="AK6" t="str">
        <f>IF(OR(AF6=0, AF6="."),".",COUNTIF('D-5 (Pivot)'!$AH$2:$AH$26,'D-4b-Consolidated (Pivot)'!AF6))</f>
        <v>.</v>
      </c>
      <c r="AL6" t="str">
        <f>IF(OR(AG6=0, AG6="."),".",COUNTIF('D-5 (Pivot)'!$AH$2:$AH$26,'D-4b-Consolidated (Pivot)'!AG6))</f>
        <v>.</v>
      </c>
      <c r="AM6" t="str">
        <f>IF(OR(AH6=0, AH6="."),".",COUNTIF('D-5 (Pivot)'!$AH$2:$AH$26,'D-4b-Consolidated (Pivot)'!AH6))</f>
        <v>.</v>
      </c>
      <c r="AN6" t="str">
        <f>IF(OR(AI6=0, AI6="."),".",COUNTIF('D-5 (Pivot)'!$AH$2:$AH$26,'D-4b-Consolidated (Pivot)'!AI6))</f>
        <v>.</v>
      </c>
      <c r="AO6" t="str">
        <f>IF(OR(AJ6=0, AJ6="."),".",COUNTIF('D-5 (Pivot)'!$AH$2:$AH$26,'D-4b-Consolidated (Pivot)'!AJ6))</f>
        <v>.</v>
      </c>
    </row>
    <row r="7" spans="1:41"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v>6</v>
      </c>
      <c r="AB7" t="str">
        <f>IF(ISERROR(Lists!AK7), ".", Lists!AK7)</f>
        <v>.</v>
      </c>
      <c r="AC7" t="str">
        <f>IF(AB7&lt;&gt;".",INDEX('4b'!$B$11:$B$241,MATCH('D-4b-Consolidated (Pivot)'!$AB7,'4b'!$D$11:$D$241,FALSE),1), ".")</f>
        <v>.</v>
      </c>
      <c r="AD7" t="str">
        <f>IF(AC7&lt;&gt;".",INDEX('4b'!$C$11:$C$241,MATCH('D-4b-Consolidated (Pivot)'!$AB7,'4b'!$D$11:$D$241,FALSE),1), ".")</f>
        <v>.</v>
      </c>
      <c r="AE7" t="str">
        <f>IF(AD7&lt;&gt;".",INDEX('4b'!E$11:E$241,MATCH('D-4b-Consolidated (Pivot)'!$AB7,'4b'!$D$11:$D$241,FALSE),1), ".")</f>
        <v>.</v>
      </c>
      <c r="AF7" t="str">
        <f>IF(AE7&lt;&gt;".",INDEX('4b'!F$11:F$241,MATCH('D-4b-Consolidated (Pivot)'!$AB7,'4b'!$D$11:$D$241,FALSE),1), ".")</f>
        <v>.</v>
      </c>
      <c r="AG7" t="str">
        <f>IF(AF7&lt;&gt;".",INDEX('4b'!G$11:G$241,MATCH('D-4b-Consolidated (Pivot)'!$AB7,'4b'!$D$11:$D$241,FALSE),1), ".")</f>
        <v>.</v>
      </c>
      <c r="AH7" t="str">
        <f>IF(AG7&lt;&gt;".",INDEX('4b'!H$11:H$241,MATCH('D-4b-Consolidated (Pivot)'!$AB7,'4b'!$D$11:$D$241,FALSE),1), ".")</f>
        <v>.</v>
      </c>
      <c r="AI7" t="str">
        <f>IF(AH7&lt;&gt;".",INDEX('4b'!I$11:I$241,MATCH('D-4b-Consolidated (Pivot)'!$AB7,'4b'!$D$11:$D$241,FALSE),1), ".")</f>
        <v>.</v>
      </c>
      <c r="AJ7" t="str">
        <f>IF(AI7&lt;&gt;".",INDEX('4b'!J$11:J$241,MATCH('D-4b-Consolidated (Pivot)'!$AB7,'4b'!$D$11:$D$241,FALSE),1), ".")</f>
        <v>.</v>
      </c>
      <c r="AK7" t="str">
        <f>IF(OR(AF7=0, AF7="."),".",COUNTIF('D-5 (Pivot)'!$AH$2:$AH$26,'D-4b-Consolidated (Pivot)'!AF7))</f>
        <v>.</v>
      </c>
      <c r="AL7" t="str">
        <f>IF(OR(AG7=0, AG7="."),".",COUNTIF('D-5 (Pivot)'!$AH$2:$AH$26,'D-4b-Consolidated (Pivot)'!AG7))</f>
        <v>.</v>
      </c>
      <c r="AM7" t="str">
        <f>IF(OR(AH7=0, AH7="."),".",COUNTIF('D-5 (Pivot)'!$AH$2:$AH$26,'D-4b-Consolidated (Pivot)'!AH7))</f>
        <v>.</v>
      </c>
      <c r="AN7" t="str">
        <f>IF(OR(AI7=0, AI7="."),".",COUNTIF('D-5 (Pivot)'!$AH$2:$AH$26,'D-4b-Consolidated (Pivot)'!AI7))</f>
        <v>.</v>
      </c>
      <c r="AO7" t="str">
        <f>IF(OR(AJ7=0, AJ7="."),".",COUNTIF('D-5 (Pivot)'!$AH$2:$AH$26,'D-4b-Consolidated (Pivot)'!AJ7))</f>
        <v>.</v>
      </c>
    </row>
    <row r="8" spans="1:41"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v>7</v>
      </c>
      <c r="AB8" t="str">
        <f>IF(ISERROR(Lists!AK8), ".", Lists!AK8)</f>
        <v>.</v>
      </c>
      <c r="AC8" t="str">
        <f>IF(AB8&lt;&gt;".",INDEX('4b'!$B$11:$B$241,MATCH('D-4b-Consolidated (Pivot)'!$AB8,'4b'!$D$11:$D$241,FALSE),1), ".")</f>
        <v>.</v>
      </c>
      <c r="AD8" t="str">
        <f>IF(AC8&lt;&gt;".",INDEX('4b'!$C$11:$C$241,MATCH('D-4b-Consolidated (Pivot)'!$AB8,'4b'!$D$11:$D$241,FALSE),1), ".")</f>
        <v>.</v>
      </c>
      <c r="AE8" t="str">
        <f>IF(AD8&lt;&gt;".",INDEX('4b'!E$11:E$241,MATCH('D-4b-Consolidated (Pivot)'!$AB8,'4b'!$D$11:$D$241,FALSE),1), ".")</f>
        <v>.</v>
      </c>
      <c r="AF8" t="str">
        <f>IF(AE8&lt;&gt;".",INDEX('4b'!F$11:F$241,MATCH('D-4b-Consolidated (Pivot)'!$AB8,'4b'!$D$11:$D$241,FALSE),1), ".")</f>
        <v>.</v>
      </c>
      <c r="AG8" t="str">
        <f>IF(AF8&lt;&gt;".",INDEX('4b'!G$11:G$241,MATCH('D-4b-Consolidated (Pivot)'!$AB8,'4b'!$D$11:$D$241,FALSE),1), ".")</f>
        <v>.</v>
      </c>
      <c r="AH8" t="str">
        <f>IF(AG8&lt;&gt;".",INDEX('4b'!H$11:H$241,MATCH('D-4b-Consolidated (Pivot)'!$AB8,'4b'!$D$11:$D$241,FALSE),1), ".")</f>
        <v>.</v>
      </c>
      <c r="AI8" t="str">
        <f>IF(AH8&lt;&gt;".",INDEX('4b'!I$11:I$241,MATCH('D-4b-Consolidated (Pivot)'!$AB8,'4b'!$D$11:$D$241,FALSE),1), ".")</f>
        <v>.</v>
      </c>
      <c r="AJ8" t="str">
        <f>IF(AI8&lt;&gt;".",INDEX('4b'!J$11:J$241,MATCH('D-4b-Consolidated (Pivot)'!$AB8,'4b'!$D$11:$D$241,FALSE),1), ".")</f>
        <v>.</v>
      </c>
      <c r="AK8" t="str">
        <f>IF(OR(AF8=0, AF8="."),".",COUNTIF('D-5 (Pivot)'!$AH$2:$AH$26,'D-4b-Consolidated (Pivot)'!AF8))</f>
        <v>.</v>
      </c>
      <c r="AL8" t="str">
        <f>IF(OR(AG8=0, AG8="."),".",COUNTIF('D-5 (Pivot)'!$AH$2:$AH$26,'D-4b-Consolidated (Pivot)'!AG8))</f>
        <v>.</v>
      </c>
      <c r="AM8" t="str">
        <f>IF(OR(AH8=0, AH8="."),".",COUNTIF('D-5 (Pivot)'!$AH$2:$AH$26,'D-4b-Consolidated (Pivot)'!AH8))</f>
        <v>.</v>
      </c>
      <c r="AN8" t="str">
        <f>IF(OR(AI8=0, AI8="."),".",COUNTIF('D-5 (Pivot)'!$AH$2:$AH$26,'D-4b-Consolidated (Pivot)'!AI8))</f>
        <v>.</v>
      </c>
      <c r="AO8" t="str">
        <f>IF(OR(AJ8=0, AJ8="."),".",COUNTIF('D-5 (Pivot)'!$AH$2:$AH$26,'D-4b-Consolidated (Pivot)'!AJ8))</f>
        <v>.</v>
      </c>
    </row>
    <row r="9" spans="1:41"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v>8</v>
      </c>
      <c r="AB9" t="str">
        <f>IF(ISERROR(Lists!AK9), ".", Lists!AK9)</f>
        <v>.</v>
      </c>
      <c r="AC9" t="str">
        <f>IF(AB9&lt;&gt;".",INDEX('4b'!$B$11:$B$241,MATCH('D-4b-Consolidated (Pivot)'!$AB9,'4b'!$D$11:$D$241,FALSE),1), ".")</f>
        <v>.</v>
      </c>
      <c r="AD9" t="str">
        <f>IF(AC9&lt;&gt;".",INDEX('4b'!$C$11:$C$241,MATCH('D-4b-Consolidated (Pivot)'!$AB9,'4b'!$D$11:$D$241,FALSE),1), ".")</f>
        <v>.</v>
      </c>
      <c r="AE9" t="str">
        <f>IF(AD9&lt;&gt;".",INDEX('4b'!E$11:E$241,MATCH('D-4b-Consolidated (Pivot)'!$AB9,'4b'!$D$11:$D$241,FALSE),1), ".")</f>
        <v>.</v>
      </c>
      <c r="AF9" t="str">
        <f>IF(AE9&lt;&gt;".",INDEX('4b'!F$11:F$241,MATCH('D-4b-Consolidated (Pivot)'!$AB9,'4b'!$D$11:$D$241,FALSE),1), ".")</f>
        <v>.</v>
      </c>
      <c r="AG9" t="str">
        <f>IF(AF9&lt;&gt;".",INDEX('4b'!G$11:G$241,MATCH('D-4b-Consolidated (Pivot)'!$AB9,'4b'!$D$11:$D$241,FALSE),1), ".")</f>
        <v>.</v>
      </c>
      <c r="AH9" t="str">
        <f>IF(AG9&lt;&gt;".",INDEX('4b'!H$11:H$241,MATCH('D-4b-Consolidated (Pivot)'!$AB9,'4b'!$D$11:$D$241,FALSE),1), ".")</f>
        <v>.</v>
      </c>
      <c r="AI9" t="str">
        <f>IF(AH9&lt;&gt;".",INDEX('4b'!I$11:I$241,MATCH('D-4b-Consolidated (Pivot)'!$AB9,'4b'!$D$11:$D$241,FALSE),1), ".")</f>
        <v>.</v>
      </c>
      <c r="AJ9" t="str">
        <f>IF(AI9&lt;&gt;".",INDEX('4b'!J$11:J$241,MATCH('D-4b-Consolidated (Pivot)'!$AB9,'4b'!$D$11:$D$241,FALSE),1), ".")</f>
        <v>.</v>
      </c>
      <c r="AK9" t="str">
        <f>IF(OR(AF9=0, AF9="."),".",COUNTIF('D-5 (Pivot)'!$AH$2:$AH$26,'D-4b-Consolidated (Pivot)'!AF9))</f>
        <v>.</v>
      </c>
      <c r="AL9" t="str">
        <f>IF(OR(AG9=0, AG9="."),".",COUNTIF('D-5 (Pivot)'!$AH$2:$AH$26,'D-4b-Consolidated (Pivot)'!AG9))</f>
        <v>.</v>
      </c>
      <c r="AM9" t="str">
        <f>IF(OR(AH9=0, AH9="."),".",COUNTIF('D-5 (Pivot)'!$AH$2:$AH$26,'D-4b-Consolidated (Pivot)'!AH9))</f>
        <v>.</v>
      </c>
      <c r="AN9" t="str">
        <f>IF(OR(AI9=0, AI9="."),".",COUNTIF('D-5 (Pivot)'!$AH$2:$AH$26,'D-4b-Consolidated (Pivot)'!AI9))</f>
        <v>.</v>
      </c>
      <c r="AO9" t="str">
        <f>IF(OR(AJ9=0, AJ9="."),".",COUNTIF('D-5 (Pivot)'!$AH$2:$AH$26,'D-4b-Consolidated (Pivot)'!AJ9))</f>
        <v>.</v>
      </c>
    </row>
    <row r="10" spans="1:41"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v>9</v>
      </c>
      <c r="AB10" t="str">
        <f>IF(ISERROR(Lists!AK10), ".", Lists!AK10)</f>
        <v>.</v>
      </c>
      <c r="AC10" t="str">
        <f>IF(AB10&lt;&gt;".",INDEX('4b'!$B$11:$B$241,MATCH('D-4b-Consolidated (Pivot)'!$AB10,'4b'!$D$11:$D$241,FALSE),1), ".")</f>
        <v>.</v>
      </c>
      <c r="AD10" t="str">
        <f>IF(AC10&lt;&gt;".",INDEX('4b'!$C$11:$C$241,MATCH('D-4b-Consolidated (Pivot)'!$AB10,'4b'!$D$11:$D$241,FALSE),1), ".")</f>
        <v>.</v>
      </c>
      <c r="AE10" t="str">
        <f>IF(AD10&lt;&gt;".",INDEX('4b'!E$11:E$241,MATCH('D-4b-Consolidated (Pivot)'!$AB10,'4b'!$D$11:$D$241,FALSE),1), ".")</f>
        <v>.</v>
      </c>
      <c r="AF10" t="str">
        <f>IF(AE10&lt;&gt;".",INDEX('4b'!F$11:F$241,MATCH('D-4b-Consolidated (Pivot)'!$AB10,'4b'!$D$11:$D$241,FALSE),1), ".")</f>
        <v>.</v>
      </c>
      <c r="AG10" t="str">
        <f>IF(AF10&lt;&gt;".",INDEX('4b'!G$11:G$241,MATCH('D-4b-Consolidated (Pivot)'!$AB10,'4b'!$D$11:$D$241,FALSE),1), ".")</f>
        <v>.</v>
      </c>
      <c r="AH10" t="str">
        <f>IF(AG10&lt;&gt;".",INDEX('4b'!H$11:H$241,MATCH('D-4b-Consolidated (Pivot)'!$AB10,'4b'!$D$11:$D$241,FALSE),1), ".")</f>
        <v>.</v>
      </c>
      <c r="AI10" t="str">
        <f>IF(AH10&lt;&gt;".",INDEX('4b'!I$11:I$241,MATCH('D-4b-Consolidated (Pivot)'!$AB10,'4b'!$D$11:$D$241,FALSE),1), ".")</f>
        <v>.</v>
      </c>
      <c r="AJ10" t="str">
        <f>IF(AI10&lt;&gt;".",INDEX('4b'!J$11:J$241,MATCH('D-4b-Consolidated (Pivot)'!$AB10,'4b'!$D$11:$D$241,FALSE),1), ".")</f>
        <v>.</v>
      </c>
      <c r="AK10" t="str">
        <f>IF(OR(AF10=0, AF10="."),".",COUNTIF('D-5 (Pivot)'!$AH$2:$AH$26,'D-4b-Consolidated (Pivot)'!AF10))</f>
        <v>.</v>
      </c>
      <c r="AL10" t="str">
        <f>IF(OR(AG10=0, AG10="."),".",COUNTIF('D-5 (Pivot)'!$AH$2:$AH$26,'D-4b-Consolidated (Pivot)'!AG10))</f>
        <v>.</v>
      </c>
      <c r="AM10" t="str">
        <f>IF(OR(AH10=0, AH10="."),".",COUNTIF('D-5 (Pivot)'!$AH$2:$AH$26,'D-4b-Consolidated (Pivot)'!AH10))</f>
        <v>.</v>
      </c>
      <c r="AN10" t="str">
        <f>IF(OR(AI10=0, AI10="."),".",COUNTIF('D-5 (Pivot)'!$AH$2:$AH$26,'D-4b-Consolidated (Pivot)'!AI10))</f>
        <v>.</v>
      </c>
      <c r="AO10" t="str">
        <f>IF(OR(AJ10=0, AJ10="."),".",COUNTIF('D-5 (Pivot)'!$AH$2:$AH$26,'D-4b-Consolidated (Pivot)'!AJ10))</f>
        <v>.</v>
      </c>
    </row>
    <row r="11" spans="1:41"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v>10</v>
      </c>
      <c r="AB11" t="str">
        <f>IF(ISERROR(Lists!AK11), ".", Lists!AK11)</f>
        <v>.</v>
      </c>
      <c r="AC11" t="str">
        <f>IF(AB11&lt;&gt;".",INDEX('4b'!$B$11:$B$241,MATCH('D-4b-Consolidated (Pivot)'!$AB11,'4b'!$D$11:$D$241,FALSE),1), ".")</f>
        <v>.</v>
      </c>
      <c r="AD11" t="str">
        <f>IF(AC11&lt;&gt;".",INDEX('4b'!$C$11:$C$241,MATCH('D-4b-Consolidated (Pivot)'!$AB11,'4b'!$D$11:$D$241,FALSE),1), ".")</f>
        <v>.</v>
      </c>
      <c r="AE11" t="str">
        <f>IF(AD11&lt;&gt;".",INDEX('4b'!E$11:E$241,MATCH('D-4b-Consolidated (Pivot)'!$AB11,'4b'!$D$11:$D$241,FALSE),1), ".")</f>
        <v>.</v>
      </c>
      <c r="AF11" t="str">
        <f>IF(AE11&lt;&gt;".",INDEX('4b'!F$11:F$241,MATCH('D-4b-Consolidated (Pivot)'!$AB11,'4b'!$D$11:$D$241,FALSE),1), ".")</f>
        <v>.</v>
      </c>
      <c r="AG11" t="str">
        <f>IF(AF11&lt;&gt;".",INDEX('4b'!G$11:G$241,MATCH('D-4b-Consolidated (Pivot)'!$AB11,'4b'!$D$11:$D$241,FALSE),1), ".")</f>
        <v>.</v>
      </c>
      <c r="AH11" t="str">
        <f>IF(AG11&lt;&gt;".",INDEX('4b'!H$11:H$241,MATCH('D-4b-Consolidated (Pivot)'!$AB11,'4b'!$D$11:$D$241,FALSE),1), ".")</f>
        <v>.</v>
      </c>
      <c r="AI11" t="str">
        <f>IF(AH11&lt;&gt;".",INDEX('4b'!I$11:I$241,MATCH('D-4b-Consolidated (Pivot)'!$AB11,'4b'!$D$11:$D$241,FALSE),1), ".")</f>
        <v>.</v>
      </c>
      <c r="AJ11" t="str">
        <f>IF(AI11&lt;&gt;".",INDEX('4b'!J$11:J$241,MATCH('D-4b-Consolidated (Pivot)'!$AB11,'4b'!$D$11:$D$241,FALSE),1), ".")</f>
        <v>.</v>
      </c>
      <c r="AK11" t="str">
        <f>IF(OR(AF11=0, AF11="."),".",COUNTIF('D-5 (Pivot)'!$AH$2:$AH$26,'D-4b-Consolidated (Pivot)'!AF11))</f>
        <v>.</v>
      </c>
      <c r="AL11" t="str">
        <f>IF(OR(AG11=0, AG11="."),".",COUNTIF('D-5 (Pivot)'!$AH$2:$AH$26,'D-4b-Consolidated (Pivot)'!AG11))</f>
        <v>.</v>
      </c>
      <c r="AM11" t="str">
        <f>IF(OR(AH11=0, AH11="."),".",COUNTIF('D-5 (Pivot)'!$AH$2:$AH$26,'D-4b-Consolidated (Pivot)'!AH11))</f>
        <v>.</v>
      </c>
      <c r="AN11" t="str">
        <f>IF(OR(AI11=0, AI11="."),".",COUNTIF('D-5 (Pivot)'!$AH$2:$AH$26,'D-4b-Consolidated (Pivot)'!AI11))</f>
        <v>.</v>
      </c>
      <c r="AO11" t="str">
        <f>IF(OR(AJ11=0, AJ11="."),".",COUNTIF('D-5 (Pivot)'!$AH$2:$AH$26,'D-4b-Consolidated (Pivot)'!AJ11))</f>
        <v>.</v>
      </c>
    </row>
    <row r="12" spans="1:41"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v>11</v>
      </c>
      <c r="AB12" t="str">
        <f>IF(ISERROR(Lists!AK12), ".", Lists!AK12)</f>
        <v>.</v>
      </c>
      <c r="AC12" t="str">
        <f>IF(AB12&lt;&gt;".",INDEX('4b'!$B$11:$B$241,MATCH('D-4b-Consolidated (Pivot)'!$AB12,'4b'!$D$11:$D$241,FALSE),1), ".")</f>
        <v>.</v>
      </c>
      <c r="AD12" t="str">
        <f>IF(AC12&lt;&gt;".",INDEX('4b'!$C$11:$C$241,MATCH('D-4b-Consolidated (Pivot)'!$AB12,'4b'!$D$11:$D$241,FALSE),1), ".")</f>
        <v>.</v>
      </c>
      <c r="AE12" t="str">
        <f>IF(AD12&lt;&gt;".",INDEX('4b'!E$11:E$241,MATCH('D-4b-Consolidated (Pivot)'!$AB12,'4b'!$D$11:$D$241,FALSE),1), ".")</f>
        <v>.</v>
      </c>
      <c r="AF12" t="str">
        <f>IF(AE12&lt;&gt;".",INDEX('4b'!F$11:F$241,MATCH('D-4b-Consolidated (Pivot)'!$AB12,'4b'!$D$11:$D$241,FALSE),1), ".")</f>
        <v>.</v>
      </c>
      <c r="AG12" t="str">
        <f>IF(AF12&lt;&gt;".",INDEX('4b'!G$11:G$241,MATCH('D-4b-Consolidated (Pivot)'!$AB12,'4b'!$D$11:$D$241,FALSE),1), ".")</f>
        <v>.</v>
      </c>
      <c r="AH12" t="str">
        <f>IF(AG12&lt;&gt;".",INDEX('4b'!H$11:H$241,MATCH('D-4b-Consolidated (Pivot)'!$AB12,'4b'!$D$11:$D$241,FALSE),1), ".")</f>
        <v>.</v>
      </c>
      <c r="AI12" t="str">
        <f>IF(AH12&lt;&gt;".",INDEX('4b'!I$11:I$241,MATCH('D-4b-Consolidated (Pivot)'!$AB12,'4b'!$D$11:$D$241,FALSE),1), ".")</f>
        <v>.</v>
      </c>
      <c r="AJ12" t="str">
        <f>IF(AI12&lt;&gt;".",INDEX('4b'!J$11:J$241,MATCH('D-4b-Consolidated (Pivot)'!$AB12,'4b'!$D$11:$D$241,FALSE),1), ".")</f>
        <v>.</v>
      </c>
      <c r="AK12" t="str">
        <f>IF(OR(AF12=0, AF12="."),".",COUNTIF('D-5 (Pivot)'!$AH$2:$AH$26,'D-4b-Consolidated (Pivot)'!AF12))</f>
        <v>.</v>
      </c>
      <c r="AL12" t="str">
        <f>IF(OR(AG12=0, AG12="."),".",COUNTIF('D-5 (Pivot)'!$AH$2:$AH$26,'D-4b-Consolidated (Pivot)'!AG12))</f>
        <v>.</v>
      </c>
      <c r="AM12" t="str">
        <f>IF(OR(AH12=0, AH12="."),".",COUNTIF('D-5 (Pivot)'!$AH$2:$AH$26,'D-4b-Consolidated (Pivot)'!AH12))</f>
        <v>.</v>
      </c>
      <c r="AN12" t="str">
        <f>IF(OR(AI12=0, AI12="."),".",COUNTIF('D-5 (Pivot)'!$AH$2:$AH$26,'D-4b-Consolidated (Pivot)'!AI12))</f>
        <v>.</v>
      </c>
      <c r="AO12" t="str">
        <f>IF(OR(AJ12=0, AJ12="."),".",COUNTIF('D-5 (Pivot)'!$AH$2:$AH$26,'D-4b-Consolidated (Pivot)'!AJ12))</f>
        <v>.</v>
      </c>
    </row>
    <row r="13" spans="1:41"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v>12</v>
      </c>
      <c r="AB13" t="str">
        <f>IF(ISERROR(Lists!AK13), ".", Lists!AK13)</f>
        <v>.</v>
      </c>
      <c r="AC13" t="str">
        <f>IF(AB13&lt;&gt;".",INDEX('4b'!$B$11:$B$241,MATCH('D-4b-Consolidated (Pivot)'!$AB13,'4b'!$D$11:$D$241,FALSE),1), ".")</f>
        <v>.</v>
      </c>
      <c r="AD13" t="str">
        <f>IF(AC13&lt;&gt;".",INDEX('4b'!$C$11:$C$241,MATCH('D-4b-Consolidated (Pivot)'!$AB13,'4b'!$D$11:$D$241,FALSE),1), ".")</f>
        <v>.</v>
      </c>
      <c r="AE13" t="str">
        <f>IF(AD13&lt;&gt;".",INDEX('4b'!E$11:E$241,MATCH('D-4b-Consolidated (Pivot)'!$AB13,'4b'!$D$11:$D$241,FALSE),1), ".")</f>
        <v>.</v>
      </c>
      <c r="AF13" t="str">
        <f>IF(AE13&lt;&gt;".",INDEX('4b'!F$11:F$241,MATCH('D-4b-Consolidated (Pivot)'!$AB13,'4b'!$D$11:$D$241,FALSE),1), ".")</f>
        <v>.</v>
      </c>
      <c r="AG13" t="str">
        <f>IF(AF13&lt;&gt;".",INDEX('4b'!G$11:G$241,MATCH('D-4b-Consolidated (Pivot)'!$AB13,'4b'!$D$11:$D$241,FALSE),1), ".")</f>
        <v>.</v>
      </c>
      <c r="AH13" t="str">
        <f>IF(AG13&lt;&gt;".",INDEX('4b'!H$11:H$241,MATCH('D-4b-Consolidated (Pivot)'!$AB13,'4b'!$D$11:$D$241,FALSE),1), ".")</f>
        <v>.</v>
      </c>
      <c r="AI13" t="str">
        <f>IF(AH13&lt;&gt;".",INDEX('4b'!I$11:I$241,MATCH('D-4b-Consolidated (Pivot)'!$AB13,'4b'!$D$11:$D$241,FALSE),1), ".")</f>
        <v>.</v>
      </c>
      <c r="AJ13" t="str">
        <f>IF(AI13&lt;&gt;".",INDEX('4b'!J$11:J$241,MATCH('D-4b-Consolidated (Pivot)'!$AB13,'4b'!$D$11:$D$241,FALSE),1), ".")</f>
        <v>.</v>
      </c>
      <c r="AK13" t="str">
        <f>IF(OR(AF13=0, AF13="."),".",COUNTIF('D-5 (Pivot)'!$AH$2:$AH$26,'D-4b-Consolidated (Pivot)'!AF13))</f>
        <v>.</v>
      </c>
      <c r="AL13" t="str">
        <f>IF(OR(AG13=0, AG13="."),".",COUNTIF('D-5 (Pivot)'!$AH$2:$AH$26,'D-4b-Consolidated (Pivot)'!AG13))</f>
        <v>.</v>
      </c>
      <c r="AM13" t="str">
        <f>IF(OR(AH13=0, AH13="."),".",COUNTIF('D-5 (Pivot)'!$AH$2:$AH$26,'D-4b-Consolidated (Pivot)'!AH13))</f>
        <v>.</v>
      </c>
      <c r="AN13" t="str">
        <f>IF(OR(AI13=0, AI13="."),".",COUNTIF('D-5 (Pivot)'!$AH$2:$AH$26,'D-4b-Consolidated (Pivot)'!AI13))</f>
        <v>.</v>
      </c>
      <c r="AO13" t="str">
        <f>IF(OR(AJ13=0, AJ13="."),".",COUNTIF('D-5 (Pivot)'!$AH$2:$AH$26,'D-4b-Consolidated (Pivot)'!AJ13))</f>
        <v>.</v>
      </c>
    </row>
    <row r="14" spans="1:41"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v>13</v>
      </c>
      <c r="AB14" t="str">
        <f>IF(ISERROR(Lists!AK14), ".", Lists!AK14)</f>
        <v>.</v>
      </c>
      <c r="AC14" t="str">
        <f>IF(AB14&lt;&gt;".",INDEX('4b'!$B$11:$B$241,MATCH('D-4b-Consolidated (Pivot)'!$AB14,'4b'!$D$11:$D$241,FALSE),1), ".")</f>
        <v>.</v>
      </c>
      <c r="AD14" t="str">
        <f>IF(AC14&lt;&gt;".",INDEX('4b'!$C$11:$C$241,MATCH('D-4b-Consolidated (Pivot)'!$AB14,'4b'!$D$11:$D$241,FALSE),1), ".")</f>
        <v>.</v>
      </c>
      <c r="AE14" t="str">
        <f>IF(AD14&lt;&gt;".",INDEX('4b'!E$11:E$241,MATCH('D-4b-Consolidated (Pivot)'!$AB14,'4b'!$D$11:$D$241,FALSE),1), ".")</f>
        <v>.</v>
      </c>
      <c r="AF14" t="str">
        <f>IF(AE14&lt;&gt;".",INDEX('4b'!F$11:F$241,MATCH('D-4b-Consolidated (Pivot)'!$AB14,'4b'!$D$11:$D$241,FALSE),1), ".")</f>
        <v>.</v>
      </c>
      <c r="AG14" t="str">
        <f>IF(AF14&lt;&gt;".",INDEX('4b'!G$11:G$241,MATCH('D-4b-Consolidated (Pivot)'!$AB14,'4b'!$D$11:$D$241,FALSE),1), ".")</f>
        <v>.</v>
      </c>
      <c r="AH14" t="str">
        <f>IF(AG14&lt;&gt;".",INDEX('4b'!H$11:H$241,MATCH('D-4b-Consolidated (Pivot)'!$AB14,'4b'!$D$11:$D$241,FALSE),1), ".")</f>
        <v>.</v>
      </c>
      <c r="AI14" t="str">
        <f>IF(AH14&lt;&gt;".",INDEX('4b'!I$11:I$241,MATCH('D-4b-Consolidated (Pivot)'!$AB14,'4b'!$D$11:$D$241,FALSE),1), ".")</f>
        <v>.</v>
      </c>
      <c r="AJ14" t="str">
        <f>IF(AI14&lt;&gt;".",INDEX('4b'!J$11:J$241,MATCH('D-4b-Consolidated (Pivot)'!$AB14,'4b'!$D$11:$D$241,FALSE),1), ".")</f>
        <v>.</v>
      </c>
      <c r="AK14" t="str">
        <f>IF(OR(AF14=0, AF14="."),".",COUNTIF('D-5 (Pivot)'!$AH$2:$AH$26,'D-4b-Consolidated (Pivot)'!AF14))</f>
        <v>.</v>
      </c>
      <c r="AL14" t="str">
        <f>IF(OR(AG14=0, AG14="."),".",COUNTIF('D-5 (Pivot)'!$AH$2:$AH$26,'D-4b-Consolidated (Pivot)'!AG14))</f>
        <v>.</v>
      </c>
      <c r="AM14" t="str">
        <f>IF(OR(AH14=0, AH14="."),".",COUNTIF('D-5 (Pivot)'!$AH$2:$AH$26,'D-4b-Consolidated (Pivot)'!AH14))</f>
        <v>.</v>
      </c>
      <c r="AN14" t="str">
        <f>IF(OR(AI14=0, AI14="."),".",COUNTIF('D-5 (Pivot)'!$AH$2:$AH$26,'D-4b-Consolidated (Pivot)'!AI14))</f>
        <v>.</v>
      </c>
      <c r="AO14" t="str">
        <f>IF(OR(AJ14=0, AJ14="."),".",COUNTIF('D-5 (Pivot)'!$AH$2:$AH$26,'D-4b-Consolidated (Pivot)'!AJ14))</f>
        <v>.</v>
      </c>
    </row>
    <row r="15" spans="1:41"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v>14</v>
      </c>
      <c r="AB15" t="str">
        <f>IF(ISERROR(Lists!AK15), ".", Lists!AK15)</f>
        <v>.</v>
      </c>
      <c r="AC15" t="str">
        <f>IF(AB15&lt;&gt;".",INDEX('4b'!$B$11:$B$241,MATCH('D-4b-Consolidated (Pivot)'!$AB15,'4b'!$D$11:$D$241,FALSE),1), ".")</f>
        <v>.</v>
      </c>
      <c r="AD15" t="str">
        <f>IF(AC15&lt;&gt;".",INDEX('4b'!$C$11:$C$241,MATCH('D-4b-Consolidated (Pivot)'!$AB15,'4b'!$D$11:$D$241,FALSE),1), ".")</f>
        <v>.</v>
      </c>
      <c r="AE15" t="str">
        <f>IF(AD15&lt;&gt;".",INDEX('4b'!E$11:E$241,MATCH('D-4b-Consolidated (Pivot)'!$AB15,'4b'!$D$11:$D$241,FALSE),1), ".")</f>
        <v>.</v>
      </c>
      <c r="AF15" t="str">
        <f>IF(AE15&lt;&gt;".",INDEX('4b'!F$11:F$241,MATCH('D-4b-Consolidated (Pivot)'!$AB15,'4b'!$D$11:$D$241,FALSE),1), ".")</f>
        <v>.</v>
      </c>
      <c r="AG15" t="str">
        <f>IF(AF15&lt;&gt;".",INDEX('4b'!G$11:G$241,MATCH('D-4b-Consolidated (Pivot)'!$AB15,'4b'!$D$11:$D$241,FALSE),1), ".")</f>
        <v>.</v>
      </c>
      <c r="AH15" t="str">
        <f>IF(AG15&lt;&gt;".",INDEX('4b'!H$11:H$241,MATCH('D-4b-Consolidated (Pivot)'!$AB15,'4b'!$D$11:$D$241,FALSE),1), ".")</f>
        <v>.</v>
      </c>
      <c r="AI15" t="str">
        <f>IF(AH15&lt;&gt;".",INDEX('4b'!I$11:I$241,MATCH('D-4b-Consolidated (Pivot)'!$AB15,'4b'!$D$11:$D$241,FALSE),1), ".")</f>
        <v>.</v>
      </c>
      <c r="AJ15" t="str">
        <f>IF(AI15&lt;&gt;".",INDEX('4b'!J$11:J$241,MATCH('D-4b-Consolidated (Pivot)'!$AB15,'4b'!$D$11:$D$241,FALSE),1), ".")</f>
        <v>.</v>
      </c>
      <c r="AK15" t="str">
        <f>IF(OR(AF15=0, AF15="."),".",COUNTIF('D-5 (Pivot)'!$AH$2:$AH$26,'D-4b-Consolidated (Pivot)'!AF15))</f>
        <v>.</v>
      </c>
      <c r="AL15" t="str">
        <f>IF(OR(AG15=0, AG15="."),".",COUNTIF('D-5 (Pivot)'!$AH$2:$AH$26,'D-4b-Consolidated (Pivot)'!AG15))</f>
        <v>.</v>
      </c>
      <c r="AM15" t="str">
        <f>IF(OR(AH15=0, AH15="."),".",COUNTIF('D-5 (Pivot)'!$AH$2:$AH$26,'D-4b-Consolidated (Pivot)'!AH15))</f>
        <v>.</v>
      </c>
      <c r="AN15" t="str">
        <f>IF(OR(AI15=0, AI15="."),".",COUNTIF('D-5 (Pivot)'!$AH$2:$AH$26,'D-4b-Consolidated (Pivot)'!AI15))</f>
        <v>.</v>
      </c>
      <c r="AO15" t="str">
        <f>IF(OR(AJ15=0, AJ15="."),".",COUNTIF('D-5 (Pivot)'!$AH$2:$AH$26,'D-4b-Consolidated (Pivot)'!AJ15))</f>
        <v>.</v>
      </c>
    </row>
    <row r="16" spans="1:41"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v>15</v>
      </c>
      <c r="AB16" t="str">
        <f>IF(ISERROR(Lists!AK16), ".", Lists!AK16)</f>
        <v>.</v>
      </c>
      <c r="AC16" t="str">
        <f>IF(AB16&lt;&gt;".",INDEX('4b'!$B$11:$B$241,MATCH('D-4b-Consolidated (Pivot)'!$AB16,'4b'!$D$11:$D$241,FALSE),1), ".")</f>
        <v>.</v>
      </c>
      <c r="AD16" t="str">
        <f>IF(AC16&lt;&gt;".",INDEX('4b'!$C$11:$C$241,MATCH('D-4b-Consolidated (Pivot)'!$AB16,'4b'!$D$11:$D$241,FALSE),1), ".")</f>
        <v>.</v>
      </c>
      <c r="AE16" t="str">
        <f>IF(AD16&lt;&gt;".",INDEX('4b'!E$11:E$241,MATCH('D-4b-Consolidated (Pivot)'!$AB16,'4b'!$D$11:$D$241,FALSE),1), ".")</f>
        <v>.</v>
      </c>
      <c r="AF16" t="str">
        <f>IF(AE16&lt;&gt;".",INDEX('4b'!F$11:F$241,MATCH('D-4b-Consolidated (Pivot)'!$AB16,'4b'!$D$11:$D$241,FALSE),1), ".")</f>
        <v>.</v>
      </c>
      <c r="AG16" t="str">
        <f>IF(AF16&lt;&gt;".",INDEX('4b'!G$11:G$241,MATCH('D-4b-Consolidated (Pivot)'!$AB16,'4b'!$D$11:$D$241,FALSE),1), ".")</f>
        <v>.</v>
      </c>
      <c r="AH16" t="str">
        <f>IF(AG16&lt;&gt;".",INDEX('4b'!H$11:H$241,MATCH('D-4b-Consolidated (Pivot)'!$AB16,'4b'!$D$11:$D$241,FALSE),1), ".")</f>
        <v>.</v>
      </c>
      <c r="AI16" t="str">
        <f>IF(AH16&lt;&gt;".",INDEX('4b'!I$11:I$241,MATCH('D-4b-Consolidated (Pivot)'!$AB16,'4b'!$D$11:$D$241,FALSE),1), ".")</f>
        <v>.</v>
      </c>
      <c r="AJ16" t="str">
        <f>IF(AI16&lt;&gt;".",INDEX('4b'!J$11:J$241,MATCH('D-4b-Consolidated (Pivot)'!$AB16,'4b'!$D$11:$D$241,FALSE),1), ".")</f>
        <v>.</v>
      </c>
      <c r="AK16" t="str">
        <f>IF(OR(AF16=0, AF16="."),".",COUNTIF('D-5 (Pivot)'!$AH$2:$AH$26,'D-4b-Consolidated (Pivot)'!AF16))</f>
        <v>.</v>
      </c>
      <c r="AL16" t="str">
        <f>IF(OR(AG16=0, AG16="."),".",COUNTIF('D-5 (Pivot)'!$AH$2:$AH$26,'D-4b-Consolidated (Pivot)'!AG16))</f>
        <v>.</v>
      </c>
      <c r="AM16" t="str">
        <f>IF(OR(AH16=0, AH16="."),".",COUNTIF('D-5 (Pivot)'!$AH$2:$AH$26,'D-4b-Consolidated (Pivot)'!AH16))</f>
        <v>.</v>
      </c>
      <c r="AN16" t="str">
        <f>IF(OR(AI16=0, AI16="."),".",COUNTIF('D-5 (Pivot)'!$AH$2:$AH$26,'D-4b-Consolidated (Pivot)'!AI16))</f>
        <v>.</v>
      </c>
      <c r="AO16" t="str">
        <f>IF(OR(AJ16=0, AJ16="."),".",COUNTIF('D-5 (Pivot)'!$AH$2:$AH$26,'D-4b-Consolidated (Pivot)'!AJ16))</f>
        <v>.</v>
      </c>
    </row>
    <row r="17" spans="1:41"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v>16</v>
      </c>
      <c r="AB17" t="str">
        <f>IF(ISERROR(Lists!AK17), ".", Lists!AK17)</f>
        <v>.</v>
      </c>
      <c r="AC17" t="str">
        <f>IF(AB17&lt;&gt;".",INDEX('4b'!$B$11:$B$241,MATCH('D-4b-Consolidated (Pivot)'!$AB17,'4b'!$D$11:$D$241,FALSE),1), ".")</f>
        <v>.</v>
      </c>
      <c r="AD17" t="str">
        <f>IF(AC17&lt;&gt;".",INDEX('4b'!$C$11:$C$241,MATCH('D-4b-Consolidated (Pivot)'!$AB17,'4b'!$D$11:$D$241,FALSE),1), ".")</f>
        <v>.</v>
      </c>
      <c r="AE17" t="str">
        <f>IF(AD17&lt;&gt;".",INDEX('4b'!E$11:E$241,MATCH('D-4b-Consolidated (Pivot)'!$AB17,'4b'!$D$11:$D$241,FALSE),1), ".")</f>
        <v>.</v>
      </c>
      <c r="AF17" t="str">
        <f>IF(AE17&lt;&gt;".",INDEX('4b'!F$11:F$241,MATCH('D-4b-Consolidated (Pivot)'!$AB17,'4b'!$D$11:$D$241,FALSE),1), ".")</f>
        <v>.</v>
      </c>
      <c r="AG17" t="str">
        <f>IF(AF17&lt;&gt;".",INDEX('4b'!G$11:G$241,MATCH('D-4b-Consolidated (Pivot)'!$AB17,'4b'!$D$11:$D$241,FALSE),1), ".")</f>
        <v>.</v>
      </c>
      <c r="AH17" t="str">
        <f>IF(AG17&lt;&gt;".",INDEX('4b'!H$11:H$241,MATCH('D-4b-Consolidated (Pivot)'!$AB17,'4b'!$D$11:$D$241,FALSE),1), ".")</f>
        <v>.</v>
      </c>
      <c r="AI17" t="str">
        <f>IF(AH17&lt;&gt;".",INDEX('4b'!I$11:I$241,MATCH('D-4b-Consolidated (Pivot)'!$AB17,'4b'!$D$11:$D$241,FALSE),1), ".")</f>
        <v>.</v>
      </c>
      <c r="AJ17" t="str">
        <f>IF(AI17&lt;&gt;".",INDEX('4b'!J$11:J$241,MATCH('D-4b-Consolidated (Pivot)'!$AB17,'4b'!$D$11:$D$241,FALSE),1), ".")</f>
        <v>.</v>
      </c>
      <c r="AK17" t="str">
        <f>IF(OR(AF17=0, AF17="."),".",COUNTIF('D-5 (Pivot)'!$AH$2:$AH$26,'D-4b-Consolidated (Pivot)'!AF17))</f>
        <v>.</v>
      </c>
      <c r="AL17" t="str">
        <f>IF(OR(AG17=0, AG17="."),".",COUNTIF('D-5 (Pivot)'!$AH$2:$AH$26,'D-4b-Consolidated (Pivot)'!AG17))</f>
        <v>.</v>
      </c>
      <c r="AM17" t="str">
        <f>IF(OR(AH17=0, AH17="."),".",COUNTIF('D-5 (Pivot)'!$AH$2:$AH$26,'D-4b-Consolidated (Pivot)'!AH17))</f>
        <v>.</v>
      </c>
      <c r="AN17" t="str">
        <f>IF(OR(AI17=0, AI17="."),".",COUNTIF('D-5 (Pivot)'!$AH$2:$AH$26,'D-4b-Consolidated (Pivot)'!AI17))</f>
        <v>.</v>
      </c>
      <c r="AO17" t="str">
        <f>IF(OR(AJ17=0, AJ17="."),".",COUNTIF('D-5 (Pivot)'!$AH$2:$AH$26,'D-4b-Consolidated (Pivot)'!AJ17))</f>
        <v>.</v>
      </c>
    </row>
    <row r="18" spans="1:41"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v>17</v>
      </c>
      <c r="AB18" t="str">
        <f>IF(ISERROR(Lists!AK18), ".", Lists!AK18)</f>
        <v>.</v>
      </c>
      <c r="AC18" t="str">
        <f>IF(AB18&lt;&gt;".",INDEX('4b'!$B$11:$B$241,MATCH('D-4b-Consolidated (Pivot)'!$AB18,'4b'!$D$11:$D$241,FALSE),1), ".")</f>
        <v>.</v>
      </c>
      <c r="AD18" t="str">
        <f>IF(AC18&lt;&gt;".",INDEX('4b'!$C$11:$C$241,MATCH('D-4b-Consolidated (Pivot)'!$AB18,'4b'!$D$11:$D$241,FALSE),1), ".")</f>
        <v>.</v>
      </c>
      <c r="AE18" t="str">
        <f>IF(AD18&lt;&gt;".",INDEX('4b'!E$11:E$241,MATCH('D-4b-Consolidated (Pivot)'!$AB18,'4b'!$D$11:$D$241,FALSE),1), ".")</f>
        <v>.</v>
      </c>
      <c r="AF18" t="str">
        <f>IF(AE18&lt;&gt;".",INDEX('4b'!F$11:F$241,MATCH('D-4b-Consolidated (Pivot)'!$AB18,'4b'!$D$11:$D$241,FALSE),1), ".")</f>
        <v>.</v>
      </c>
      <c r="AG18" t="str">
        <f>IF(AF18&lt;&gt;".",INDEX('4b'!G$11:G$241,MATCH('D-4b-Consolidated (Pivot)'!$AB18,'4b'!$D$11:$D$241,FALSE),1), ".")</f>
        <v>.</v>
      </c>
      <c r="AH18" t="str">
        <f>IF(AG18&lt;&gt;".",INDEX('4b'!H$11:H$241,MATCH('D-4b-Consolidated (Pivot)'!$AB18,'4b'!$D$11:$D$241,FALSE),1), ".")</f>
        <v>.</v>
      </c>
      <c r="AI18" t="str">
        <f>IF(AH18&lt;&gt;".",INDEX('4b'!I$11:I$241,MATCH('D-4b-Consolidated (Pivot)'!$AB18,'4b'!$D$11:$D$241,FALSE),1), ".")</f>
        <v>.</v>
      </c>
      <c r="AJ18" t="str">
        <f>IF(AI18&lt;&gt;".",INDEX('4b'!J$11:J$241,MATCH('D-4b-Consolidated (Pivot)'!$AB18,'4b'!$D$11:$D$241,FALSE),1), ".")</f>
        <v>.</v>
      </c>
      <c r="AK18" t="str">
        <f>IF(OR(AF18=0, AF18="."),".",COUNTIF('D-5 (Pivot)'!$AH$2:$AH$26,'D-4b-Consolidated (Pivot)'!AF18))</f>
        <v>.</v>
      </c>
      <c r="AL18" t="str">
        <f>IF(OR(AG18=0, AG18="."),".",COUNTIF('D-5 (Pivot)'!$AH$2:$AH$26,'D-4b-Consolidated (Pivot)'!AG18))</f>
        <v>.</v>
      </c>
      <c r="AM18" t="str">
        <f>IF(OR(AH18=0, AH18="."),".",COUNTIF('D-5 (Pivot)'!$AH$2:$AH$26,'D-4b-Consolidated (Pivot)'!AH18))</f>
        <v>.</v>
      </c>
      <c r="AN18" t="str">
        <f>IF(OR(AI18=0, AI18="."),".",COUNTIF('D-5 (Pivot)'!$AH$2:$AH$26,'D-4b-Consolidated (Pivot)'!AI18))</f>
        <v>.</v>
      </c>
      <c r="AO18" t="str">
        <f>IF(OR(AJ18=0, AJ18="."),".",COUNTIF('D-5 (Pivot)'!$AH$2:$AH$26,'D-4b-Consolidated (Pivot)'!AJ18))</f>
        <v>.</v>
      </c>
    </row>
    <row r="19" spans="1:41"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v>18</v>
      </c>
      <c r="AB19" t="str">
        <f>IF(ISERROR(Lists!AK19), ".", Lists!AK19)</f>
        <v>.</v>
      </c>
      <c r="AC19" t="str">
        <f>IF(AB19&lt;&gt;".",INDEX('4b'!$B$11:$B$241,MATCH('D-4b-Consolidated (Pivot)'!$AB19,'4b'!$D$11:$D$241,FALSE),1), ".")</f>
        <v>.</v>
      </c>
      <c r="AD19" t="str">
        <f>IF(AC19&lt;&gt;".",INDEX('4b'!$C$11:$C$241,MATCH('D-4b-Consolidated (Pivot)'!$AB19,'4b'!$D$11:$D$241,FALSE),1), ".")</f>
        <v>.</v>
      </c>
      <c r="AE19" t="str">
        <f>IF(AD19&lt;&gt;".",INDEX('4b'!E$11:E$241,MATCH('D-4b-Consolidated (Pivot)'!$AB19,'4b'!$D$11:$D$241,FALSE),1), ".")</f>
        <v>.</v>
      </c>
      <c r="AF19" t="str">
        <f>IF(AE19&lt;&gt;".",INDEX('4b'!F$11:F$241,MATCH('D-4b-Consolidated (Pivot)'!$AB19,'4b'!$D$11:$D$241,FALSE),1), ".")</f>
        <v>.</v>
      </c>
      <c r="AG19" t="str">
        <f>IF(AF19&lt;&gt;".",INDEX('4b'!G$11:G$241,MATCH('D-4b-Consolidated (Pivot)'!$AB19,'4b'!$D$11:$D$241,FALSE),1), ".")</f>
        <v>.</v>
      </c>
      <c r="AH19" t="str">
        <f>IF(AG19&lt;&gt;".",INDEX('4b'!H$11:H$241,MATCH('D-4b-Consolidated (Pivot)'!$AB19,'4b'!$D$11:$D$241,FALSE),1), ".")</f>
        <v>.</v>
      </c>
      <c r="AI19" t="str">
        <f>IF(AH19&lt;&gt;".",INDEX('4b'!I$11:I$241,MATCH('D-4b-Consolidated (Pivot)'!$AB19,'4b'!$D$11:$D$241,FALSE),1), ".")</f>
        <v>.</v>
      </c>
      <c r="AJ19" t="str">
        <f>IF(AI19&lt;&gt;".",INDEX('4b'!J$11:J$241,MATCH('D-4b-Consolidated (Pivot)'!$AB19,'4b'!$D$11:$D$241,FALSE),1), ".")</f>
        <v>.</v>
      </c>
      <c r="AK19" t="str">
        <f>IF(OR(AF19=0, AF19="."),".",COUNTIF('D-5 (Pivot)'!$AH$2:$AH$26,'D-4b-Consolidated (Pivot)'!AF19))</f>
        <v>.</v>
      </c>
      <c r="AL19" t="str">
        <f>IF(OR(AG19=0, AG19="."),".",COUNTIF('D-5 (Pivot)'!$AH$2:$AH$26,'D-4b-Consolidated (Pivot)'!AG19))</f>
        <v>.</v>
      </c>
      <c r="AM19" t="str">
        <f>IF(OR(AH19=0, AH19="."),".",COUNTIF('D-5 (Pivot)'!$AH$2:$AH$26,'D-4b-Consolidated (Pivot)'!AH19))</f>
        <v>.</v>
      </c>
      <c r="AN19" t="str">
        <f>IF(OR(AI19=0, AI19="."),".",COUNTIF('D-5 (Pivot)'!$AH$2:$AH$26,'D-4b-Consolidated (Pivot)'!AI19))</f>
        <v>.</v>
      </c>
      <c r="AO19" t="str">
        <f>IF(OR(AJ19=0, AJ19="."),".",COUNTIF('D-5 (Pivot)'!$AH$2:$AH$26,'D-4b-Consolidated (Pivot)'!AJ19))</f>
        <v>.</v>
      </c>
    </row>
    <row r="20" spans="1:41"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v>19</v>
      </c>
      <c r="AB20" t="str">
        <f>IF(ISERROR(Lists!AK20), ".", Lists!AK20)</f>
        <v>.</v>
      </c>
      <c r="AC20" t="str">
        <f>IF(AB20&lt;&gt;".",INDEX('4b'!$B$11:$B$241,MATCH('D-4b-Consolidated (Pivot)'!$AB20,'4b'!$D$11:$D$241,FALSE),1), ".")</f>
        <v>.</v>
      </c>
      <c r="AD20" t="str">
        <f>IF(AC20&lt;&gt;".",INDEX('4b'!$C$11:$C$241,MATCH('D-4b-Consolidated (Pivot)'!$AB20,'4b'!$D$11:$D$241,FALSE),1), ".")</f>
        <v>.</v>
      </c>
      <c r="AE20" t="str">
        <f>IF(AD20&lt;&gt;".",INDEX('4b'!E$11:E$241,MATCH('D-4b-Consolidated (Pivot)'!$AB20,'4b'!$D$11:$D$241,FALSE),1), ".")</f>
        <v>.</v>
      </c>
      <c r="AF20" t="str">
        <f>IF(AE20&lt;&gt;".",INDEX('4b'!F$11:F$241,MATCH('D-4b-Consolidated (Pivot)'!$AB20,'4b'!$D$11:$D$241,FALSE),1), ".")</f>
        <v>.</v>
      </c>
      <c r="AG20" t="str">
        <f>IF(AF20&lt;&gt;".",INDEX('4b'!G$11:G$241,MATCH('D-4b-Consolidated (Pivot)'!$AB20,'4b'!$D$11:$D$241,FALSE),1), ".")</f>
        <v>.</v>
      </c>
      <c r="AH20" t="str">
        <f>IF(AG20&lt;&gt;".",INDEX('4b'!H$11:H$241,MATCH('D-4b-Consolidated (Pivot)'!$AB20,'4b'!$D$11:$D$241,FALSE),1), ".")</f>
        <v>.</v>
      </c>
      <c r="AI20" t="str">
        <f>IF(AH20&lt;&gt;".",INDEX('4b'!I$11:I$241,MATCH('D-4b-Consolidated (Pivot)'!$AB20,'4b'!$D$11:$D$241,FALSE),1), ".")</f>
        <v>.</v>
      </c>
      <c r="AJ20" t="str">
        <f>IF(AI20&lt;&gt;".",INDEX('4b'!J$11:J$241,MATCH('D-4b-Consolidated (Pivot)'!$AB20,'4b'!$D$11:$D$241,FALSE),1), ".")</f>
        <v>.</v>
      </c>
      <c r="AK20" t="str">
        <f>IF(OR(AF20=0, AF20="."),".",COUNTIF('D-5 (Pivot)'!$AH$2:$AH$26,'D-4b-Consolidated (Pivot)'!AF20))</f>
        <v>.</v>
      </c>
      <c r="AL20" t="str">
        <f>IF(OR(AG20=0, AG20="."),".",COUNTIF('D-5 (Pivot)'!$AH$2:$AH$26,'D-4b-Consolidated (Pivot)'!AG20))</f>
        <v>.</v>
      </c>
      <c r="AM20" t="str">
        <f>IF(OR(AH20=0, AH20="."),".",COUNTIF('D-5 (Pivot)'!$AH$2:$AH$26,'D-4b-Consolidated (Pivot)'!AH20))</f>
        <v>.</v>
      </c>
      <c r="AN20" t="str">
        <f>IF(OR(AI20=0, AI20="."),".",COUNTIF('D-5 (Pivot)'!$AH$2:$AH$26,'D-4b-Consolidated (Pivot)'!AI20))</f>
        <v>.</v>
      </c>
      <c r="AO20" t="str">
        <f>IF(OR(AJ20=0, AJ20="."),".",COUNTIF('D-5 (Pivot)'!$AH$2:$AH$26,'D-4b-Consolidated (Pivot)'!AJ20))</f>
        <v>.</v>
      </c>
    </row>
    <row r="21" spans="1:41"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v>20</v>
      </c>
      <c r="AB21" t="str">
        <f>IF(ISERROR(Lists!AK21), ".", Lists!AK21)</f>
        <v>.</v>
      </c>
      <c r="AC21" t="str">
        <f>IF(AB21&lt;&gt;".",INDEX('4b'!$B$11:$B$241,MATCH('D-4b-Consolidated (Pivot)'!$AB21,'4b'!$D$11:$D$241,FALSE),1), ".")</f>
        <v>.</v>
      </c>
      <c r="AD21" t="str">
        <f>IF(AC21&lt;&gt;".",INDEX('4b'!$C$11:$C$241,MATCH('D-4b-Consolidated (Pivot)'!$AB21,'4b'!$D$11:$D$241,FALSE),1), ".")</f>
        <v>.</v>
      </c>
      <c r="AE21" t="str">
        <f>IF(AD21&lt;&gt;".",INDEX('4b'!E$11:E$241,MATCH('D-4b-Consolidated (Pivot)'!$AB21,'4b'!$D$11:$D$241,FALSE),1), ".")</f>
        <v>.</v>
      </c>
      <c r="AF21" t="str">
        <f>IF(AE21&lt;&gt;".",INDEX('4b'!F$11:F$241,MATCH('D-4b-Consolidated (Pivot)'!$AB21,'4b'!$D$11:$D$241,FALSE),1), ".")</f>
        <v>.</v>
      </c>
      <c r="AG21" t="str">
        <f>IF(AF21&lt;&gt;".",INDEX('4b'!G$11:G$241,MATCH('D-4b-Consolidated (Pivot)'!$AB21,'4b'!$D$11:$D$241,FALSE),1), ".")</f>
        <v>.</v>
      </c>
      <c r="AH21" t="str">
        <f>IF(AG21&lt;&gt;".",INDEX('4b'!H$11:H$241,MATCH('D-4b-Consolidated (Pivot)'!$AB21,'4b'!$D$11:$D$241,FALSE),1), ".")</f>
        <v>.</v>
      </c>
      <c r="AI21" t="str">
        <f>IF(AH21&lt;&gt;".",INDEX('4b'!I$11:I$241,MATCH('D-4b-Consolidated (Pivot)'!$AB21,'4b'!$D$11:$D$241,FALSE),1), ".")</f>
        <v>.</v>
      </c>
      <c r="AJ21" t="str">
        <f>IF(AI21&lt;&gt;".",INDEX('4b'!J$11:J$241,MATCH('D-4b-Consolidated (Pivot)'!$AB21,'4b'!$D$11:$D$241,FALSE),1), ".")</f>
        <v>.</v>
      </c>
      <c r="AK21" t="str">
        <f>IF(OR(AF21=0, AF21="."),".",COUNTIF('D-5 (Pivot)'!$AH$2:$AH$26,'D-4b-Consolidated (Pivot)'!AF21))</f>
        <v>.</v>
      </c>
      <c r="AL21" t="str">
        <f>IF(OR(AG21=0, AG21="."),".",COUNTIF('D-5 (Pivot)'!$AH$2:$AH$26,'D-4b-Consolidated (Pivot)'!AG21))</f>
        <v>.</v>
      </c>
      <c r="AM21" t="str">
        <f>IF(OR(AH21=0, AH21="."),".",COUNTIF('D-5 (Pivot)'!$AH$2:$AH$26,'D-4b-Consolidated (Pivot)'!AH21))</f>
        <v>.</v>
      </c>
      <c r="AN21" t="str">
        <f>IF(OR(AI21=0, AI21="."),".",COUNTIF('D-5 (Pivot)'!$AH$2:$AH$26,'D-4b-Consolidated (Pivot)'!AI21))</f>
        <v>.</v>
      </c>
      <c r="AO21" t="str">
        <f>IF(OR(AJ21=0, AJ21="."),".",COUNTIF('D-5 (Pivot)'!$AH$2:$AH$26,'D-4b-Consolidated (Pivot)'!AJ21))</f>
        <v>.</v>
      </c>
    </row>
    <row r="22" spans="1:41"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v>21</v>
      </c>
      <c r="AB22" t="str">
        <f>IF(ISERROR(Lists!AK22), ".", Lists!AK22)</f>
        <v>.</v>
      </c>
      <c r="AC22" t="str">
        <f>IF(AB22&lt;&gt;".",INDEX('4b'!$B$11:$B$241,MATCH('D-4b-Consolidated (Pivot)'!$AB22,'4b'!$D$11:$D$241,FALSE),1), ".")</f>
        <v>.</v>
      </c>
      <c r="AD22" t="str">
        <f>IF(AC22&lt;&gt;".",INDEX('4b'!$C$11:$C$241,MATCH('D-4b-Consolidated (Pivot)'!$AB22,'4b'!$D$11:$D$241,FALSE),1), ".")</f>
        <v>.</v>
      </c>
      <c r="AE22" t="str">
        <f>IF(AD22&lt;&gt;".",INDEX('4b'!E$11:E$241,MATCH('D-4b-Consolidated (Pivot)'!$AB22,'4b'!$D$11:$D$241,FALSE),1), ".")</f>
        <v>.</v>
      </c>
      <c r="AF22" t="str">
        <f>IF(AE22&lt;&gt;".",INDEX('4b'!F$11:F$241,MATCH('D-4b-Consolidated (Pivot)'!$AB22,'4b'!$D$11:$D$241,FALSE),1), ".")</f>
        <v>.</v>
      </c>
      <c r="AG22" t="str">
        <f>IF(AF22&lt;&gt;".",INDEX('4b'!G$11:G$241,MATCH('D-4b-Consolidated (Pivot)'!$AB22,'4b'!$D$11:$D$241,FALSE),1), ".")</f>
        <v>.</v>
      </c>
      <c r="AH22" t="str">
        <f>IF(AG22&lt;&gt;".",INDEX('4b'!H$11:H$241,MATCH('D-4b-Consolidated (Pivot)'!$AB22,'4b'!$D$11:$D$241,FALSE),1), ".")</f>
        <v>.</v>
      </c>
      <c r="AI22" t="str">
        <f>IF(AH22&lt;&gt;".",INDEX('4b'!I$11:I$241,MATCH('D-4b-Consolidated (Pivot)'!$AB22,'4b'!$D$11:$D$241,FALSE),1), ".")</f>
        <v>.</v>
      </c>
      <c r="AJ22" t="str">
        <f>IF(AI22&lt;&gt;".",INDEX('4b'!J$11:J$241,MATCH('D-4b-Consolidated (Pivot)'!$AB22,'4b'!$D$11:$D$241,FALSE),1), ".")</f>
        <v>.</v>
      </c>
      <c r="AK22" t="str">
        <f>IF(OR(AF22=0, AF22="."),".",COUNTIF('D-5 (Pivot)'!$AH$2:$AH$26,'D-4b-Consolidated (Pivot)'!AF22))</f>
        <v>.</v>
      </c>
      <c r="AL22" t="str">
        <f>IF(OR(AG22=0, AG22="."),".",COUNTIF('D-5 (Pivot)'!$AH$2:$AH$26,'D-4b-Consolidated (Pivot)'!AG22))</f>
        <v>.</v>
      </c>
      <c r="AM22" t="str">
        <f>IF(OR(AH22=0, AH22="."),".",COUNTIF('D-5 (Pivot)'!$AH$2:$AH$26,'D-4b-Consolidated (Pivot)'!AH22))</f>
        <v>.</v>
      </c>
      <c r="AN22" t="str">
        <f>IF(OR(AI22=0, AI22="."),".",COUNTIF('D-5 (Pivot)'!$AH$2:$AH$26,'D-4b-Consolidated (Pivot)'!AI22))</f>
        <v>.</v>
      </c>
      <c r="AO22" t="str">
        <f>IF(OR(AJ22=0, AJ22="."),".",COUNTIF('D-5 (Pivot)'!$AH$2:$AH$26,'D-4b-Consolidated (Pivot)'!AJ22))</f>
        <v>.</v>
      </c>
    </row>
    <row r="23" spans="1:41"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v>22</v>
      </c>
      <c r="AB23" t="str">
        <f>IF(ISERROR(Lists!AK23), ".", Lists!AK23)</f>
        <v>.</v>
      </c>
      <c r="AC23" t="str">
        <f>IF(AB23&lt;&gt;".",INDEX('4b'!$B$11:$B$241,MATCH('D-4b-Consolidated (Pivot)'!$AB23,'4b'!$D$11:$D$241,FALSE),1), ".")</f>
        <v>.</v>
      </c>
      <c r="AD23" t="str">
        <f>IF(AC23&lt;&gt;".",INDEX('4b'!$C$11:$C$241,MATCH('D-4b-Consolidated (Pivot)'!$AB23,'4b'!$D$11:$D$241,FALSE),1), ".")</f>
        <v>.</v>
      </c>
      <c r="AE23" t="str">
        <f>IF(AD23&lt;&gt;".",INDEX('4b'!E$11:E$241,MATCH('D-4b-Consolidated (Pivot)'!$AB23,'4b'!$D$11:$D$241,FALSE),1), ".")</f>
        <v>.</v>
      </c>
      <c r="AF23" t="str">
        <f>IF(AE23&lt;&gt;".",INDEX('4b'!F$11:F$241,MATCH('D-4b-Consolidated (Pivot)'!$AB23,'4b'!$D$11:$D$241,FALSE),1), ".")</f>
        <v>.</v>
      </c>
      <c r="AG23" t="str">
        <f>IF(AF23&lt;&gt;".",INDEX('4b'!G$11:G$241,MATCH('D-4b-Consolidated (Pivot)'!$AB23,'4b'!$D$11:$D$241,FALSE),1), ".")</f>
        <v>.</v>
      </c>
      <c r="AH23" t="str">
        <f>IF(AG23&lt;&gt;".",INDEX('4b'!H$11:H$241,MATCH('D-4b-Consolidated (Pivot)'!$AB23,'4b'!$D$11:$D$241,FALSE),1), ".")</f>
        <v>.</v>
      </c>
      <c r="AI23" t="str">
        <f>IF(AH23&lt;&gt;".",INDEX('4b'!I$11:I$241,MATCH('D-4b-Consolidated (Pivot)'!$AB23,'4b'!$D$11:$D$241,FALSE),1), ".")</f>
        <v>.</v>
      </c>
      <c r="AJ23" t="str">
        <f>IF(AI23&lt;&gt;".",INDEX('4b'!J$11:J$241,MATCH('D-4b-Consolidated (Pivot)'!$AB23,'4b'!$D$11:$D$241,FALSE),1), ".")</f>
        <v>.</v>
      </c>
      <c r="AK23" t="str">
        <f>IF(OR(AF23=0, AF23="."),".",COUNTIF('D-5 (Pivot)'!$AH$2:$AH$26,'D-4b-Consolidated (Pivot)'!AF23))</f>
        <v>.</v>
      </c>
      <c r="AL23" t="str">
        <f>IF(OR(AG23=0, AG23="."),".",COUNTIF('D-5 (Pivot)'!$AH$2:$AH$26,'D-4b-Consolidated (Pivot)'!AG23))</f>
        <v>.</v>
      </c>
      <c r="AM23" t="str">
        <f>IF(OR(AH23=0, AH23="."),".",COUNTIF('D-5 (Pivot)'!$AH$2:$AH$26,'D-4b-Consolidated (Pivot)'!AH23))</f>
        <v>.</v>
      </c>
      <c r="AN23" t="str">
        <f>IF(OR(AI23=0, AI23="."),".",COUNTIF('D-5 (Pivot)'!$AH$2:$AH$26,'D-4b-Consolidated (Pivot)'!AI23))</f>
        <v>.</v>
      </c>
      <c r="AO23" t="str">
        <f>IF(OR(AJ23=0, AJ23="."),".",COUNTIF('D-5 (Pivot)'!$AH$2:$AH$26,'D-4b-Consolidated (Pivot)'!AJ23))</f>
        <v>.</v>
      </c>
    </row>
    <row r="24" spans="1:41"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v>23</v>
      </c>
      <c r="AB24" t="str">
        <f>IF(ISERROR(Lists!AK24), ".", Lists!AK24)</f>
        <v>.</v>
      </c>
      <c r="AC24" t="str">
        <f>IF(AB24&lt;&gt;".",INDEX('4b'!$B$11:$B$241,MATCH('D-4b-Consolidated (Pivot)'!$AB24,'4b'!$D$11:$D$241,FALSE),1), ".")</f>
        <v>.</v>
      </c>
      <c r="AD24" t="str">
        <f>IF(AC24&lt;&gt;".",INDEX('4b'!$C$11:$C$241,MATCH('D-4b-Consolidated (Pivot)'!$AB24,'4b'!$D$11:$D$241,FALSE),1), ".")</f>
        <v>.</v>
      </c>
      <c r="AE24" t="str">
        <f>IF(AD24&lt;&gt;".",INDEX('4b'!E$11:E$241,MATCH('D-4b-Consolidated (Pivot)'!$AB24,'4b'!$D$11:$D$241,FALSE),1), ".")</f>
        <v>.</v>
      </c>
      <c r="AF24" t="str">
        <f>IF(AE24&lt;&gt;".",INDEX('4b'!F$11:F$241,MATCH('D-4b-Consolidated (Pivot)'!$AB24,'4b'!$D$11:$D$241,FALSE),1), ".")</f>
        <v>.</v>
      </c>
      <c r="AG24" t="str">
        <f>IF(AF24&lt;&gt;".",INDEX('4b'!G$11:G$241,MATCH('D-4b-Consolidated (Pivot)'!$AB24,'4b'!$D$11:$D$241,FALSE),1), ".")</f>
        <v>.</v>
      </c>
      <c r="AH24" t="str">
        <f>IF(AG24&lt;&gt;".",INDEX('4b'!H$11:H$241,MATCH('D-4b-Consolidated (Pivot)'!$AB24,'4b'!$D$11:$D$241,FALSE),1), ".")</f>
        <v>.</v>
      </c>
      <c r="AI24" t="str">
        <f>IF(AH24&lt;&gt;".",INDEX('4b'!I$11:I$241,MATCH('D-4b-Consolidated (Pivot)'!$AB24,'4b'!$D$11:$D$241,FALSE),1), ".")</f>
        <v>.</v>
      </c>
      <c r="AJ24" t="str">
        <f>IF(AI24&lt;&gt;".",INDEX('4b'!J$11:J$241,MATCH('D-4b-Consolidated (Pivot)'!$AB24,'4b'!$D$11:$D$241,FALSE),1), ".")</f>
        <v>.</v>
      </c>
      <c r="AK24" t="str">
        <f>IF(OR(AF24=0, AF24="."),".",COUNTIF('D-5 (Pivot)'!$AH$2:$AH$26,'D-4b-Consolidated (Pivot)'!AF24))</f>
        <v>.</v>
      </c>
      <c r="AL24" t="str">
        <f>IF(OR(AG24=0, AG24="."),".",COUNTIF('D-5 (Pivot)'!$AH$2:$AH$26,'D-4b-Consolidated (Pivot)'!AG24))</f>
        <v>.</v>
      </c>
      <c r="AM24" t="str">
        <f>IF(OR(AH24=0, AH24="."),".",COUNTIF('D-5 (Pivot)'!$AH$2:$AH$26,'D-4b-Consolidated (Pivot)'!AH24))</f>
        <v>.</v>
      </c>
      <c r="AN24" t="str">
        <f>IF(OR(AI24=0, AI24="."),".",COUNTIF('D-5 (Pivot)'!$AH$2:$AH$26,'D-4b-Consolidated (Pivot)'!AI24))</f>
        <v>.</v>
      </c>
      <c r="AO24" t="str">
        <f>IF(OR(AJ24=0, AJ24="."),".",COUNTIF('D-5 (Pivot)'!$AH$2:$AH$26,'D-4b-Consolidated (Pivot)'!AJ24))</f>
        <v>.</v>
      </c>
    </row>
    <row r="25" spans="1:41"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v>24</v>
      </c>
      <c r="AB25" t="str">
        <f>IF(ISERROR(Lists!AK25), ".", Lists!AK25)</f>
        <v>.</v>
      </c>
      <c r="AC25" t="str">
        <f>IF(AB25&lt;&gt;".",INDEX('4b'!$B$11:$B$241,MATCH('D-4b-Consolidated (Pivot)'!$AB25,'4b'!$D$11:$D$241,FALSE),1), ".")</f>
        <v>.</v>
      </c>
      <c r="AD25" t="str">
        <f>IF(AC25&lt;&gt;".",INDEX('4b'!$C$11:$C$241,MATCH('D-4b-Consolidated (Pivot)'!$AB25,'4b'!$D$11:$D$241,FALSE),1), ".")</f>
        <v>.</v>
      </c>
      <c r="AE25" t="str">
        <f>IF(AD25&lt;&gt;".",INDEX('4b'!E$11:E$241,MATCH('D-4b-Consolidated (Pivot)'!$AB25,'4b'!$D$11:$D$241,FALSE),1), ".")</f>
        <v>.</v>
      </c>
      <c r="AF25" t="str">
        <f>IF(AE25&lt;&gt;".",INDEX('4b'!F$11:F$241,MATCH('D-4b-Consolidated (Pivot)'!$AB25,'4b'!$D$11:$D$241,FALSE),1), ".")</f>
        <v>.</v>
      </c>
      <c r="AG25" t="str">
        <f>IF(AF25&lt;&gt;".",INDEX('4b'!G$11:G$241,MATCH('D-4b-Consolidated (Pivot)'!$AB25,'4b'!$D$11:$D$241,FALSE),1), ".")</f>
        <v>.</v>
      </c>
      <c r="AH25" t="str">
        <f>IF(AG25&lt;&gt;".",INDEX('4b'!H$11:H$241,MATCH('D-4b-Consolidated (Pivot)'!$AB25,'4b'!$D$11:$D$241,FALSE),1), ".")</f>
        <v>.</v>
      </c>
      <c r="AI25" t="str">
        <f>IF(AH25&lt;&gt;".",INDEX('4b'!I$11:I$241,MATCH('D-4b-Consolidated (Pivot)'!$AB25,'4b'!$D$11:$D$241,FALSE),1), ".")</f>
        <v>.</v>
      </c>
      <c r="AJ25" t="str">
        <f>IF(AI25&lt;&gt;".",INDEX('4b'!J$11:J$241,MATCH('D-4b-Consolidated (Pivot)'!$AB25,'4b'!$D$11:$D$241,FALSE),1), ".")</f>
        <v>.</v>
      </c>
      <c r="AK25" t="str">
        <f>IF(OR(AF25=0, AF25="."),".",COUNTIF('D-5 (Pivot)'!$AH$2:$AH$26,'D-4b-Consolidated (Pivot)'!AF25))</f>
        <v>.</v>
      </c>
      <c r="AL25" t="str">
        <f>IF(OR(AG25=0, AG25="."),".",COUNTIF('D-5 (Pivot)'!$AH$2:$AH$26,'D-4b-Consolidated (Pivot)'!AG25))</f>
        <v>.</v>
      </c>
      <c r="AM25" t="str">
        <f>IF(OR(AH25=0, AH25="."),".",COUNTIF('D-5 (Pivot)'!$AH$2:$AH$26,'D-4b-Consolidated (Pivot)'!AH25))</f>
        <v>.</v>
      </c>
      <c r="AN25" t="str">
        <f>IF(OR(AI25=0, AI25="."),".",COUNTIF('D-5 (Pivot)'!$AH$2:$AH$26,'D-4b-Consolidated (Pivot)'!AI25))</f>
        <v>.</v>
      </c>
      <c r="AO25" t="str">
        <f>IF(OR(AJ25=0, AJ25="."),".",COUNTIF('D-5 (Pivot)'!$AH$2:$AH$26,'D-4b-Consolidated (Pivot)'!AJ25))</f>
        <v>.</v>
      </c>
    </row>
    <row r="26" spans="1:41"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v>25</v>
      </c>
      <c r="AB26" t="str">
        <f>IF(ISERROR(Lists!AK26), ".", Lists!AK26)</f>
        <v>.</v>
      </c>
      <c r="AC26" t="str">
        <f>IF(AB26&lt;&gt;".",INDEX('4b'!$B$11:$B$241,MATCH('D-4b-Consolidated (Pivot)'!$AB26,'4b'!$D$11:$D$241,FALSE),1), ".")</f>
        <v>.</v>
      </c>
      <c r="AD26" t="str">
        <f>IF(AC26&lt;&gt;".",INDEX('4b'!$C$11:$C$241,MATCH('D-4b-Consolidated (Pivot)'!$AB26,'4b'!$D$11:$D$241,FALSE),1), ".")</f>
        <v>.</v>
      </c>
      <c r="AE26" t="str">
        <f>IF(AD26&lt;&gt;".",INDEX('4b'!E$11:E$241,MATCH('D-4b-Consolidated (Pivot)'!$AB26,'4b'!$D$11:$D$241,FALSE),1), ".")</f>
        <v>.</v>
      </c>
      <c r="AF26" t="str">
        <f>IF(AE26&lt;&gt;".",INDEX('4b'!F$11:F$241,MATCH('D-4b-Consolidated (Pivot)'!$AB26,'4b'!$D$11:$D$241,FALSE),1), ".")</f>
        <v>.</v>
      </c>
      <c r="AG26" t="str">
        <f>IF(AF26&lt;&gt;".",INDEX('4b'!G$11:G$241,MATCH('D-4b-Consolidated (Pivot)'!$AB26,'4b'!$D$11:$D$241,FALSE),1), ".")</f>
        <v>.</v>
      </c>
      <c r="AH26" t="str">
        <f>IF(AG26&lt;&gt;".",INDEX('4b'!H$11:H$241,MATCH('D-4b-Consolidated (Pivot)'!$AB26,'4b'!$D$11:$D$241,FALSE),1), ".")</f>
        <v>.</v>
      </c>
      <c r="AI26" t="str">
        <f>IF(AH26&lt;&gt;".",INDEX('4b'!I$11:I$241,MATCH('D-4b-Consolidated (Pivot)'!$AB26,'4b'!$D$11:$D$241,FALSE),1), ".")</f>
        <v>.</v>
      </c>
      <c r="AJ26" t="str">
        <f>IF(AI26&lt;&gt;".",INDEX('4b'!J$11:J$241,MATCH('D-4b-Consolidated (Pivot)'!$AB26,'4b'!$D$11:$D$241,FALSE),1), ".")</f>
        <v>.</v>
      </c>
      <c r="AK26" t="str">
        <f>IF(OR(AF26=0, AF26="."),".",COUNTIF('D-5 (Pivot)'!$AH$2:$AH$26,'D-4b-Consolidated (Pivot)'!AF26))</f>
        <v>.</v>
      </c>
      <c r="AL26" t="str">
        <f>IF(OR(AG26=0, AG26="."),".",COUNTIF('D-5 (Pivot)'!$AH$2:$AH$26,'D-4b-Consolidated (Pivot)'!AG26))</f>
        <v>.</v>
      </c>
      <c r="AM26" t="str">
        <f>IF(OR(AH26=0, AH26="."),".",COUNTIF('D-5 (Pivot)'!$AH$2:$AH$26,'D-4b-Consolidated (Pivot)'!AH26))</f>
        <v>.</v>
      </c>
      <c r="AN26" t="str">
        <f>IF(OR(AI26=0, AI26="."),".",COUNTIF('D-5 (Pivot)'!$AH$2:$AH$26,'D-4b-Consolidated (Pivot)'!AI26))</f>
        <v>.</v>
      </c>
      <c r="AO26" t="str">
        <f>IF(OR(AJ26=0, AJ26="."),".",COUNTIF('D-5 (Pivot)'!$AH$2:$AH$26,'D-4b-Consolidated (Pivot)'!AJ26))</f>
        <v>.</v>
      </c>
    </row>
    <row r="27" spans="1:41"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v>26</v>
      </c>
      <c r="AB27" t="str">
        <f>IF(ISERROR(Lists!AK27), ".", Lists!AK27)</f>
        <v>.</v>
      </c>
      <c r="AC27" t="str">
        <f>IF(AB27&lt;&gt;".",INDEX('4b'!$B$11:$B$241,MATCH('D-4b-Consolidated (Pivot)'!$AB27,'4b'!$D$11:$D$241,FALSE),1), ".")</f>
        <v>.</v>
      </c>
      <c r="AD27" t="str">
        <f>IF(AC27&lt;&gt;".",INDEX('4b'!$C$11:$C$241,MATCH('D-4b-Consolidated (Pivot)'!$AB27,'4b'!$D$11:$D$241,FALSE),1), ".")</f>
        <v>.</v>
      </c>
      <c r="AE27" t="str">
        <f>IF(AD27&lt;&gt;".",INDEX('4b'!E$11:E$241,MATCH('D-4b-Consolidated (Pivot)'!$AB27,'4b'!$D$11:$D$241,FALSE),1), ".")</f>
        <v>.</v>
      </c>
      <c r="AF27" t="str">
        <f>IF(AE27&lt;&gt;".",INDEX('4b'!F$11:F$241,MATCH('D-4b-Consolidated (Pivot)'!$AB27,'4b'!$D$11:$D$241,FALSE),1), ".")</f>
        <v>.</v>
      </c>
      <c r="AG27" t="str">
        <f>IF(AF27&lt;&gt;".",INDEX('4b'!G$11:G$241,MATCH('D-4b-Consolidated (Pivot)'!$AB27,'4b'!$D$11:$D$241,FALSE),1), ".")</f>
        <v>.</v>
      </c>
      <c r="AH27" t="str">
        <f>IF(AG27&lt;&gt;".",INDEX('4b'!H$11:H$241,MATCH('D-4b-Consolidated (Pivot)'!$AB27,'4b'!$D$11:$D$241,FALSE),1), ".")</f>
        <v>.</v>
      </c>
      <c r="AI27" t="str">
        <f>IF(AH27&lt;&gt;".",INDEX('4b'!I$11:I$241,MATCH('D-4b-Consolidated (Pivot)'!$AB27,'4b'!$D$11:$D$241,FALSE),1), ".")</f>
        <v>.</v>
      </c>
      <c r="AJ27" t="str">
        <f>IF(AI27&lt;&gt;".",INDEX('4b'!J$11:J$241,MATCH('D-4b-Consolidated (Pivot)'!$AB27,'4b'!$D$11:$D$241,FALSE),1), ".")</f>
        <v>.</v>
      </c>
      <c r="AK27" t="str">
        <f>IF(OR(AF27=0, AF27="."),".",COUNTIF('D-5 (Pivot)'!$AH$2:$AH$26,'D-4b-Consolidated (Pivot)'!AF27))</f>
        <v>.</v>
      </c>
      <c r="AL27" t="str">
        <f>IF(OR(AG27=0, AG27="."),".",COUNTIF('D-5 (Pivot)'!$AH$2:$AH$26,'D-4b-Consolidated (Pivot)'!AG27))</f>
        <v>.</v>
      </c>
      <c r="AM27" t="str">
        <f>IF(OR(AH27=0, AH27="."),".",COUNTIF('D-5 (Pivot)'!$AH$2:$AH$26,'D-4b-Consolidated (Pivot)'!AH27))</f>
        <v>.</v>
      </c>
      <c r="AN27" t="str">
        <f>IF(OR(AI27=0, AI27="."),".",COUNTIF('D-5 (Pivot)'!$AH$2:$AH$26,'D-4b-Consolidated (Pivot)'!AI27))</f>
        <v>.</v>
      </c>
      <c r="AO27" t="str">
        <f>IF(OR(AJ27=0, AJ27="."),".",COUNTIF('D-5 (Pivot)'!$AH$2:$AH$26,'D-4b-Consolidated (Pivot)'!AJ27))</f>
        <v>.</v>
      </c>
    </row>
    <row r="28" spans="1:41"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v>27</v>
      </c>
      <c r="AB28" t="str">
        <f>IF(ISERROR(Lists!AK28), ".", Lists!AK28)</f>
        <v>.</v>
      </c>
      <c r="AC28" t="str">
        <f>IF(AB28&lt;&gt;".",INDEX('4b'!$B$11:$B$241,MATCH('D-4b-Consolidated (Pivot)'!$AB28,'4b'!$D$11:$D$241,FALSE),1), ".")</f>
        <v>.</v>
      </c>
      <c r="AD28" t="str">
        <f>IF(AC28&lt;&gt;".",INDEX('4b'!$C$11:$C$241,MATCH('D-4b-Consolidated (Pivot)'!$AB28,'4b'!$D$11:$D$241,FALSE),1), ".")</f>
        <v>.</v>
      </c>
      <c r="AE28" t="str">
        <f>IF(AD28&lt;&gt;".",INDEX('4b'!E$11:E$241,MATCH('D-4b-Consolidated (Pivot)'!$AB28,'4b'!$D$11:$D$241,FALSE),1), ".")</f>
        <v>.</v>
      </c>
      <c r="AF28" t="str">
        <f>IF(AE28&lt;&gt;".",INDEX('4b'!F$11:F$241,MATCH('D-4b-Consolidated (Pivot)'!$AB28,'4b'!$D$11:$D$241,FALSE),1), ".")</f>
        <v>.</v>
      </c>
      <c r="AG28" t="str">
        <f>IF(AF28&lt;&gt;".",INDEX('4b'!G$11:G$241,MATCH('D-4b-Consolidated (Pivot)'!$AB28,'4b'!$D$11:$D$241,FALSE),1), ".")</f>
        <v>.</v>
      </c>
      <c r="AH28" t="str">
        <f>IF(AG28&lt;&gt;".",INDEX('4b'!H$11:H$241,MATCH('D-4b-Consolidated (Pivot)'!$AB28,'4b'!$D$11:$D$241,FALSE),1), ".")</f>
        <v>.</v>
      </c>
      <c r="AI28" t="str">
        <f>IF(AH28&lt;&gt;".",INDEX('4b'!I$11:I$241,MATCH('D-4b-Consolidated (Pivot)'!$AB28,'4b'!$D$11:$D$241,FALSE),1), ".")</f>
        <v>.</v>
      </c>
      <c r="AJ28" t="str">
        <f>IF(AI28&lt;&gt;".",INDEX('4b'!J$11:J$241,MATCH('D-4b-Consolidated (Pivot)'!$AB28,'4b'!$D$11:$D$241,FALSE),1), ".")</f>
        <v>.</v>
      </c>
      <c r="AK28" t="str">
        <f>IF(OR(AF28=0, AF28="."),".",COUNTIF('D-5 (Pivot)'!$AH$2:$AH$26,'D-4b-Consolidated (Pivot)'!AF28))</f>
        <v>.</v>
      </c>
      <c r="AL28" t="str">
        <f>IF(OR(AG28=0, AG28="."),".",COUNTIF('D-5 (Pivot)'!$AH$2:$AH$26,'D-4b-Consolidated (Pivot)'!AG28))</f>
        <v>.</v>
      </c>
      <c r="AM28" t="str">
        <f>IF(OR(AH28=0, AH28="."),".",COUNTIF('D-5 (Pivot)'!$AH$2:$AH$26,'D-4b-Consolidated (Pivot)'!AH28))</f>
        <v>.</v>
      </c>
      <c r="AN28" t="str">
        <f>IF(OR(AI28=0, AI28="."),".",COUNTIF('D-5 (Pivot)'!$AH$2:$AH$26,'D-4b-Consolidated (Pivot)'!AI28))</f>
        <v>.</v>
      </c>
      <c r="AO28" t="str">
        <f>IF(OR(AJ28=0, AJ28="."),".",COUNTIF('D-5 (Pivot)'!$AH$2:$AH$26,'D-4b-Consolidated (Pivot)'!AJ28))</f>
        <v>.</v>
      </c>
    </row>
    <row r="29" spans="1:41"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v>28</v>
      </c>
      <c r="AB29" t="str">
        <f>IF(ISERROR(Lists!AK29), ".", Lists!AK29)</f>
        <v>.</v>
      </c>
      <c r="AC29" t="str">
        <f>IF(AB29&lt;&gt;".",INDEX('4b'!$B$11:$B$241,MATCH('D-4b-Consolidated (Pivot)'!$AB29,'4b'!$D$11:$D$241,FALSE),1), ".")</f>
        <v>.</v>
      </c>
      <c r="AD29" t="str">
        <f>IF(AC29&lt;&gt;".",INDEX('4b'!$C$11:$C$241,MATCH('D-4b-Consolidated (Pivot)'!$AB29,'4b'!$D$11:$D$241,FALSE),1), ".")</f>
        <v>.</v>
      </c>
      <c r="AE29" t="str">
        <f>IF(AD29&lt;&gt;".",INDEX('4b'!E$11:E$241,MATCH('D-4b-Consolidated (Pivot)'!$AB29,'4b'!$D$11:$D$241,FALSE),1), ".")</f>
        <v>.</v>
      </c>
      <c r="AF29" t="str">
        <f>IF(AE29&lt;&gt;".",INDEX('4b'!F$11:F$241,MATCH('D-4b-Consolidated (Pivot)'!$AB29,'4b'!$D$11:$D$241,FALSE),1), ".")</f>
        <v>.</v>
      </c>
      <c r="AG29" t="str">
        <f>IF(AF29&lt;&gt;".",INDEX('4b'!G$11:G$241,MATCH('D-4b-Consolidated (Pivot)'!$AB29,'4b'!$D$11:$D$241,FALSE),1), ".")</f>
        <v>.</v>
      </c>
      <c r="AH29" t="str">
        <f>IF(AG29&lt;&gt;".",INDEX('4b'!H$11:H$241,MATCH('D-4b-Consolidated (Pivot)'!$AB29,'4b'!$D$11:$D$241,FALSE),1), ".")</f>
        <v>.</v>
      </c>
      <c r="AI29" t="str">
        <f>IF(AH29&lt;&gt;".",INDEX('4b'!I$11:I$241,MATCH('D-4b-Consolidated (Pivot)'!$AB29,'4b'!$D$11:$D$241,FALSE),1), ".")</f>
        <v>.</v>
      </c>
      <c r="AJ29" t="str">
        <f>IF(AI29&lt;&gt;".",INDEX('4b'!J$11:J$241,MATCH('D-4b-Consolidated (Pivot)'!$AB29,'4b'!$D$11:$D$241,FALSE),1), ".")</f>
        <v>.</v>
      </c>
      <c r="AK29" t="str">
        <f>IF(OR(AF29=0, AF29="."),".",COUNTIF('D-5 (Pivot)'!$AH$2:$AH$26,'D-4b-Consolidated (Pivot)'!AF29))</f>
        <v>.</v>
      </c>
      <c r="AL29" t="str">
        <f>IF(OR(AG29=0, AG29="."),".",COUNTIF('D-5 (Pivot)'!$AH$2:$AH$26,'D-4b-Consolidated (Pivot)'!AG29))</f>
        <v>.</v>
      </c>
      <c r="AM29" t="str">
        <f>IF(OR(AH29=0, AH29="."),".",COUNTIF('D-5 (Pivot)'!$AH$2:$AH$26,'D-4b-Consolidated (Pivot)'!AH29))</f>
        <v>.</v>
      </c>
      <c r="AN29" t="str">
        <f>IF(OR(AI29=0, AI29="."),".",COUNTIF('D-5 (Pivot)'!$AH$2:$AH$26,'D-4b-Consolidated (Pivot)'!AI29))</f>
        <v>.</v>
      </c>
      <c r="AO29" t="str">
        <f>IF(OR(AJ29=0, AJ29="."),".",COUNTIF('D-5 (Pivot)'!$AH$2:$AH$26,'D-4b-Consolidated (Pivot)'!AJ29))</f>
        <v>.</v>
      </c>
    </row>
    <row r="30" spans="1:41"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v>29</v>
      </c>
      <c r="AB30" t="str">
        <f>IF(ISERROR(Lists!AK30), ".", Lists!AK30)</f>
        <v>.</v>
      </c>
      <c r="AC30" t="str">
        <f>IF(AB30&lt;&gt;".",INDEX('4b'!$B$11:$B$241,MATCH('D-4b-Consolidated (Pivot)'!$AB30,'4b'!$D$11:$D$241,FALSE),1), ".")</f>
        <v>.</v>
      </c>
      <c r="AD30" t="str">
        <f>IF(AC30&lt;&gt;".",INDEX('4b'!$C$11:$C$241,MATCH('D-4b-Consolidated (Pivot)'!$AB30,'4b'!$D$11:$D$241,FALSE),1), ".")</f>
        <v>.</v>
      </c>
      <c r="AE30" t="str">
        <f>IF(AD30&lt;&gt;".",INDEX('4b'!E$11:E$241,MATCH('D-4b-Consolidated (Pivot)'!$AB30,'4b'!$D$11:$D$241,FALSE),1), ".")</f>
        <v>.</v>
      </c>
      <c r="AF30" t="str">
        <f>IF(AE30&lt;&gt;".",INDEX('4b'!F$11:F$241,MATCH('D-4b-Consolidated (Pivot)'!$AB30,'4b'!$D$11:$D$241,FALSE),1), ".")</f>
        <v>.</v>
      </c>
      <c r="AG30" t="str">
        <f>IF(AF30&lt;&gt;".",INDEX('4b'!G$11:G$241,MATCH('D-4b-Consolidated (Pivot)'!$AB30,'4b'!$D$11:$D$241,FALSE),1), ".")</f>
        <v>.</v>
      </c>
      <c r="AH30" t="str">
        <f>IF(AG30&lt;&gt;".",INDEX('4b'!H$11:H$241,MATCH('D-4b-Consolidated (Pivot)'!$AB30,'4b'!$D$11:$D$241,FALSE),1), ".")</f>
        <v>.</v>
      </c>
      <c r="AI30" t="str">
        <f>IF(AH30&lt;&gt;".",INDEX('4b'!I$11:I$241,MATCH('D-4b-Consolidated (Pivot)'!$AB30,'4b'!$D$11:$D$241,FALSE),1), ".")</f>
        <v>.</v>
      </c>
      <c r="AJ30" t="str">
        <f>IF(AI30&lt;&gt;".",INDEX('4b'!J$11:J$241,MATCH('D-4b-Consolidated (Pivot)'!$AB30,'4b'!$D$11:$D$241,FALSE),1), ".")</f>
        <v>.</v>
      </c>
      <c r="AK30" t="str">
        <f>IF(OR(AF30=0, AF30="."),".",COUNTIF('D-5 (Pivot)'!$AH$2:$AH$26,'D-4b-Consolidated (Pivot)'!AF30))</f>
        <v>.</v>
      </c>
      <c r="AL30" t="str">
        <f>IF(OR(AG30=0, AG30="."),".",COUNTIF('D-5 (Pivot)'!$AH$2:$AH$26,'D-4b-Consolidated (Pivot)'!AG30))</f>
        <v>.</v>
      </c>
      <c r="AM30" t="str">
        <f>IF(OR(AH30=0, AH30="."),".",COUNTIF('D-5 (Pivot)'!$AH$2:$AH$26,'D-4b-Consolidated (Pivot)'!AH30))</f>
        <v>.</v>
      </c>
      <c r="AN30" t="str">
        <f>IF(OR(AI30=0, AI30="."),".",COUNTIF('D-5 (Pivot)'!$AH$2:$AH$26,'D-4b-Consolidated (Pivot)'!AI30))</f>
        <v>.</v>
      </c>
      <c r="AO30" t="str">
        <f>IF(OR(AJ30=0, AJ30="."),".",COUNTIF('D-5 (Pivot)'!$AH$2:$AH$26,'D-4b-Consolidated (Pivot)'!AJ30))</f>
        <v>.</v>
      </c>
    </row>
    <row r="31" spans="1:41"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v>30</v>
      </c>
      <c r="AB31" t="str">
        <f>IF(ISERROR(Lists!AK31), ".", Lists!AK31)</f>
        <v>.</v>
      </c>
      <c r="AC31" t="str">
        <f>IF(AB31&lt;&gt;".",INDEX('4b'!$B$11:$B$241,MATCH('D-4b-Consolidated (Pivot)'!$AB31,'4b'!$D$11:$D$241,FALSE),1), ".")</f>
        <v>.</v>
      </c>
      <c r="AD31" t="str">
        <f>IF(AC31&lt;&gt;".",INDEX('4b'!$C$11:$C$241,MATCH('D-4b-Consolidated (Pivot)'!$AB31,'4b'!$D$11:$D$241,FALSE),1), ".")</f>
        <v>.</v>
      </c>
      <c r="AE31" t="str">
        <f>IF(AD31&lt;&gt;".",INDEX('4b'!E$11:E$241,MATCH('D-4b-Consolidated (Pivot)'!$AB31,'4b'!$D$11:$D$241,FALSE),1), ".")</f>
        <v>.</v>
      </c>
      <c r="AF31" t="str">
        <f>IF(AE31&lt;&gt;".",INDEX('4b'!F$11:F$241,MATCH('D-4b-Consolidated (Pivot)'!$AB31,'4b'!$D$11:$D$241,FALSE),1), ".")</f>
        <v>.</v>
      </c>
      <c r="AG31" t="str">
        <f>IF(AF31&lt;&gt;".",INDEX('4b'!G$11:G$241,MATCH('D-4b-Consolidated (Pivot)'!$AB31,'4b'!$D$11:$D$241,FALSE),1), ".")</f>
        <v>.</v>
      </c>
      <c r="AH31" t="str">
        <f>IF(AG31&lt;&gt;".",INDEX('4b'!H$11:H$241,MATCH('D-4b-Consolidated (Pivot)'!$AB31,'4b'!$D$11:$D$241,FALSE),1), ".")</f>
        <v>.</v>
      </c>
      <c r="AI31" t="str">
        <f>IF(AH31&lt;&gt;".",INDEX('4b'!I$11:I$241,MATCH('D-4b-Consolidated (Pivot)'!$AB31,'4b'!$D$11:$D$241,FALSE),1), ".")</f>
        <v>.</v>
      </c>
      <c r="AJ31" t="str">
        <f>IF(AI31&lt;&gt;".",INDEX('4b'!J$11:J$241,MATCH('D-4b-Consolidated (Pivot)'!$AB31,'4b'!$D$11:$D$241,FALSE),1), ".")</f>
        <v>.</v>
      </c>
      <c r="AK31" t="str">
        <f>IF(OR(AF31=0, AF31="."),".",COUNTIF('D-5 (Pivot)'!$AH$2:$AH$26,'D-4b-Consolidated (Pivot)'!AF31))</f>
        <v>.</v>
      </c>
      <c r="AL31" t="str">
        <f>IF(OR(AG31=0, AG31="."),".",COUNTIF('D-5 (Pivot)'!$AH$2:$AH$26,'D-4b-Consolidated (Pivot)'!AG31))</f>
        <v>.</v>
      </c>
      <c r="AM31" t="str">
        <f>IF(OR(AH31=0, AH31="."),".",COUNTIF('D-5 (Pivot)'!$AH$2:$AH$26,'D-4b-Consolidated (Pivot)'!AH31))</f>
        <v>.</v>
      </c>
      <c r="AN31" t="str">
        <f>IF(OR(AI31=0, AI31="."),".",COUNTIF('D-5 (Pivot)'!$AH$2:$AH$26,'D-4b-Consolidated (Pivot)'!AI31))</f>
        <v>.</v>
      </c>
      <c r="AO31" t="str">
        <f>IF(OR(AJ31=0, AJ31="."),".",COUNTIF('D-5 (Pivot)'!$AH$2:$AH$26,'D-4b-Consolidated (Pivot)'!AJ31))</f>
        <v>.</v>
      </c>
    </row>
    <row r="32" spans="1:41"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v>31</v>
      </c>
      <c r="AB32" t="str">
        <f>IF(ISERROR(Lists!AK32), ".", Lists!AK32)</f>
        <v>.</v>
      </c>
      <c r="AC32" t="str">
        <f>IF(AB32&lt;&gt;".",INDEX('4b'!$B$11:$B$241,MATCH('D-4b-Consolidated (Pivot)'!$AB32,'4b'!$D$11:$D$241,FALSE),1), ".")</f>
        <v>.</v>
      </c>
      <c r="AD32" t="str">
        <f>IF(AC32&lt;&gt;".",INDEX('4b'!$C$11:$C$241,MATCH('D-4b-Consolidated (Pivot)'!$AB32,'4b'!$D$11:$D$241,FALSE),1), ".")</f>
        <v>.</v>
      </c>
      <c r="AE32" t="str">
        <f>IF(AD32&lt;&gt;".",INDEX('4b'!E$11:E$241,MATCH('D-4b-Consolidated (Pivot)'!$AB32,'4b'!$D$11:$D$241,FALSE),1), ".")</f>
        <v>.</v>
      </c>
      <c r="AF32" t="str">
        <f>IF(AE32&lt;&gt;".",INDEX('4b'!F$11:F$241,MATCH('D-4b-Consolidated (Pivot)'!$AB32,'4b'!$D$11:$D$241,FALSE),1), ".")</f>
        <v>.</v>
      </c>
      <c r="AG32" t="str">
        <f>IF(AF32&lt;&gt;".",INDEX('4b'!G$11:G$241,MATCH('D-4b-Consolidated (Pivot)'!$AB32,'4b'!$D$11:$D$241,FALSE),1), ".")</f>
        <v>.</v>
      </c>
      <c r="AH32" t="str">
        <f>IF(AG32&lt;&gt;".",INDEX('4b'!H$11:H$241,MATCH('D-4b-Consolidated (Pivot)'!$AB32,'4b'!$D$11:$D$241,FALSE),1), ".")</f>
        <v>.</v>
      </c>
      <c r="AI32" t="str">
        <f>IF(AH32&lt;&gt;".",INDEX('4b'!I$11:I$241,MATCH('D-4b-Consolidated (Pivot)'!$AB32,'4b'!$D$11:$D$241,FALSE),1), ".")</f>
        <v>.</v>
      </c>
      <c r="AJ32" t="str">
        <f>IF(AI32&lt;&gt;".",INDEX('4b'!J$11:J$241,MATCH('D-4b-Consolidated (Pivot)'!$AB32,'4b'!$D$11:$D$241,FALSE),1), ".")</f>
        <v>.</v>
      </c>
      <c r="AK32" t="str">
        <f>IF(OR(AF32=0, AF32="."),".",COUNTIF('D-5 (Pivot)'!$AH$2:$AH$26,'D-4b-Consolidated (Pivot)'!AF32))</f>
        <v>.</v>
      </c>
      <c r="AL32" t="str">
        <f>IF(OR(AG32=0, AG32="."),".",COUNTIF('D-5 (Pivot)'!$AH$2:$AH$26,'D-4b-Consolidated (Pivot)'!AG32))</f>
        <v>.</v>
      </c>
      <c r="AM32" t="str">
        <f>IF(OR(AH32=0, AH32="."),".",COUNTIF('D-5 (Pivot)'!$AH$2:$AH$26,'D-4b-Consolidated (Pivot)'!AH32))</f>
        <v>.</v>
      </c>
      <c r="AN32" t="str">
        <f>IF(OR(AI32=0, AI32="."),".",COUNTIF('D-5 (Pivot)'!$AH$2:$AH$26,'D-4b-Consolidated (Pivot)'!AI32))</f>
        <v>.</v>
      </c>
      <c r="AO32" t="str">
        <f>IF(OR(AJ32=0, AJ32="."),".",COUNTIF('D-5 (Pivot)'!$AH$2:$AH$26,'D-4b-Consolidated (Pivot)'!AJ32))</f>
        <v>.</v>
      </c>
    </row>
    <row r="33" spans="1:41"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v>32</v>
      </c>
      <c r="AB33" t="str">
        <f>IF(ISERROR(Lists!AK33), ".", Lists!AK33)</f>
        <v>.</v>
      </c>
      <c r="AC33" t="str">
        <f>IF(AB33&lt;&gt;".",INDEX('4b'!$B$11:$B$241,MATCH('D-4b-Consolidated (Pivot)'!$AB33,'4b'!$D$11:$D$241,FALSE),1), ".")</f>
        <v>.</v>
      </c>
      <c r="AD33" t="str">
        <f>IF(AC33&lt;&gt;".",INDEX('4b'!$C$11:$C$241,MATCH('D-4b-Consolidated (Pivot)'!$AB33,'4b'!$D$11:$D$241,FALSE),1), ".")</f>
        <v>.</v>
      </c>
      <c r="AE33" t="str">
        <f>IF(AD33&lt;&gt;".",INDEX('4b'!E$11:E$241,MATCH('D-4b-Consolidated (Pivot)'!$AB33,'4b'!$D$11:$D$241,FALSE),1), ".")</f>
        <v>.</v>
      </c>
      <c r="AF33" t="str">
        <f>IF(AE33&lt;&gt;".",INDEX('4b'!F$11:F$241,MATCH('D-4b-Consolidated (Pivot)'!$AB33,'4b'!$D$11:$D$241,FALSE),1), ".")</f>
        <v>.</v>
      </c>
      <c r="AG33" t="str">
        <f>IF(AF33&lt;&gt;".",INDEX('4b'!G$11:G$241,MATCH('D-4b-Consolidated (Pivot)'!$AB33,'4b'!$D$11:$D$241,FALSE),1), ".")</f>
        <v>.</v>
      </c>
      <c r="AH33" t="str">
        <f>IF(AG33&lt;&gt;".",INDEX('4b'!H$11:H$241,MATCH('D-4b-Consolidated (Pivot)'!$AB33,'4b'!$D$11:$D$241,FALSE),1), ".")</f>
        <v>.</v>
      </c>
      <c r="AI33" t="str">
        <f>IF(AH33&lt;&gt;".",INDEX('4b'!I$11:I$241,MATCH('D-4b-Consolidated (Pivot)'!$AB33,'4b'!$D$11:$D$241,FALSE),1), ".")</f>
        <v>.</v>
      </c>
      <c r="AJ33" t="str">
        <f>IF(AI33&lt;&gt;".",INDEX('4b'!J$11:J$241,MATCH('D-4b-Consolidated (Pivot)'!$AB33,'4b'!$D$11:$D$241,FALSE),1), ".")</f>
        <v>.</v>
      </c>
      <c r="AK33" t="str">
        <f>IF(OR(AF33=0, AF33="."),".",COUNTIF('D-5 (Pivot)'!$AH$2:$AH$26,'D-4b-Consolidated (Pivot)'!AF33))</f>
        <v>.</v>
      </c>
      <c r="AL33" t="str">
        <f>IF(OR(AG33=0, AG33="."),".",COUNTIF('D-5 (Pivot)'!$AH$2:$AH$26,'D-4b-Consolidated (Pivot)'!AG33))</f>
        <v>.</v>
      </c>
      <c r="AM33" t="str">
        <f>IF(OR(AH33=0, AH33="."),".",COUNTIF('D-5 (Pivot)'!$AH$2:$AH$26,'D-4b-Consolidated (Pivot)'!AH33))</f>
        <v>.</v>
      </c>
      <c r="AN33" t="str">
        <f>IF(OR(AI33=0, AI33="."),".",COUNTIF('D-5 (Pivot)'!$AH$2:$AH$26,'D-4b-Consolidated (Pivot)'!AI33))</f>
        <v>.</v>
      </c>
      <c r="AO33" t="str">
        <f>IF(OR(AJ33=0, AJ33="."),".",COUNTIF('D-5 (Pivot)'!$AH$2:$AH$26,'D-4b-Consolidated (Pivot)'!AJ33))</f>
        <v>.</v>
      </c>
    </row>
    <row r="34" spans="1:41" x14ac:dyDescent="0.25">
      <c r="A34">
        <f t="shared" ref="A34:A65" si="17">Q_RP_B_DSSCAGE_01</f>
        <v>0</v>
      </c>
      <c r="B34">
        <f t="shared" ref="B34:B65" si="18">Q1a_A_LocationName</f>
        <v>0</v>
      </c>
      <c r="C34">
        <f t="shared" ref="C34:C65" si="19">Q1a_A_LocOrgName</f>
        <v>0</v>
      </c>
      <c r="D34">
        <f t="shared" ref="D34:D65" si="20">Q1a_B_Parent1_Name</f>
        <v>0</v>
      </c>
      <c r="E34">
        <f t="shared" ref="E34:E65" si="21">Q_RP_A_MultiResponse</f>
        <v>0</v>
      </c>
      <c r="F34">
        <f>'D-RepLevel'!$F$2</f>
        <v>0</v>
      </c>
      <c r="G34">
        <f>'D-RepLevel'!$G$2</f>
        <v>0</v>
      </c>
      <c r="H34">
        <f t="shared" ref="H34:H65" si="22">Q1a_A_OnlyLoc_YN</f>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ref="L34:L65" si="23">Q4b_A_NumUSGPrograms</f>
        <v>0</v>
      </c>
      <c r="M34">
        <f t="shared" ref="M34:M65" si="24">Q6_A_Employees_Year3</f>
        <v>0</v>
      </c>
      <c r="N34">
        <f t="shared" ref="N34:N65" si="25">Q6_B_Employee_H1B_Total+Q6_B_Employee_H2B_Total+Q6_B_Employee_F1_Total+Q6_B_Employee_GreenCard_Total+Q6_B_Employee_Other_Total</f>
        <v>0</v>
      </c>
      <c r="O34">
        <f t="shared" ref="O34:O65" si="26">Year3</f>
        <v>2015</v>
      </c>
      <c r="P34">
        <f t="shared" ref="P34:P65" si="27">Q7_A_TotalSales_US_Year3+Q7_A_TotalSales_NonUS_Year3</f>
        <v>0</v>
      </c>
      <c r="Q34">
        <f t="shared" ref="Q34:Q65" si="28">Q7_B_DefSales_US_Year3_Pct*Q7_A_TotalSales_US_Year3+Q7_B_DefSales_NonUS_Year3_Pct*Q7_A_TotalSales_NonUS_Year3</f>
        <v>0</v>
      </c>
      <c r="R34">
        <f t="shared" ref="R34:R65" si="29">Q9a_B_Physical_Year3</f>
        <v>0</v>
      </c>
      <c r="S34">
        <f t="shared" ref="S34:S65" si="30">Q9a_B_Cyber_Year3</f>
        <v>0</v>
      </c>
      <c r="T34">
        <f>COUNTIF('9a'!$K$22:$K$32, "Yes")+COUNTIF('9a'!$O$22:$O$32, "Yes")</f>
        <v>0</v>
      </c>
      <c r="U34" t="str">
        <f t="shared" ref="U34:U65" si="31">IF(Q12_OpEx_Year3=0, "No Expenditures", Q9b_A_PhysicalSpending_Year3/(Q12_OpEx_Year3))</f>
        <v>No Expenditures</v>
      </c>
      <c r="V34" t="str">
        <f t="shared" ref="V34:V65" si="32">IF(Q12_OpEx_Year3=0, "No Expenditures", Q9b_A_CyberSpending_Year3/(Q12_OpEx_Year3))</f>
        <v>No Expenditures</v>
      </c>
      <c r="W34">
        <f t="shared" ref="W34:W65" si="33">Q9b_C_Pct_CSI_External</f>
        <v>0</v>
      </c>
      <c r="X34" t="str">
        <f>'D-Risk'!$AO$25</f>
        <v>Insufficient Data</v>
      </c>
      <c r="Y34" t="str">
        <f>'D-Risk'!$AO$26</f>
        <v>Insufficient Data</v>
      </c>
      <c r="Z34" t="str">
        <f>'D-Risk'!$AO$27</f>
        <v>Uncalculated</v>
      </c>
      <c r="AA34">
        <v>33</v>
      </c>
      <c r="AB34" t="str">
        <f>IF(ISERROR(Lists!AK34), ".", Lists!AK34)</f>
        <v>.</v>
      </c>
      <c r="AC34" t="str">
        <f>IF(AB34&lt;&gt;".",INDEX('4b'!$B$11:$B$241,MATCH('D-4b-Consolidated (Pivot)'!$AB34,'4b'!$D$11:$D$241,FALSE),1), ".")</f>
        <v>.</v>
      </c>
      <c r="AD34" t="str">
        <f>IF(AC34&lt;&gt;".",INDEX('4b'!$C$11:$C$241,MATCH('D-4b-Consolidated (Pivot)'!$AB34,'4b'!$D$11:$D$241,FALSE),1), ".")</f>
        <v>.</v>
      </c>
      <c r="AE34" t="str">
        <f>IF(AD34&lt;&gt;".",INDEX('4b'!E$11:E$241,MATCH('D-4b-Consolidated (Pivot)'!$AB34,'4b'!$D$11:$D$241,FALSE),1), ".")</f>
        <v>.</v>
      </c>
      <c r="AF34" t="str">
        <f>IF(AE34&lt;&gt;".",INDEX('4b'!F$11:F$241,MATCH('D-4b-Consolidated (Pivot)'!$AB34,'4b'!$D$11:$D$241,FALSE),1), ".")</f>
        <v>.</v>
      </c>
      <c r="AG34" t="str">
        <f>IF(AF34&lt;&gt;".",INDEX('4b'!G$11:G$241,MATCH('D-4b-Consolidated (Pivot)'!$AB34,'4b'!$D$11:$D$241,FALSE),1), ".")</f>
        <v>.</v>
      </c>
      <c r="AH34" t="str">
        <f>IF(AG34&lt;&gt;".",INDEX('4b'!H$11:H$241,MATCH('D-4b-Consolidated (Pivot)'!$AB34,'4b'!$D$11:$D$241,FALSE),1), ".")</f>
        <v>.</v>
      </c>
      <c r="AI34" t="str">
        <f>IF(AH34&lt;&gt;".",INDEX('4b'!I$11:I$241,MATCH('D-4b-Consolidated (Pivot)'!$AB34,'4b'!$D$11:$D$241,FALSE),1), ".")</f>
        <v>.</v>
      </c>
      <c r="AJ34" t="str">
        <f>IF(AI34&lt;&gt;".",INDEX('4b'!J$11:J$241,MATCH('D-4b-Consolidated (Pivot)'!$AB34,'4b'!$D$11:$D$241,FALSE),1), ".")</f>
        <v>.</v>
      </c>
      <c r="AK34" t="str">
        <f>IF(OR(AF34=0, AF34="."),".",COUNTIF('D-5 (Pivot)'!$AH$2:$AH$26,'D-4b-Consolidated (Pivot)'!AF34))</f>
        <v>.</v>
      </c>
      <c r="AL34" t="str">
        <f>IF(OR(AG34=0, AG34="."),".",COUNTIF('D-5 (Pivot)'!$AH$2:$AH$26,'D-4b-Consolidated (Pivot)'!AG34))</f>
        <v>.</v>
      </c>
      <c r="AM34" t="str">
        <f>IF(OR(AH34=0, AH34="."),".",COUNTIF('D-5 (Pivot)'!$AH$2:$AH$26,'D-4b-Consolidated (Pivot)'!AH34))</f>
        <v>.</v>
      </c>
      <c r="AN34" t="str">
        <f>IF(OR(AI34=0, AI34="."),".",COUNTIF('D-5 (Pivot)'!$AH$2:$AH$26,'D-4b-Consolidated (Pivot)'!AI34))</f>
        <v>.</v>
      </c>
      <c r="AO34" t="str">
        <f>IF(OR(AJ34=0, AJ34="."),".",COUNTIF('D-5 (Pivot)'!$AH$2:$AH$26,'D-4b-Consolidated (Pivot)'!AJ34))</f>
        <v>.</v>
      </c>
    </row>
    <row r="35" spans="1:41" x14ac:dyDescent="0.25">
      <c r="A35">
        <f t="shared" si="17"/>
        <v>0</v>
      </c>
      <c r="B35">
        <f t="shared" si="18"/>
        <v>0</v>
      </c>
      <c r="C35">
        <f t="shared" si="19"/>
        <v>0</v>
      </c>
      <c r="D35">
        <f t="shared" si="20"/>
        <v>0</v>
      </c>
      <c r="E35">
        <f t="shared" si="21"/>
        <v>0</v>
      </c>
      <c r="F35">
        <f>'D-RepLevel'!$F$2</f>
        <v>0</v>
      </c>
      <c r="G35">
        <f>'D-RepLevel'!$G$2</f>
        <v>0</v>
      </c>
      <c r="H35">
        <f t="shared" si="22"/>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23"/>
        <v>0</v>
      </c>
      <c r="M35">
        <f t="shared" si="24"/>
        <v>0</v>
      </c>
      <c r="N35">
        <f t="shared" si="25"/>
        <v>0</v>
      </c>
      <c r="O35">
        <f t="shared" si="26"/>
        <v>2015</v>
      </c>
      <c r="P35">
        <f t="shared" si="27"/>
        <v>0</v>
      </c>
      <c r="Q35">
        <f t="shared" si="28"/>
        <v>0</v>
      </c>
      <c r="R35">
        <f t="shared" si="29"/>
        <v>0</v>
      </c>
      <c r="S35">
        <f t="shared" si="30"/>
        <v>0</v>
      </c>
      <c r="T35">
        <f>COUNTIF('9a'!$K$22:$K$32, "Yes")+COUNTIF('9a'!$O$22:$O$32, "Yes")</f>
        <v>0</v>
      </c>
      <c r="U35" t="str">
        <f t="shared" si="31"/>
        <v>No Expenditures</v>
      </c>
      <c r="V35" t="str">
        <f t="shared" si="32"/>
        <v>No Expenditures</v>
      </c>
      <c r="W35">
        <f t="shared" si="33"/>
        <v>0</v>
      </c>
      <c r="X35" t="str">
        <f>'D-Risk'!$AO$25</f>
        <v>Insufficient Data</v>
      </c>
      <c r="Y35" t="str">
        <f>'D-Risk'!$AO$26</f>
        <v>Insufficient Data</v>
      </c>
      <c r="Z35" t="str">
        <f>'D-Risk'!$AO$27</f>
        <v>Uncalculated</v>
      </c>
      <c r="AA35">
        <v>34</v>
      </c>
      <c r="AB35" t="str">
        <f>IF(ISERROR(Lists!AK35), ".", Lists!AK35)</f>
        <v>.</v>
      </c>
      <c r="AC35" t="str">
        <f>IF(AB35&lt;&gt;".",INDEX('4b'!$B$11:$B$241,MATCH('D-4b-Consolidated (Pivot)'!$AB35,'4b'!$D$11:$D$241,FALSE),1), ".")</f>
        <v>.</v>
      </c>
      <c r="AD35" t="str">
        <f>IF(AC35&lt;&gt;".",INDEX('4b'!$C$11:$C$241,MATCH('D-4b-Consolidated (Pivot)'!$AB35,'4b'!$D$11:$D$241,FALSE),1), ".")</f>
        <v>.</v>
      </c>
      <c r="AE35" t="str">
        <f>IF(AD35&lt;&gt;".",INDEX('4b'!E$11:E$241,MATCH('D-4b-Consolidated (Pivot)'!$AB35,'4b'!$D$11:$D$241,FALSE),1), ".")</f>
        <v>.</v>
      </c>
      <c r="AF35" t="str">
        <f>IF(AE35&lt;&gt;".",INDEX('4b'!F$11:F$241,MATCH('D-4b-Consolidated (Pivot)'!$AB35,'4b'!$D$11:$D$241,FALSE),1), ".")</f>
        <v>.</v>
      </c>
      <c r="AG35" t="str">
        <f>IF(AF35&lt;&gt;".",INDEX('4b'!G$11:G$241,MATCH('D-4b-Consolidated (Pivot)'!$AB35,'4b'!$D$11:$D$241,FALSE),1), ".")</f>
        <v>.</v>
      </c>
      <c r="AH35" t="str">
        <f>IF(AG35&lt;&gt;".",INDEX('4b'!H$11:H$241,MATCH('D-4b-Consolidated (Pivot)'!$AB35,'4b'!$D$11:$D$241,FALSE),1), ".")</f>
        <v>.</v>
      </c>
      <c r="AI35" t="str">
        <f>IF(AH35&lt;&gt;".",INDEX('4b'!I$11:I$241,MATCH('D-4b-Consolidated (Pivot)'!$AB35,'4b'!$D$11:$D$241,FALSE),1), ".")</f>
        <v>.</v>
      </c>
      <c r="AJ35" t="str">
        <f>IF(AI35&lt;&gt;".",INDEX('4b'!J$11:J$241,MATCH('D-4b-Consolidated (Pivot)'!$AB35,'4b'!$D$11:$D$241,FALSE),1), ".")</f>
        <v>.</v>
      </c>
      <c r="AK35" t="str">
        <f>IF(OR(AF35=0, AF35="."),".",COUNTIF('D-5 (Pivot)'!$AH$2:$AH$26,'D-4b-Consolidated (Pivot)'!AF35))</f>
        <v>.</v>
      </c>
      <c r="AL35" t="str">
        <f>IF(OR(AG35=0, AG35="."),".",COUNTIF('D-5 (Pivot)'!$AH$2:$AH$26,'D-4b-Consolidated (Pivot)'!AG35))</f>
        <v>.</v>
      </c>
      <c r="AM35" t="str">
        <f>IF(OR(AH35=0, AH35="."),".",COUNTIF('D-5 (Pivot)'!$AH$2:$AH$26,'D-4b-Consolidated (Pivot)'!AH35))</f>
        <v>.</v>
      </c>
      <c r="AN35" t="str">
        <f>IF(OR(AI35=0, AI35="."),".",COUNTIF('D-5 (Pivot)'!$AH$2:$AH$26,'D-4b-Consolidated (Pivot)'!AI35))</f>
        <v>.</v>
      </c>
      <c r="AO35" t="str">
        <f>IF(OR(AJ35=0, AJ35="."),".",COUNTIF('D-5 (Pivot)'!$AH$2:$AH$26,'D-4b-Consolidated (Pivot)'!AJ35))</f>
        <v>.</v>
      </c>
    </row>
    <row r="36" spans="1:41" x14ac:dyDescent="0.25">
      <c r="A36">
        <f t="shared" si="17"/>
        <v>0</v>
      </c>
      <c r="B36">
        <f t="shared" si="18"/>
        <v>0</v>
      </c>
      <c r="C36">
        <f t="shared" si="19"/>
        <v>0</v>
      </c>
      <c r="D36">
        <f t="shared" si="20"/>
        <v>0</v>
      </c>
      <c r="E36">
        <f t="shared" si="21"/>
        <v>0</v>
      </c>
      <c r="F36">
        <f>'D-RepLevel'!$F$2</f>
        <v>0</v>
      </c>
      <c r="G36">
        <f>'D-RepLevel'!$G$2</f>
        <v>0</v>
      </c>
      <c r="H36">
        <f t="shared" si="22"/>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23"/>
        <v>0</v>
      </c>
      <c r="M36">
        <f t="shared" si="24"/>
        <v>0</v>
      </c>
      <c r="N36">
        <f t="shared" si="25"/>
        <v>0</v>
      </c>
      <c r="O36">
        <f t="shared" si="26"/>
        <v>2015</v>
      </c>
      <c r="P36">
        <f t="shared" si="27"/>
        <v>0</v>
      </c>
      <c r="Q36">
        <f t="shared" si="28"/>
        <v>0</v>
      </c>
      <c r="R36">
        <f t="shared" si="29"/>
        <v>0</v>
      </c>
      <c r="S36">
        <f t="shared" si="30"/>
        <v>0</v>
      </c>
      <c r="T36">
        <f>COUNTIF('9a'!$K$22:$K$32, "Yes")+COUNTIF('9a'!$O$22:$O$32, "Yes")</f>
        <v>0</v>
      </c>
      <c r="U36" t="str">
        <f t="shared" si="31"/>
        <v>No Expenditures</v>
      </c>
      <c r="V36" t="str">
        <f t="shared" si="32"/>
        <v>No Expenditures</v>
      </c>
      <c r="W36">
        <f t="shared" si="33"/>
        <v>0</v>
      </c>
      <c r="X36" t="str">
        <f>'D-Risk'!$AO$25</f>
        <v>Insufficient Data</v>
      </c>
      <c r="Y36" t="str">
        <f>'D-Risk'!$AO$26</f>
        <v>Insufficient Data</v>
      </c>
      <c r="Z36" t="str">
        <f>'D-Risk'!$AO$27</f>
        <v>Uncalculated</v>
      </c>
      <c r="AA36">
        <v>35</v>
      </c>
      <c r="AB36" t="str">
        <f>IF(ISERROR(Lists!AK36), ".", Lists!AK36)</f>
        <v>.</v>
      </c>
      <c r="AC36" t="str">
        <f>IF(AB36&lt;&gt;".",INDEX('4b'!$B$11:$B$241,MATCH('D-4b-Consolidated (Pivot)'!$AB36,'4b'!$D$11:$D$241,FALSE),1), ".")</f>
        <v>.</v>
      </c>
      <c r="AD36" t="str">
        <f>IF(AC36&lt;&gt;".",INDEX('4b'!$C$11:$C$241,MATCH('D-4b-Consolidated (Pivot)'!$AB36,'4b'!$D$11:$D$241,FALSE),1), ".")</f>
        <v>.</v>
      </c>
      <c r="AE36" t="str">
        <f>IF(AD36&lt;&gt;".",INDEX('4b'!E$11:E$241,MATCH('D-4b-Consolidated (Pivot)'!$AB36,'4b'!$D$11:$D$241,FALSE),1), ".")</f>
        <v>.</v>
      </c>
      <c r="AF36" t="str">
        <f>IF(AE36&lt;&gt;".",INDEX('4b'!F$11:F$241,MATCH('D-4b-Consolidated (Pivot)'!$AB36,'4b'!$D$11:$D$241,FALSE),1), ".")</f>
        <v>.</v>
      </c>
      <c r="AG36" t="str">
        <f>IF(AF36&lt;&gt;".",INDEX('4b'!G$11:G$241,MATCH('D-4b-Consolidated (Pivot)'!$AB36,'4b'!$D$11:$D$241,FALSE),1), ".")</f>
        <v>.</v>
      </c>
      <c r="AH36" t="str">
        <f>IF(AG36&lt;&gt;".",INDEX('4b'!H$11:H$241,MATCH('D-4b-Consolidated (Pivot)'!$AB36,'4b'!$D$11:$D$241,FALSE),1), ".")</f>
        <v>.</v>
      </c>
      <c r="AI36" t="str">
        <f>IF(AH36&lt;&gt;".",INDEX('4b'!I$11:I$241,MATCH('D-4b-Consolidated (Pivot)'!$AB36,'4b'!$D$11:$D$241,FALSE),1), ".")</f>
        <v>.</v>
      </c>
      <c r="AJ36" t="str">
        <f>IF(AI36&lt;&gt;".",INDEX('4b'!J$11:J$241,MATCH('D-4b-Consolidated (Pivot)'!$AB36,'4b'!$D$11:$D$241,FALSE),1), ".")</f>
        <v>.</v>
      </c>
      <c r="AK36" t="str">
        <f>IF(OR(AF36=0, AF36="."),".",COUNTIF('D-5 (Pivot)'!$AH$2:$AH$26,'D-4b-Consolidated (Pivot)'!AF36))</f>
        <v>.</v>
      </c>
      <c r="AL36" t="str">
        <f>IF(OR(AG36=0, AG36="."),".",COUNTIF('D-5 (Pivot)'!$AH$2:$AH$26,'D-4b-Consolidated (Pivot)'!AG36))</f>
        <v>.</v>
      </c>
      <c r="AM36" t="str">
        <f>IF(OR(AH36=0, AH36="."),".",COUNTIF('D-5 (Pivot)'!$AH$2:$AH$26,'D-4b-Consolidated (Pivot)'!AH36))</f>
        <v>.</v>
      </c>
      <c r="AN36" t="str">
        <f>IF(OR(AI36=0, AI36="."),".",COUNTIF('D-5 (Pivot)'!$AH$2:$AH$26,'D-4b-Consolidated (Pivot)'!AI36))</f>
        <v>.</v>
      </c>
      <c r="AO36" t="str">
        <f>IF(OR(AJ36=0, AJ36="."),".",COUNTIF('D-5 (Pivot)'!$AH$2:$AH$26,'D-4b-Consolidated (Pivot)'!AJ36))</f>
        <v>.</v>
      </c>
    </row>
    <row r="37" spans="1:41" x14ac:dyDescent="0.25">
      <c r="A37">
        <f t="shared" si="17"/>
        <v>0</v>
      </c>
      <c r="B37">
        <f t="shared" si="18"/>
        <v>0</v>
      </c>
      <c r="C37">
        <f t="shared" si="19"/>
        <v>0</v>
      </c>
      <c r="D37">
        <f t="shared" si="20"/>
        <v>0</v>
      </c>
      <c r="E37">
        <f t="shared" si="21"/>
        <v>0</v>
      </c>
      <c r="F37">
        <f>'D-RepLevel'!$F$2</f>
        <v>0</v>
      </c>
      <c r="G37">
        <f>'D-RepLevel'!$G$2</f>
        <v>0</v>
      </c>
      <c r="H37">
        <f t="shared" si="22"/>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23"/>
        <v>0</v>
      </c>
      <c r="M37">
        <f t="shared" si="24"/>
        <v>0</v>
      </c>
      <c r="N37">
        <f t="shared" si="25"/>
        <v>0</v>
      </c>
      <c r="O37">
        <f t="shared" si="26"/>
        <v>2015</v>
      </c>
      <c r="P37">
        <f t="shared" si="27"/>
        <v>0</v>
      </c>
      <c r="Q37">
        <f t="shared" si="28"/>
        <v>0</v>
      </c>
      <c r="R37">
        <f t="shared" si="29"/>
        <v>0</v>
      </c>
      <c r="S37">
        <f t="shared" si="30"/>
        <v>0</v>
      </c>
      <c r="T37">
        <f>COUNTIF('9a'!$K$22:$K$32, "Yes")+COUNTIF('9a'!$O$22:$O$32, "Yes")</f>
        <v>0</v>
      </c>
      <c r="U37" t="str">
        <f t="shared" si="31"/>
        <v>No Expenditures</v>
      </c>
      <c r="V37" t="str">
        <f t="shared" si="32"/>
        <v>No Expenditures</v>
      </c>
      <c r="W37">
        <f t="shared" si="33"/>
        <v>0</v>
      </c>
      <c r="X37" t="str">
        <f>'D-Risk'!$AO$25</f>
        <v>Insufficient Data</v>
      </c>
      <c r="Y37" t="str">
        <f>'D-Risk'!$AO$26</f>
        <v>Insufficient Data</v>
      </c>
      <c r="Z37" t="str">
        <f>'D-Risk'!$AO$27</f>
        <v>Uncalculated</v>
      </c>
      <c r="AA37">
        <v>36</v>
      </c>
      <c r="AB37" t="str">
        <f>IF(ISERROR(Lists!AK37), ".", Lists!AK37)</f>
        <v>.</v>
      </c>
      <c r="AC37" t="str">
        <f>IF(AB37&lt;&gt;".",INDEX('4b'!$B$11:$B$241,MATCH('D-4b-Consolidated (Pivot)'!$AB37,'4b'!$D$11:$D$241,FALSE),1), ".")</f>
        <v>.</v>
      </c>
      <c r="AD37" t="str">
        <f>IF(AC37&lt;&gt;".",INDEX('4b'!$C$11:$C$241,MATCH('D-4b-Consolidated (Pivot)'!$AB37,'4b'!$D$11:$D$241,FALSE),1), ".")</f>
        <v>.</v>
      </c>
      <c r="AE37" t="str">
        <f>IF(AD37&lt;&gt;".",INDEX('4b'!E$11:E$241,MATCH('D-4b-Consolidated (Pivot)'!$AB37,'4b'!$D$11:$D$241,FALSE),1), ".")</f>
        <v>.</v>
      </c>
      <c r="AF37" t="str">
        <f>IF(AE37&lt;&gt;".",INDEX('4b'!F$11:F$241,MATCH('D-4b-Consolidated (Pivot)'!$AB37,'4b'!$D$11:$D$241,FALSE),1), ".")</f>
        <v>.</v>
      </c>
      <c r="AG37" t="str">
        <f>IF(AF37&lt;&gt;".",INDEX('4b'!G$11:G$241,MATCH('D-4b-Consolidated (Pivot)'!$AB37,'4b'!$D$11:$D$241,FALSE),1), ".")</f>
        <v>.</v>
      </c>
      <c r="AH37" t="str">
        <f>IF(AG37&lt;&gt;".",INDEX('4b'!H$11:H$241,MATCH('D-4b-Consolidated (Pivot)'!$AB37,'4b'!$D$11:$D$241,FALSE),1), ".")</f>
        <v>.</v>
      </c>
      <c r="AI37" t="str">
        <f>IF(AH37&lt;&gt;".",INDEX('4b'!I$11:I$241,MATCH('D-4b-Consolidated (Pivot)'!$AB37,'4b'!$D$11:$D$241,FALSE),1), ".")</f>
        <v>.</v>
      </c>
      <c r="AJ37" t="str">
        <f>IF(AI37&lt;&gt;".",INDEX('4b'!J$11:J$241,MATCH('D-4b-Consolidated (Pivot)'!$AB37,'4b'!$D$11:$D$241,FALSE),1), ".")</f>
        <v>.</v>
      </c>
      <c r="AK37" t="str">
        <f>IF(OR(AF37=0, AF37="."),".",COUNTIF('D-5 (Pivot)'!$AH$2:$AH$26,'D-4b-Consolidated (Pivot)'!AF37))</f>
        <v>.</v>
      </c>
      <c r="AL37" t="str">
        <f>IF(OR(AG37=0, AG37="."),".",COUNTIF('D-5 (Pivot)'!$AH$2:$AH$26,'D-4b-Consolidated (Pivot)'!AG37))</f>
        <v>.</v>
      </c>
      <c r="AM37" t="str">
        <f>IF(OR(AH37=0, AH37="."),".",COUNTIF('D-5 (Pivot)'!$AH$2:$AH$26,'D-4b-Consolidated (Pivot)'!AH37))</f>
        <v>.</v>
      </c>
      <c r="AN37" t="str">
        <f>IF(OR(AI37=0, AI37="."),".",COUNTIF('D-5 (Pivot)'!$AH$2:$AH$26,'D-4b-Consolidated (Pivot)'!AI37))</f>
        <v>.</v>
      </c>
      <c r="AO37" t="str">
        <f>IF(OR(AJ37=0, AJ37="."),".",COUNTIF('D-5 (Pivot)'!$AH$2:$AH$26,'D-4b-Consolidated (Pivot)'!AJ37))</f>
        <v>.</v>
      </c>
    </row>
    <row r="38" spans="1:41" x14ac:dyDescent="0.25">
      <c r="A38">
        <f t="shared" si="17"/>
        <v>0</v>
      </c>
      <c r="B38">
        <f t="shared" si="18"/>
        <v>0</v>
      </c>
      <c r="C38">
        <f t="shared" si="19"/>
        <v>0</v>
      </c>
      <c r="D38">
        <f t="shared" si="20"/>
        <v>0</v>
      </c>
      <c r="E38">
        <f t="shared" si="21"/>
        <v>0</v>
      </c>
      <c r="F38">
        <f>'D-RepLevel'!$F$2</f>
        <v>0</v>
      </c>
      <c r="G38">
        <f>'D-RepLevel'!$G$2</f>
        <v>0</v>
      </c>
      <c r="H38">
        <f t="shared" si="22"/>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23"/>
        <v>0</v>
      </c>
      <c r="M38">
        <f t="shared" si="24"/>
        <v>0</v>
      </c>
      <c r="N38">
        <f t="shared" si="25"/>
        <v>0</v>
      </c>
      <c r="O38">
        <f t="shared" si="26"/>
        <v>2015</v>
      </c>
      <c r="P38">
        <f t="shared" si="27"/>
        <v>0</v>
      </c>
      <c r="Q38">
        <f t="shared" si="28"/>
        <v>0</v>
      </c>
      <c r="R38">
        <f t="shared" si="29"/>
        <v>0</v>
      </c>
      <c r="S38">
        <f t="shared" si="30"/>
        <v>0</v>
      </c>
      <c r="T38">
        <f>COUNTIF('9a'!$K$22:$K$32, "Yes")+COUNTIF('9a'!$O$22:$O$32, "Yes")</f>
        <v>0</v>
      </c>
      <c r="U38" t="str">
        <f t="shared" si="31"/>
        <v>No Expenditures</v>
      </c>
      <c r="V38" t="str">
        <f t="shared" si="32"/>
        <v>No Expenditures</v>
      </c>
      <c r="W38">
        <f t="shared" si="33"/>
        <v>0</v>
      </c>
      <c r="X38" t="str">
        <f>'D-Risk'!$AO$25</f>
        <v>Insufficient Data</v>
      </c>
      <c r="Y38" t="str">
        <f>'D-Risk'!$AO$26</f>
        <v>Insufficient Data</v>
      </c>
      <c r="Z38" t="str">
        <f>'D-Risk'!$AO$27</f>
        <v>Uncalculated</v>
      </c>
      <c r="AA38">
        <v>37</v>
      </c>
      <c r="AB38" t="str">
        <f>IF(ISERROR(Lists!AK38), ".", Lists!AK38)</f>
        <v>.</v>
      </c>
      <c r="AC38" t="str">
        <f>IF(AB38&lt;&gt;".",INDEX('4b'!$B$11:$B$241,MATCH('D-4b-Consolidated (Pivot)'!$AB38,'4b'!$D$11:$D$241,FALSE),1), ".")</f>
        <v>.</v>
      </c>
      <c r="AD38" t="str">
        <f>IF(AC38&lt;&gt;".",INDEX('4b'!$C$11:$C$241,MATCH('D-4b-Consolidated (Pivot)'!$AB38,'4b'!$D$11:$D$241,FALSE),1), ".")</f>
        <v>.</v>
      </c>
      <c r="AE38" t="str">
        <f>IF(AD38&lt;&gt;".",INDEX('4b'!E$11:E$241,MATCH('D-4b-Consolidated (Pivot)'!$AB38,'4b'!$D$11:$D$241,FALSE),1), ".")</f>
        <v>.</v>
      </c>
      <c r="AF38" t="str">
        <f>IF(AE38&lt;&gt;".",INDEX('4b'!F$11:F$241,MATCH('D-4b-Consolidated (Pivot)'!$AB38,'4b'!$D$11:$D$241,FALSE),1), ".")</f>
        <v>.</v>
      </c>
      <c r="AG38" t="str">
        <f>IF(AF38&lt;&gt;".",INDEX('4b'!G$11:G$241,MATCH('D-4b-Consolidated (Pivot)'!$AB38,'4b'!$D$11:$D$241,FALSE),1), ".")</f>
        <v>.</v>
      </c>
      <c r="AH38" t="str">
        <f>IF(AG38&lt;&gt;".",INDEX('4b'!H$11:H$241,MATCH('D-4b-Consolidated (Pivot)'!$AB38,'4b'!$D$11:$D$241,FALSE),1), ".")</f>
        <v>.</v>
      </c>
      <c r="AI38" t="str">
        <f>IF(AH38&lt;&gt;".",INDEX('4b'!I$11:I$241,MATCH('D-4b-Consolidated (Pivot)'!$AB38,'4b'!$D$11:$D$241,FALSE),1), ".")</f>
        <v>.</v>
      </c>
      <c r="AJ38" t="str">
        <f>IF(AI38&lt;&gt;".",INDEX('4b'!J$11:J$241,MATCH('D-4b-Consolidated (Pivot)'!$AB38,'4b'!$D$11:$D$241,FALSE),1), ".")</f>
        <v>.</v>
      </c>
      <c r="AK38" t="str">
        <f>IF(OR(AF38=0, AF38="."),".",COUNTIF('D-5 (Pivot)'!$AH$2:$AH$26,'D-4b-Consolidated (Pivot)'!AF38))</f>
        <v>.</v>
      </c>
      <c r="AL38" t="str">
        <f>IF(OR(AG38=0, AG38="."),".",COUNTIF('D-5 (Pivot)'!$AH$2:$AH$26,'D-4b-Consolidated (Pivot)'!AG38))</f>
        <v>.</v>
      </c>
      <c r="AM38" t="str">
        <f>IF(OR(AH38=0, AH38="."),".",COUNTIF('D-5 (Pivot)'!$AH$2:$AH$26,'D-4b-Consolidated (Pivot)'!AH38))</f>
        <v>.</v>
      </c>
      <c r="AN38" t="str">
        <f>IF(OR(AI38=0, AI38="."),".",COUNTIF('D-5 (Pivot)'!$AH$2:$AH$26,'D-4b-Consolidated (Pivot)'!AI38))</f>
        <v>.</v>
      </c>
      <c r="AO38" t="str">
        <f>IF(OR(AJ38=0, AJ38="."),".",COUNTIF('D-5 (Pivot)'!$AH$2:$AH$26,'D-4b-Consolidated (Pivot)'!AJ38))</f>
        <v>.</v>
      </c>
    </row>
    <row r="39" spans="1:41" x14ac:dyDescent="0.25">
      <c r="A39">
        <f t="shared" si="17"/>
        <v>0</v>
      </c>
      <c r="B39">
        <f t="shared" si="18"/>
        <v>0</v>
      </c>
      <c r="C39">
        <f t="shared" si="19"/>
        <v>0</v>
      </c>
      <c r="D39">
        <f t="shared" si="20"/>
        <v>0</v>
      </c>
      <c r="E39">
        <f t="shared" si="21"/>
        <v>0</v>
      </c>
      <c r="F39">
        <f>'D-RepLevel'!$F$2</f>
        <v>0</v>
      </c>
      <c r="G39">
        <f>'D-RepLevel'!$G$2</f>
        <v>0</v>
      </c>
      <c r="H39">
        <f t="shared" si="22"/>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23"/>
        <v>0</v>
      </c>
      <c r="M39">
        <f t="shared" si="24"/>
        <v>0</v>
      </c>
      <c r="N39">
        <f t="shared" si="25"/>
        <v>0</v>
      </c>
      <c r="O39">
        <f t="shared" si="26"/>
        <v>2015</v>
      </c>
      <c r="P39">
        <f t="shared" si="27"/>
        <v>0</v>
      </c>
      <c r="Q39">
        <f t="shared" si="28"/>
        <v>0</v>
      </c>
      <c r="R39">
        <f t="shared" si="29"/>
        <v>0</v>
      </c>
      <c r="S39">
        <f t="shared" si="30"/>
        <v>0</v>
      </c>
      <c r="T39">
        <f>COUNTIF('9a'!$K$22:$K$32, "Yes")+COUNTIF('9a'!$O$22:$O$32, "Yes")</f>
        <v>0</v>
      </c>
      <c r="U39" t="str">
        <f t="shared" si="31"/>
        <v>No Expenditures</v>
      </c>
      <c r="V39" t="str">
        <f t="shared" si="32"/>
        <v>No Expenditures</v>
      </c>
      <c r="W39">
        <f t="shared" si="33"/>
        <v>0</v>
      </c>
      <c r="X39" t="str">
        <f>'D-Risk'!$AO$25</f>
        <v>Insufficient Data</v>
      </c>
      <c r="Y39" t="str">
        <f>'D-Risk'!$AO$26</f>
        <v>Insufficient Data</v>
      </c>
      <c r="Z39" t="str">
        <f>'D-Risk'!$AO$27</f>
        <v>Uncalculated</v>
      </c>
      <c r="AA39">
        <v>38</v>
      </c>
      <c r="AB39" t="str">
        <f>IF(ISERROR(Lists!AK39), ".", Lists!AK39)</f>
        <v>.</v>
      </c>
      <c r="AC39" t="str">
        <f>IF(AB39&lt;&gt;".",INDEX('4b'!$B$11:$B$241,MATCH('D-4b-Consolidated (Pivot)'!$AB39,'4b'!$D$11:$D$241,FALSE),1), ".")</f>
        <v>.</v>
      </c>
      <c r="AD39" t="str">
        <f>IF(AC39&lt;&gt;".",INDEX('4b'!$C$11:$C$241,MATCH('D-4b-Consolidated (Pivot)'!$AB39,'4b'!$D$11:$D$241,FALSE),1), ".")</f>
        <v>.</v>
      </c>
      <c r="AE39" t="str">
        <f>IF(AD39&lt;&gt;".",INDEX('4b'!E$11:E$241,MATCH('D-4b-Consolidated (Pivot)'!$AB39,'4b'!$D$11:$D$241,FALSE),1), ".")</f>
        <v>.</v>
      </c>
      <c r="AF39" t="str">
        <f>IF(AE39&lt;&gt;".",INDEX('4b'!F$11:F$241,MATCH('D-4b-Consolidated (Pivot)'!$AB39,'4b'!$D$11:$D$241,FALSE),1), ".")</f>
        <v>.</v>
      </c>
      <c r="AG39" t="str">
        <f>IF(AF39&lt;&gt;".",INDEX('4b'!G$11:G$241,MATCH('D-4b-Consolidated (Pivot)'!$AB39,'4b'!$D$11:$D$241,FALSE),1), ".")</f>
        <v>.</v>
      </c>
      <c r="AH39" t="str">
        <f>IF(AG39&lt;&gt;".",INDEX('4b'!H$11:H$241,MATCH('D-4b-Consolidated (Pivot)'!$AB39,'4b'!$D$11:$D$241,FALSE),1), ".")</f>
        <v>.</v>
      </c>
      <c r="AI39" t="str">
        <f>IF(AH39&lt;&gt;".",INDEX('4b'!I$11:I$241,MATCH('D-4b-Consolidated (Pivot)'!$AB39,'4b'!$D$11:$D$241,FALSE),1), ".")</f>
        <v>.</v>
      </c>
      <c r="AJ39" t="str">
        <f>IF(AI39&lt;&gt;".",INDEX('4b'!J$11:J$241,MATCH('D-4b-Consolidated (Pivot)'!$AB39,'4b'!$D$11:$D$241,FALSE),1), ".")</f>
        <v>.</v>
      </c>
      <c r="AK39" t="str">
        <f>IF(OR(AF39=0, AF39="."),".",COUNTIF('D-5 (Pivot)'!$AH$2:$AH$26,'D-4b-Consolidated (Pivot)'!AF39))</f>
        <v>.</v>
      </c>
      <c r="AL39" t="str">
        <f>IF(OR(AG39=0, AG39="."),".",COUNTIF('D-5 (Pivot)'!$AH$2:$AH$26,'D-4b-Consolidated (Pivot)'!AG39))</f>
        <v>.</v>
      </c>
      <c r="AM39" t="str">
        <f>IF(OR(AH39=0, AH39="."),".",COUNTIF('D-5 (Pivot)'!$AH$2:$AH$26,'D-4b-Consolidated (Pivot)'!AH39))</f>
        <v>.</v>
      </c>
      <c r="AN39" t="str">
        <f>IF(OR(AI39=0, AI39="."),".",COUNTIF('D-5 (Pivot)'!$AH$2:$AH$26,'D-4b-Consolidated (Pivot)'!AI39))</f>
        <v>.</v>
      </c>
      <c r="AO39" t="str">
        <f>IF(OR(AJ39=0, AJ39="."),".",COUNTIF('D-5 (Pivot)'!$AH$2:$AH$26,'D-4b-Consolidated (Pivot)'!AJ39))</f>
        <v>.</v>
      </c>
    </row>
    <row r="40" spans="1:41" x14ac:dyDescent="0.25">
      <c r="A40">
        <f t="shared" si="17"/>
        <v>0</v>
      </c>
      <c r="B40">
        <f t="shared" si="18"/>
        <v>0</v>
      </c>
      <c r="C40">
        <f t="shared" si="19"/>
        <v>0</v>
      </c>
      <c r="D40">
        <f t="shared" si="20"/>
        <v>0</v>
      </c>
      <c r="E40">
        <f t="shared" si="21"/>
        <v>0</v>
      </c>
      <c r="F40">
        <f>'D-RepLevel'!$F$2</f>
        <v>0</v>
      </c>
      <c r="G40">
        <f>'D-RepLevel'!$G$2</f>
        <v>0</v>
      </c>
      <c r="H40">
        <f t="shared" si="22"/>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23"/>
        <v>0</v>
      </c>
      <c r="M40">
        <f t="shared" si="24"/>
        <v>0</v>
      </c>
      <c r="N40">
        <f t="shared" si="25"/>
        <v>0</v>
      </c>
      <c r="O40">
        <f t="shared" si="26"/>
        <v>2015</v>
      </c>
      <c r="P40">
        <f t="shared" si="27"/>
        <v>0</v>
      </c>
      <c r="Q40">
        <f t="shared" si="28"/>
        <v>0</v>
      </c>
      <c r="R40">
        <f t="shared" si="29"/>
        <v>0</v>
      </c>
      <c r="S40">
        <f t="shared" si="30"/>
        <v>0</v>
      </c>
      <c r="T40">
        <f>COUNTIF('9a'!$K$22:$K$32, "Yes")+COUNTIF('9a'!$O$22:$O$32, "Yes")</f>
        <v>0</v>
      </c>
      <c r="U40" t="str">
        <f t="shared" si="31"/>
        <v>No Expenditures</v>
      </c>
      <c r="V40" t="str">
        <f t="shared" si="32"/>
        <v>No Expenditures</v>
      </c>
      <c r="W40">
        <f t="shared" si="33"/>
        <v>0</v>
      </c>
      <c r="X40" t="str">
        <f>'D-Risk'!$AO$25</f>
        <v>Insufficient Data</v>
      </c>
      <c r="Y40" t="str">
        <f>'D-Risk'!$AO$26</f>
        <v>Insufficient Data</v>
      </c>
      <c r="Z40" t="str">
        <f>'D-Risk'!$AO$27</f>
        <v>Uncalculated</v>
      </c>
      <c r="AA40">
        <v>39</v>
      </c>
      <c r="AB40" t="str">
        <f>IF(ISERROR(Lists!AK40), ".", Lists!AK40)</f>
        <v>.</v>
      </c>
      <c r="AC40" t="str">
        <f>IF(AB40&lt;&gt;".",INDEX('4b'!$B$11:$B$241,MATCH('D-4b-Consolidated (Pivot)'!$AB40,'4b'!$D$11:$D$241,FALSE),1), ".")</f>
        <v>.</v>
      </c>
      <c r="AD40" t="str">
        <f>IF(AC40&lt;&gt;".",INDEX('4b'!$C$11:$C$241,MATCH('D-4b-Consolidated (Pivot)'!$AB40,'4b'!$D$11:$D$241,FALSE),1), ".")</f>
        <v>.</v>
      </c>
      <c r="AE40" t="str">
        <f>IF(AD40&lt;&gt;".",INDEX('4b'!E$11:E$241,MATCH('D-4b-Consolidated (Pivot)'!$AB40,'4b'!$D$11:$D$241,FALSE),1), ".")</f>
        <v>.</v>
      </c>
      <c r="AF40" t="str">
        <f>IF(AE40&lt;&gt;".",INDEX('4b'!F$11:F$241,MATCH('D-4b-Consolidated (Pivot)'!$AB40,'4b'!$D$11:$D$241,FALSE),1), ".")</f>
        <v>.</v>
      </c>
      <c r="AG40" t="str">
        <f>IF(AF40&lt;&gt;".",INDEX('4b'!G$11:G$241,MATCH('D-4b-Consolidated (Pivot)'!$AB40,'4b'!$D$11:$D$241,FALSE),1), ".")</f>
        <v>.</v>
      </c>
      <c r="AH40" t="str">
        <f>IF(AG40&lt;&gt;".",INDEX('4b'!H$11:H$241,MATCH('D-4b-Consolidated (Pivot)'!$AB40,'4b'!$D$11:$D$241,FALSE),1), ".")</f>
        <v>.</v>
      </c>
      <c r="AI40" t="str">
        <f>IF(AH40&lt;&gt;".",INDEX('4b'!I$11:I$241,MATCH('D-4b-Consolidated (Pivot)'!$AB40,'4b'!$D$11:$D$241,FALSE),1), ".")</f>
        <v>.</v>
      </c>
      <c r="AJ40" t="str">
        <f>IF(AI40&lt;&gt;".",INDEX('4b'!J$11:J$241,MATCH('D-4b-Consolidated (Pivot)'!$AB40,'4b'!$D$11:$D$241,FALSE),1), ".")</f>
        <v>.</v>
      </c>
      <c r="AK40" t="str">
        <f>IF(OR(AF40=0, AF40="."),".",COUNTIF('D-5 (Pivot)'!$AH$2:$AH$26,'D-4b-Consolidated (Pivot)'!AF40))</f>
        <v>.</v>
      </c>
      <c r="AL40" t="str">
        <f>IF(OR(AG40=0, AG40="."),".",COUNTIF('D-5 (Pivot)'!$AH$2:$AH$26,'D-4b-Consolidated (Pivot)'!AG40))</f>
        <v>.</v>
      </c>
      <c r="AM40" t="str">
        <f>IF(OR(AH40=0, AH40="."),".",COUNTIF('D-5 (Pivot)'!$AH$2:$AH$26,'D-4b-Consolidated (Pivot)'!AH40))</f>
        <v>.</v>
      </c>
      <c r="AN40" t="str">
        <f>IF(OR(AI40=0, AI40="."),".",COUNTIF('D-5 (Pivot)'!$AH$2:$AH$26,'D-4b-Consolidated (Pivot)'!AI40))</f>
        <v>.</v>
      </c>
      <c r="AO40" t="str">
        <f>IF(OR(AJ40=0, AJ40="."),".",COUNTIF('D-5 (Pivot)'!$AH$2:$AH$26,'D-4b-Consolidated (Pivot)'!AJ40))</f>
        <v>.</v>
      </c>
    </row>
    <row r="41" spans="1:41" x14ac:dyDescent="0.25">
      <c r="A41">
        <f t="shared" si="17"/>
        <v>0</v>
      </c>
      <c r="B41">
        <f t="shared" si="18"/>
        <v>0</v>
      </c>
      <c r="C41">
        <f t="shared" si="19"/>
        <v>0</v>
      </c>
      <c r="D41">
        <f t="shared" si="20"/>
        <v>0</v>
      </c>
      <c r="E41">
        <f t="shared" si="21"/>
        <v>0</v>
      </c>
      <c r="F41">
        <f>'D-RepLevel'!$F$2</f>
        <v>0</v>
      </c>
      <c r="G41">
        <f>'D-RepLevel'!$G$2</f>
        <v>0</v>
      </c>
      <c r="H41">
        <f t="shared" si="22"/>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23"/>
        <v>0</v>
      </c>
      <c r="M41">
        <f t="shared" si="24"/>
        <v>0</v>
      </c>
      <c r="N41">
        <f t="shared" si="25"/>
        <v>0</v>
      </c>
      <c r="O41">
        <f t="shared" si="26"/>
        <v>2015</v>
      </c>
      <c r="P41">
        <f t="shared" si="27"/>
        <v>0</v>
      </c>
      <c r="Q41">
        <f t="shared" si="28"/>
        <v>0</v>
      </c>
      <c r="R41">
        <f t="shared" si="29"/>
        <v>0</v>
      </c>
      <c r="S41">
        <f t="shared" si="30"/>
        <v>0</v>
      </c>
      <c r="T41">
        <f>COUNTIF('9a'!$K$22:$K$32, "Yes")+COUNTIF('9a'!$O$22:$O$32, "Yes")</f>
        <v>0</v>
      </c>
      <c r="U41" t="str">
        <f t="shared" si="31"/>
        <v>No Expenditures</v>
      </c>
      <c r="V41" t="str">
        <f t="shared" si="32"/>
        <v>No Expenditures</v>
      </c>
      <c r="W41">
        <f t="shared" si="33"/>
        <v>0</v>
      </c>
      <c r="X41" t="str">
        <f>'D-Risk'!$AO$25</f>
        <v>Insufficient Data</v>
      </c>
      <c r="Y41" t="str">
        <f>'D-Risk'!$AO$26</f>
        <v>Insufficient Data</v>
      </c>
      <c r="Z41" t="str">
        <f>'D-Risk'!$AO$27</f>
        <v>Uncalculated</v>
      </c>
      <c r="AA41">
        <v>40</v>
      </c>
      <c r="AB41" t="str">
        <f>IF(ISERROR(Lists!AK41), ".", Lists!AK41)</f>
        <v>.</v>
      </c>
      <c r="AC41" t="str">
        <f>IF(AB41&lt;&gt;".",INDEX('4b'!$B$11:$B$241,MATCH('D-4b-Consolidated (Pivot)'!$AB41,'4b'!$D$11:$D$241,FALSE),1), ".")</f>
        <v>.</v>
      </c>
      <c r="AD41" t="str">
        <f>IF(AC41&lt;&gt;".",INDEX('4b'!$C$11:$C$241,MATCH('D-4b-Consolidated (Pivot)'!$AB41,'4b'!$D$11:$D$241,FALSE),1), ".")</f>
        <v>.</v>
      </c>
      <c r="AE41" t="str">
        <f>IF(AD41&lt;&gt;".",INDEX('4b'!E$11:E$241,MATCH('D-4b-Consolidated (Pivot)'!$AB41,'4b'!$D$11:$D$241,FALSE),1), ".")</f>
        <v>.</v>
      </c>
      <c r="AF41" t="str">
        <f>IF(AE41&lt;&gt;".",INDEX('4b'!F$11:F$241,MATCH('D-4b-Consolidated (Pivot)'!$AB41,'4b'!$D$11:$D$241,FALSE),1), ".")</f>
        <v>.</v>
      </c>
      <c r="AG41" t="str">
        <f>IF(AF41&lt;&gt;".",INDEX('4b'!G$11:G$241,MATCH('D-4b-Consolidated (Pivot)'!$AB41,'4b'!$D$11:$D$241,FALSE),1), ".")</f>
        <v>.</v>
      </c>
      <c r="AH41" t="str">
        <f>IF(AG41&lt;&gt;".",INDEX('4b'!H$11:H$241,MATCH('D-4b-Consolidated (Pivot)'!$AB41,'4b'!$D$11:$D$241,FALSE),1), ".")</f>
        <v>.</v>
      </c>
      <c r="AI41" t="str">
        <f>IF(AH41&lt;&gt;".",INDEX('4b'!I$11:I$241,MATCH('D-4b-Consolidated (Pivot)'!$AB41,'4b'!$D$11:$D$241,FALSE),1), ".")</f>
        <v>.</v>
      </c>
      <c r="AJ41" t="str">
        <f>IF(AI41&lt;&gt;".",INDEX('4b'!J$11:J$241,MATCH('D-4b-Consolidated (Pivot)'!$AB41,'4b'!$D$11:$D$241,FALSE),1), ".")</f>
        <v>.</v>
      </c>
      <c r="AK41" t="str">
        <f>IF(OR(AF41=0, AF41="."),".",COUNTIF('D-5 (Pivot)'!$AH$2:$AH$26,'D-4b-Consolidated (Pivot)'!AF41))</f>
        <v>.</v>
      </c>
      <c r="AL41" t="str">
        <f>IF(OR(AG41=0, AG41="."),".",COUNTIF('D-5 (Pivot)'!$AH$2:$AH$26,'D-4b-Consolidated (Pivot)'!AG41))</f>
        <v>.</v>
      </c>
      <c r="AM41" t="str">
        <f>IF(OR(AH41=0, AH41="."),".",COUNTIF('D-5 (Pivot)'!$AH$2:$AH$26,'D-4b-Consolidated (Pivot)'!AH41))</f>
        <v>.</v>
      </c>
      <c r="AN41" t="str">
        <f>IF(OR(AI41=0, AI41="."),".",COUNTIF('D-5 (Pivot)'!$AH$2:$AH$26,'D-4b-Consolidated (Pivot)'!AI41))</f>
        <v>.</v>
      </c>
      <c r="AO41" t="str">
        <f>IF(OR(AJ41=0, AJ41="."),".",COUNTIF('D-5 (Pivot)'!$AH$2:$AH$26,'D-4b-Consolidated (Pivot)'!AJ41))</f>
        <v>.</v>
      </c>
    </row>
    <row r="42" spans="1:41" x14ac:dyDescent="0.25">
      <c r="A42">
        <f t="shared" si="17"/>
        <v>0</v>
      </c>
      <c r="B42">
        <f t="shared" si="18"/>
        <v>0</v>
      </c>
      <c r="C42">
        <f t="shared" si="19"/>
        <v>0</v>
      </c>
      <c r="D42">
        <f t="shared" si="20"/>
        <v>0</v>
      </c>
      <c r="E42">
        <f t="shared" si="21"/>
        <v>0</v>
      </c>
      <c r="F42">
        <f>'D-RepLevel'!$F$2</f>
        <v>0</v>
      </c>
      <c r="G42">
        <f>'D-RepLevel'!$G$2</f>
        <v>0</v>
      </c>
      <c r="H42">
        <f t="shared" si="22"/>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23"/>
        <v>0</v>
      </c>
      <c r="M42">
        <f t="shared" si="24"/>
        <v>0</v>
      </c>
      <c r="N42">
        <f t="shared" si="25"/>
        <v>0</v>
      </c>
      <c r="O42">
        <f t="shared" si="26"/>
        <v>2015</v>
      </c>
      <c r="P42">
        <f t="shared" si="27"/>
        <v>0</v>
      </c>
      <c r="Q42">
        <f t="shared" si="28"/>
        <v>0</v>
      </c>
      <c r="R42">
        <f t="shared" si="29"/>
        <v>0</v>
      </c>
      <c r="S42">
        <f t="shared" si="30"/>
        <v>0</v>
      </c>
      <c r="T42">
        <f>COUNTIF('9a'!$K$22:$K$32, "Yes")+COUNTIF('9a'!$O$22:$O$32, "Yes")</f>
        <v>0</v>
      </c>
      <c r="U42" t="str">
        <f t="shared" si="31"/>
        <v>No Expenditures</v>
      </c>
      <c r="V42" t="str">
        <f t="shared" si="32"/>
        <v>No Expenditures</v>
      </c>
      <c r="W42">
        <f t="shared" si="33"/>
        <v>0</v>
      </c>
      <c r="X42" t="str">
        <f>'D-Risk'!$AO$25</f>
        <v>Insufficient Data</v>
      </c>
      <c r="Y42" t="str">
        <f>'D-Risk'!$AO$26</f>
        <v>Insufficient Data</v>
      </c>
      <c r="Z42" t="str">
        <f>'D-Risk'!$AO$27</f>
        <v>Uncalculated</v>
      </c>
      <c r="AA42">
        <v>41</v>
      </c>
      <c r="AB42" t="str">
        <f>IF(ISERROR(Lists!AK42), ".", Lists!AK42)</f>
        <v>.</v>
      </c>
      <c r="AC42" t="str">
        <f>IF(AB42&lt;&gt;".",INDEX('4b'!$B$11:$B$241,MATCH('D-4b-Consolidated (Pivot)'!$AB42,'4b'!$D$11:$D$241,FALSE),1), ".")</f>
        <v>.</v>
      </c>
      <c r="AD42" t="str">
        <f>IF(AC42&lt;&gt;".",INDEX('4b'!$C$11:$C$241,MATCH('D-4b-Consolidated (Pivot)'!$AB42,'4b'!$D$11:$D$241,FALSE),1), ".")</f>
        <v>.</v>
      </c>
      <c r="AE42" t="str">
        <f>IF(AD42&lt;&gt;".",INDEX('4b'!E$11:E$241,MATCH('D-4b-Consolidated (Pivot)'!$AB42,'4b'!$D$11:$D$241,FALSE),1), ".")</f>
        <v>.</v>
      </c>
      <c r="AF42" t="str">
        <f>IF(AE42&lt;&gt;".",INDEX('4b'!F$11:F$241,MATCH('D-4b-Consolidated (Pivot)'!$AB42,'4b'!$D$11:$D$241,FALSE),1), ".")</f>
        <v>.</v>
      </c>
      <c r="AG42" t="str">
        <f>IF(AF42&lt;&gt;".",INDEX('4b'!G$11:G$241,MATCH('D-4b-Consolidated (Pivot)'!$AB42,'4b'!$D$11:$D$241,FALSE),1), ".")</f>
        <v>.</v>
      </c>
      <c r="AH42" t="str">
        <f>IF(AG42&lt;&gt;".",INDEX('4b'!H$11:H$241,MATCH('D-4b-Consolidated (Pivot)'!$AB42,'4b'!$D$11:$D$241,FALSE),1), ".")</f>
        <v>.</v>
      </c>
      <c r="AI42" t="str">
        <f>IF(AH42&lt;&gt;".",INDEX('4b'!I$11:I$241,MATCH('D-4b-Consolidated (Pivot)'!$AB42,'4b'!$D$11:$D$241,FALSE),1), ".")</f>
        <v>.</v>
      </c>
      <c r="AJ42" t="str">
        <f>IF(AI42&lt;&gt;".",INDEX('4b'!J$11:J$241,MATCH('D-4b-Consolidated (Pivot)'!$AB42,'4b'!$D$11:$D$241,FALSE),1), ".")</f>
        <v>.</v>
      </c>
      <c r="AK42" t="str">
        <f>IF(OR(AF42=0, AF42="."),".",COUNTIF('D-5 (Pivot)'!$AH$2:$AH$26,'D-4b-Consolidated (Pivot)'!AF42))</f>
        <v>.</v>
      </c>
      <c r="AL42" t="str">
        <f>IF(OR(AG42=0, AG42="."),".",COUNTIF('D-5 (Pivot)'!$AH$2:$AH$26,'D-4b-Consolidated (Pivot)'!AG42))</f>
        <v>.</v>
      </c>
      <c r="AM42" t="str">
        <f>IF(OR(AH42=0, AH42="."),".",COUNTIF('D-5 (Pivot)'!$AH$2:$AH$26,'D-4b-Consolidated (Pivot)'!AH42))</f>
        <v>.</v>
      </c>
      <c r="AN42" t="str">
        <f>IF(OR(AI42=0, AI42="."),".",COUNTIF('D-5 (Pivot)'!$AH$2:$AH$26,'D-4b-Consolidated (Pivot)'!AI42))</f>
        <v>.</v>
      </c>
      <c r="AO42" t="str">
        <f>IF(OR(AJ42=0, AJ42="."),".",COUNTIF('D-5 (Pivot)'!$AH$2:$AH$26,'D-4b-Consolidated (Pivot)'!AJ42))</f>
        <v>.</v>
      </c>
    </row>
    <row r="43" spans="1:41" x14ac:dyDescent="0.25">
      <c r="A43">
        <f t="shared" si="17"/>
        <v>0</v>
      </c>
      <c r="B43">
        <f t="shared" si="18"/>
        <v>0</v>
      </c>
      <c r="C43">
        <f t="shared" si="19"/>
        <v>0</v>
      </c>
      <c r="D43">
        <f t="shared" si="20"/>
        <v>0</v>
      </c>
      <c r="E43">
        <f t="shared" si="21"/>
        <v>0</v>
      </c>
      <c r="F43">
        <f>'D-RepLevel'!$F$2</f>
        <v>0</v>
      </c>
      <c r="G43">
        <f>'D-RepLevel'!$G$2</f>
        <v>0</v>
      </c>
      <c r="H43">
        <f t="shared" si="22"/>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23"/>
        <v>0</v>
      </c>
      <c r="M43">
        <f t="shared" si="24"/>
        <v>0</v>
      </c>
      <c r="N43">
        <f t="shared" si="25"/>
        <v>0</v>
      </c>
      <c r="O43">
        <f t="shared" si="26"/>
        <v>2015</v>
      </c>
      <c r="P43">
        <f t="shared" si="27"/>
        <v>0</v>
      </c>
      <c r="Q43">
        <f t="shared" si="28"/>
        <v>0</v>
      </c>
      <c r="R43">
        <f t="shared" si="29"/>
        <v>0</v>
      </c>
      <c r="S43">
        <f t="shared" si="30"/>
        <v>0</v>
      </c>
      <c r="T43">
        <f>COUNTIF('9a'!$K$22:$K$32, "Yes")+COUNTIF('9a'!$O$22:$O$32, "Yes")</f>
        <v>0</v>
      </c>
      <c r="U43" t="str">
        <f t="shared" si="31"/>
        <v>No Expenditures</v>
      </c>
      <c r="V43" t="str">
        <f t="shared" si="32"/>
        <v>No Expenditures</v>
      </c>
      <c r="W43">
        <f t="shared" si="33"/>
        <v>0</v>
      </c>
      <c r="X43" t="str">
        <f>'D-Risk'!$AO$25</f>
        <v>Insufficient Data</v>
      </c>
      <c r="Y43" t="str">
        <f>'D-Risk'!$AO$26</f>
        <v>Insufficient Data</v>
      </c>
      <c r="Z43" t="str">
        <f>'D-Risk'!$AO$27</f>
        <v>Uncalculated</v>
      </c>
      <c r="AA43">
        <v>42</v>
      </c>
      <c r="AB43" t="str">
        <f>IF(ISERROR(Lists!AK43), ".", Lists!AK43)</f>
        <v>.</v>
      </c>
      <c r="AC43" t="str">
        <f>IF(AB43&lt;&gt;".",INDEX('4b'!$B$11:$B$241,MATCH('D-4b-Consolidated (Pivot)'!$AB43,'4b'!$D$11:$D$241,FALSE),1), ".")</f>
        <v>.</v>
      </c>
      <c r="AD43" t="str">
        <f>IF(AC43&lt;&gt;".",INDEX('4b'!$C$11:$C$241,MATCH('D-4b-Consolidated (Pivot)'!$AB43,'4b'!$D$11:$D$241,FALSE),1), ".")</f>
        <v>.</v>
      </c>
      <c r="AE43" t="str">
        <f>IF(AD43&lt;&gt;".",INDEX('4b'!E$11:E$241,MATCH('D-4b-Consolidated (Pivot)'!$AB43,'4b'!$D$11:$D$241,FALSE),1), ".")</f>
        <v>.</v>
      </c>
      <c r="AF43" t="str">
        <f>IF(AE43&lt;&gt;".",INDEX('4b'!F$11:F$241,MATCH('D-4b-Consolidated (Pivot)'!$AB43,'4b'!$D$11:$D$241,FALSE),1), ".")</f>
        <v>.</v>
      </c>
      <c r="AG43" t="str">
        <f>IF(AF43&lt;&gt;".",INDEX('4b'!G$11:G$241,MATCH('D-4b-Consolidated (Pivot)'!$AB43,'4b'!$D$11:$D$241,FALSE),1), ".")</f>
        <v>.</v>
      </c>
      <c r="AH43" t="str">
        <f>IF(AG43&lt;&gt;".",INDEX('4b'!H$11:H$241,MATCH('D-4b-Consolidated (Pivot)'!$AB43,'4b'!$D$11:$D$241,FALSE),1), ".")</f>
        <v>.</v>
      </c>
      <c r="AI43" t="str">
        <f>IF(AH43&lt;&gt;".",INDEX('4b'!I$11:I$241,MATCH('D-4b-Consolidated (Pivot)'!$AB43,'4b'!$D$11:$D$241,FALSE),1), ".")</f>
        <v>.</v>
      </c>
      <c r="AJ43" t="str">
        <f>IF(AI43&lt;&gt;".",INDEX('4b'!J$11:J$241,MATCH('D-4b-Consolidated (Pivot)'!$AB43,'4b'!$D$11:$D$241,FALSE),1), ".")</f>
        <v>.</v>
      </c>
      <c r="AK43" t="str">
        <f>IF(OR(AF43=0, AF43="."),".",COUNTIF('D-5 (Pivot)'!$AH$2:$AH$26,'D-4b-Consolidated (Pivot)'!AF43))</f>
        <v>.</v>
      </c>
      <c r="AL43" t="str">
        <f>IF(OR(AG43=0, AG43="."),".",COUNTIF('D-5 (Pivot)'!$AH$2:$AH$26,'D-4b-Consolidated (Pivot)'!AG43))</f>
        <v>.</v>
      </c>
      <c r="AM43" t="str">
        <f>IF(OR(AH43=0, AH43="."),".",COUNTIF('D-5 (Pivot)'!$AH$2:$AH$26,'D-4b-Consolidated (Pivot)'!AH43))</f>
        <v>.</v>
      </c>
      <c r="AN43" t="str">
        <f>IF(OR(AI43=0, AI43="."),".",COUNTIF('D-5 (Pivot)'!$AH$2:$AH$26,'D-4b-Consolidated (Pivot)'!AI43))</f>
        <v>.</v>
      </c>
      <c r="AO43" t="str">
        <f>IF(OR(AJ43=0, AJ43="."),".",COUNTIF('D-5 (Pivot)'!$AH$2:$AH$26,'D-4b-Consolidated (Pivot)'!AJ43))</f>
        <v>.</v>
      </c>
    </row>
    <row r="44" spans="1:41" x14ac:dyDescent="0.25">
      <c r="A44">
        <f t="shared" si="17"/>
        <v>0</v>
      </c>
      <c r="B44">
        <f t="shared" si="18"/>
        <v>0</v>
      </c>
      <c r="C44">
        <f t="shared" si="19"/>
        <v>0</v>
      </c>
      <c r="D44">
        <f t="shared" si="20"/>
        <v>0</v>
      </c>
      <c r="E44">
        <f t="shared" si="21"/>
        <v>0</v>
      </c>
      <c r="F44">
        <f>'D-RepLevel'!$F$2</f>
        <v>0</v>
      </c>
      <c r="G44">
        <f>'D-RepLevel'!$G$2</f>
        <v>0</v>
      </c>
      <c r="H44">
        <f t="shared" si="22"/>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23"/>
        <v>0</v>
      </c>
      <c r="M44">
        <f t="shared" si="24"/>
        <v>0</v>
      </c>
      <c r="N44">
        <f t="shared" si="25"/>
        <v>0</v>
      </c>
      <c r="O44">
        <f t="shared" si="26"/>
        <v>2015</v>
      </c>
      <c r="P44">
        <f t="shared" si="27"/>
        <v>0</v>
      </c>
      <c r="Q44">
        <f t="shared" si="28"/>
        <v>0</v>
      </c>
      <c r="R44">
        <f t="shared" si="29"/>
        <v>0</v>
      </c>
      <c r="S44">
        <f t="shared" si="30"/>
        <v>0</v>
      </c>
      <c r="T44">
        <f>COUNTIF('9a'!$K$22:$K$32, "Yes")+COUNTIF('9a'!$O$22:$O$32, "Yes")</f>
        <v>0</v>
      </c>
      <c r="U44" t="str">
        <f t="shared" si="31"/>
        <v>No Expenditures</v>
      </c>
      <c r="V44" t="str">
        <f t="shared" si="32"/>
        <v>No Expenditures</v>
      </c>
      <c r="W44">
        <f t="shared" si="33"/>
        <v>0</v>
      </c>
      <c r="X44" t="str">
        <f>'D-Risk'!$AO$25</f>
        <v>Insufficient Data</v>
      </c>
      <c r="Y44" t="str">
        <f>'D-Risk'!$AO$26</f>
        <v>Insufficient Data</v>
      </c>
      <c r="Z44" t="str">
        <f>'D-Risk'!$AO$27</f>
        <v>Uncalculated</v>
      </c>
      <c r="AA44">
        <v>43</v>
      </c>
      <c r="AB44" t="str">
        <f>IF(ISERROR(Lists!AK44), ".", Lists!AK44)</f>
        <v>.</v>
      </c>
      <c r="AC44" t="str">
        <f>IF(AB44&lt;&gt;".",INDEX('4b'!$B$11:$B$241,MATCH('D-4b-Consolidated (Pivot)'!$AB44,'4b'!$D$11:$D$241,FALSE),1), ".")</f>
        <v>.</v>
      </c>
      <c r="AD44" t="str">
        <f>IF(AC44&lt;&gt;".",INDEX('4b'!$C$11:$C$241,MATCH('D-4b-Consolidated (Pivot)'!$AB44,'4b'!$D$11:$D$241,FALSE),1), ".")</f>
        <v>.</v>
      </c>
      <c r="AE44" t="str">
        <f>IF(AD44&lt;&gt;".",INDEX('4b'!E$11:E$241,MATCH('D-4b-Consolidated (Pivot)'!$AB44,'4b'!$D$11:$D$241,FALSE),1), ".")</f>
        <v>.</v>
      </c>
      <c r="AF44" t="str">
        <f>IF(AE44&lt;&gt;".",INDEX('4b'!F$11:F$241,MATCH('D-4b-Consolidated (Pivot)'!$AB44,'4b'!$D$11:$D$241,FALSE),1), ".")</f>
        <v>.</v>
      </c>
      <c r="AG44" t="str">
        <f>IF(AF44&lt;&gt;".",INDEX('4b'!G$11:G$241,MATCH('D-4b-Consolidated (Pivot)'!$AB44,'4b'!$D$11:$D$241,FALSE),1), ".")</f>
        <v>.</v>
      </c>
      <c r="AH44" t="str">
        <f>IF(AG44&lt;&gt;".",INDEX('4b'!H$11:H$241,MATCH('D-4b-Consolidated (Pivot)'!$AB44,'4b'!$D$11:$D$241,FALSE),1), ".")</f>
        <v>.</v>
      </c>
      <c r="AI44" t="str">
        <f>IF(AH44&lt;&gt;".",INDEX('4b'!I$11:I$241,MATCH('D-4b-Consolidated (Pivot)'!$AB44,'4b'!$D$11:$D$241,FALSE),1), ".")</f>
        <v>.</v>
      </c>
      <c r="AJ44" t="str">
        <f>IF(AI44&lt;&gt;".",INDEX('4b'!J$11:J$241,MATCH('D-4b-Consolidated (Pivot)'!$AB44,'4b'!$D$11:$D$241,FALSE),1), ".")</f>
        <v>.</v>
      </c>
      <c r="AK44" t="str">
        <f>IF(OR(AF44=0, AF44="."),".",COUNTIF('D-5 (Pivot)'!$AH$2:$AH$26,'D-4b-Consolidated (Pivot)'!AF44))</f>
        <v>.</v>
      </c>
      <c r="AL44" t="str">
        <f>IF(OR(AG44=0, AG44="."),".",COUNTIF('D-5 (Pivot)'!$AH$2:$AH$26,'D-4b-Consolidated (Pivot)'!AG44))</f>
        <v>.</v>
      </c>
      <c r="AM44" t="str">
        <f>IF(OR(AH44=0, AH44="."),".",COUNTIF('D-5 (Pivot)'!$AH$2:$AH$26,'D-4b-Consolidated (Pivot)'!AH44))</f>
        <v>.</v>
      </c>
      <c r="AN44" t="str">
        <f>IF(OR(AI44=0, AI44="."),".",COUNTIF('D-5 (Pivot)'!$AH$2:$AH$26,'D-4b-Consolidated (Pivot)'!AI44))</f>
        <v>.</v>
      </c>
      <c r="AO44" t="str">
        <f>IF(OR(AJ44=0, AJ44="."),".",COUNTIF('D-5 (Pivot)'!$AH$2:$AH$26,'D-4b-Consolidated (Pivot)'!AJ44))</f>
        <v>.</v>
      </c>
    </row>
    <row r="45" spans="1:41" x14ac:dyDescent="0.25">
      <c r="A45">
        <f t="shared" si="17"/>
        <v>0</v>
      </c>
      <c r="B45">
        <f t="shared" si="18"/>
        <v>0</v>
      </c>
      <c r="C45">
        <f t="shared" si="19"/>
        <v>0</v>
      </c>
      <c r="D45">
        <f t="shared" si="20"/>
        <v>0</v>
      </c>
      <c r="E45">
        <f t="shared" si="21"/>
        <v>0</v>
      </c>
      <c r="F45">
        <f>'D-RepLevel'!$F$2</f>
        <v>0</v>
      </c>
      <c r="G45">
        <f>'D-RepLevel'!$G$2</f>
        <v>0</v>
      </c>
      <c r="H45">
        <f t="shared" si="22"/>
        <v>0</v>
      </c>
      <c r="I45" t="str">
        <f>IF(ISERROR(INDEX('1b'!$C$5:$C$21, MATCH("Primary Business Line", '1b'!$H$5:$H$21, FALSE), 1)), "None Selected", INDEX('1b'!$C$5:$C$21, MATCH("Primary Business Line", '1b'!$H$5:$H$21, FALSE), 1))</f>
        <v>None Selected</v>
      </c>
      <c r="J45">
        <f>'D-3'!$J$2</f>
        <v>0</v>
      </c>
      <c r="K45">
        <f>COUNTIF('4a'!$E$6:$E$29, "Direct")+COUNTIF('4a'!$E$6:$E$29, "Indirect")+COUNTIF('4a'!$E$6:$E$29, "Both")</f>
        <v>0</v>
      </c>
      <c r="L45">
        <f t="shared" si="23"/>
        <v>0</v>
      </c>
      <c r="M45">
        <f t="shared" si="24"/>
        <v>0</v>
      </c>
      <c r="N45">
        <f t="shared" si="25"/>
        <v>0</v>
      </c>
      <c r="O45">
        <f t="shared" si="26"/>
        <v>2015</v>
      </c>
      <c r="P45">
        <f t="shared" si="27"/>
        <v>0</v>
      </c>
      <c r="Q45">
        <f t="shared" si="28"/>
        <v>0</v>
      </c>
      <c r="R45">
        <f t="shared" si="29"/>
        <v>0</v>
      </c>
      <c r="S45">
        <f t="shared" si="30"/>
        <v>0</v>
      </c>
      <c r="T45">
        <f>COUNTIF('9a'!$K$22:$K$32, "Yes")+COUNTIF('9a'!$O$22:$O$32, "Yes")</f>
        <v>0</v>
      </c>
      <c r="U45" t="str">
        <f t="shared" si="31"/>
        <v>No Expenditures</v>
      </c>
      <c r="V45" t="str">
        <f t="shared" si="32"/>
        <v>No Expenditures</v>
      </c>
      <c r="W45">
        <f t="shared" si="33"/>
        <v>0</v>
      </c>
      <c r="X45" t="str">
        <f>'D-Risk'!$AO$25</f>
        <v>Insufficient Data</v>
      </c>
      <c r="Y45" t="str">
        <f>'D-Risk'!$AO$26</f>
        <v>Insufficient Data</v>
      </c>
      <c r="Z45" t="str">
        <f>'D-Risk'!$AO$27</f>
        <v>Uncalculated</v>
      </c>
      <c r="AA45">
        <v>44</v>
      </c>
      <c r="AB45" t="str">
        <f>IF(ISERROR(Lists!AK45), ".", Lists!AK45)</f>
        <v>.</v>
      </c>
      <c r="AC45" t="str">
        <f>IF(AB45&lt;&gt;".",INDEX('4b'!$B$11:$B$241,MATCH('D-4b-Consolidated (Pivot)'!$AB45,'4b'!$D$11:$D$241,FALSE),1), ".")</f>
        <v>.</v>
      </c>
      <c r="AD45" t="str">
        <f>IF(AC45&lt;&gt;".",INDEX('4b'!$C$11:$C$241,MATCH('D-4b-Consolidated (Pivot)'!$AB45,'4b'!$D$11:$D$241,FALSE),1), ".")</f>
        <v>.</v>
      </c>
      <c r="AE45" t="str">
        <f>IF(AD45&lt;&gt;".",INDEX('4b'!E$11:E$241,MATCH('D-4b-Consolidated (Pivot)'!$AB45,'4b'!$D$11:$D$241,FALSE),1), ".")</f>
        <v>.</v>
      </c>
      <c r="AF45" t="str">
        <f>IF(AE45&lt;&gt;".",INDEX('4b'!F$11:F$241,MATCH('D-4b-Consolidated (Pivot)'!$AB45,'4b'!$D$11:$D$241,FALSE),1), ".")</f>
        <v>.</v>
      </c>
      <c r="AG45" t="str">
        <f>IF(AF45&lt;&gt;".",INDEX('4b'!G$11:G$241,MATCH('D-4b-Consolidated (Pivot)'!$AB45,'4b'!$D$11:$D$241,FALSE),1), ".")</f>
        <v>.</v>
      </c>
      <c r="AH45" t="str">
        <f>IF(AG45&lt;&gt;".",INDEX('4b'!H$11:H$241,MATCH('D-4b-Consolidated (Pivot)'!$AB45,'4b'!$D$11:$D$241,FALSE),1), ".")</f>
        <v>.</v>
      </c>
      <c r="AI45" t="str">
        <f>IF(AH45&lt;&gt;".",INDEX('4b'!I$11:I$241,MATCH('D-4b-Consolidated (Pivot)'!$AB45,'4b'!$D$11:$D$241,FALSE),1), ".")</f>
        <v>.</v>
      </c>
      <c r="AJ45" t="str">
        <f>IF(AI45&lt;&gt;".",INDEX('4b'!J$11:J$241,MATCH('D-4b-Consolidated (Pivot)'!$AB45,'4b'!$D$11:$D$241,FALSE),1), ".")</f>
        <v>.</v>
      </c>
      <c r="AK45" t="str">
        <f>IF(OR(AF45=0, AF45="."),".",COUNTIF('D-5 (Pivot)'!$AH$2:$AH$26,'D-4b-Consolidated (Pivot)'!AF45))</f>
        <v>.</v>
      </c>
      <c r="AL45" t="str">
        <f>IF(OR(AG45=0, AG45="."),".",COUNTIF('D-5 (Pivot)'!$AH$2:$AH$26,'D-4b-Consolidated (Pivot)'!AG45))</f>
        <v>.</v>
      </c>
      <c r="AM45" t="str">
        <f>IF(OR(AH45=0, AH45="."),".",COUNTIF('D-5 (Pivot)'!$AH$2:$AH$26,'D-4b-Consolidated (Pivot)'!AH45))</f>
        <v>.</v>
      </c>
      <c r="AN45" t="str">
        <f>IF(OR(AI45=0, AI45="."),".",COUNTIF('D-5 (Pivot)'!$AH$2:$AH$26,'D-4b-Consolidated (Pivot)'!AI45))</f>
        <v>.</v>
      </c>
      <c r="AO45" t="str">
        <f>IF(OR(AJ45=0, AJ45="."),".",COUNTIF('D-5 (Pivot)'!$AH$2:$AH$26,'D-4b-Consolidated (Pivot)'!AJ45))</f>
        <v>.</v>
      </c>
    </row>
    <row r="46" spans="1:41" x14ac:dyDescent="0.25">
      <c r="A46">
        <f t="shared" si="17"/>
        <v>0</v>
      </c>
      <c r="B46">
        <f t="shared" si="18"/>
        <v>0</v>
      </c>
      <c r="C46">
        <f t="shared" si="19"/>
        <v>0</v>
      </c>
      <c r="D46">
        <f t="shared" si="20"/>
        <v>0</v>
      </c>
      <c r="E46">
        <f t="shared" si="21"/>
        <v>0</v>
      </c>
      <c r="F46">
        <f>'D-RepLevel'!$F$2</f>
        <v>0</v>
      </c>
      <c r="G46">
        <f>'D-RepLevel'!$G$2</f>
        <v>0</v>
      </c>
      <c r="H46">
        <f t="shared" si="22"/>
        <v>0</v>
      </c>
      <c r="I46" t="str">
        <f>IF(ISERROR(INDEX('1b'!$C$5:$C$21, MATCH("Primary Business Line", '1b'!$H$5:$H$21, FALSE), 1)), "None Selected", INDEX('1b'!$C$5:$C$21, MATCH("Primary Business Line", '1b'!$H$5:$H$21, FALSE), 1))</f>
        <v>None Selected</v>
      </c>
      <c r="J46">
        <f>'D-3'!$J$2</f>
        <v>0</v>
      </c>
      <c r="K46">
        <f>COUNTIF('4a'!$E$6:$E$29, "Direct")+COUNTIF('4a'!$E$6:$E$29, "Indirect")+COUNTIF('4a'!$E$6:$E$29, "Both")</f>
        <v>0</v>
      </c>
      <c r="L46">
        <f t="shared" si="23"/>
        <v>0</v>
      </c>
      <c r="M46">
        <f t="shared" si="24"/>
        <v>0</v>
      </c>
      <c r="N46">
        <f t="shared" si="25"/>
        <v>0</v>
      </c>
      <c r="O46">
        <f t="shared" si="26"/>
        <v>2015</v>
      </c>
      <c r="P46">
        <f t="shared" si="27"/>
        <v>0</v>
      </c>
      <c r="Q46">
        <f t="shared" si="28"/>
        <v>0</v>
      </c>
      <c r="R46">
        <f t="shared" si="29"/>
        <v>0</v>
      </c>
      <c r="S46">
        <f t="shared" si="30"/>
        <v>0</v>
      </c>
      <c r="T46">
        <f>COUNTIF('9a'!$K$22:$K$32, "Yes")+COUNTIF('9a'!$O$22:$O$32, "Yes")</f>
        <v>0</v>
      </c>
      <c r="U46" t="str">
        <f t="shared" si="31"/>
        <v>No Expenditures</v>
      </c>
      <c r="V46" t="str">
        <f t="shared" si="32"/>
        <v>No Expenditures</v>
      </c>
      <c r="W46">
        <f t="shared" si="33"/>
        <v>0</v>
      </c>
      <c r="X46" t="str">
        <f>'D-Risk'!$AO$25</f>
        <v>Insufficient Data</v>
      </c>
      <c r="Y46" t="str">
        <f>'D-Risk'!$AO$26</f>
        <v>Insufficient Data</v>
      </c>
      <c r="Z46" t="str">
        <f>'D-Risk'!$AO$27</f>
        <v>Uncalculated</v>
      </c>
      <c r="AA46">
        <v>45</v>
      </c>
      <c r="AB46" t="str">
        <f>IF(ISERROR(Lists!AK46), ".", Lists!AK46)</f>
        <v>.</v>
      </c>
      <c r="AC46" t="str">
        <f>IF(AB46&lt;&gt;".",INDEX('4b'!$B$11:$B$241,MATCH('D-4b-Consolidated (Pivot)'!$AB46,'4b'!$D$11:$D$241,FALSE),1), ".")</f>
        <v>.</v>
      </c>
      <c r="AD46" t="str">
        <f>IF(AC46&lt;&gt;".",INDEX('4b'!$C$11:$C$241,MATCH('D-4b-Consolidated (Pivot)'!$AB46,'4b'!$D$11:$D$241,FALSE),1), ".")</f>
        <v>.</v>
      </c>
      <c r="AE46" t="str">
        <f>IF(AD46&lt;&gt;".",INDEX('4b'!E$11:E$241,MATCH('D-4b-Consolidated (Pivot)'!$AB46,'4b'!$D$11:$D$241,FALSE),1), ".")</f>
        <v>.</v>
      </c>
      <c r="AF46" t="str">
        <f>IF(AE46&lt;&gt;".",INDEX('4b'!F$11:F$241,MATCH('D-4b-Consolidated (Pivot)'!$AB46,'4b'!$D$11:$D$241,FALSE),1), ".")</f>
        <v>.</v>
      </c>
      <c r="AG46" t="str">
        <f>IF(AF46&lt;&gt;".",INDEX('4b'!G$11:G$241,MATCH('D-4b-Consolidated (Pivot)'!$AB46,'4b'!$D$11:$D$241,FALSE),1), ".")</f>
        <v>.</v>
      </c>
      <c r="AH46" t="str">
        <f>IF(AG46&lt;&gt;".",INDEX('4b'!H$11:H$241,MATCH('D-4b-Consolidated (Pivot)'!$AB46,'4b'!$D$11:$D$241,FALSE),1), ".")</f>
        <v>.</v>
      </c>
      <c r="AI46" t="str">
        <f>IF(AH46&lt;&gt;".",INDEX('4b'!I$11:I$241,MATCH('D-4b-Consolidated (Pivot)'!$AB46,'4b'!$D$11:$D$241,FALSE),1), ".")</f>
        <v>.</v>
      </c>
      <c r="AJ46" t="str">
        <f>IF(AI46&lt;&gt;".",INDEX('4b'!J$11:J$241,MATCH('D-4b-Consolidated (Pivot)'!$AB46,'4b'!$D$11:$D$241,FALSE),1), ".")</f>
        <v>.</v>
      </c>
      <c r="AK46" t="str">
        <f>IF(OR(AF46=0, AF46="."),".",COUNTIF('D-5 (Pivot)'!$AH$2:$AH$26,'D-4b-Consolidated (Pivot)'!AF46))</f>
        <v>.</v>
      </c>
      <c r="AL46" t="str">
        <f>IF(OR(AG46=0, AG46="."),".",COUNTIF('D-5 (Pivot)'!$AH$2:$AH$26,'D-4b-Consolidated (Pivot)'!AG46))</f>
        <v>.</v>
      </c>
      <c r="AM46" t="str">
        <f>IF(OR(AH46=0, AH46="."),".",COUNTIF('D-5 (Pivot)'!$AH$2:$AH$26,'D-4b-Consolidated (Pivot)'!AH46))</f>
        <v>.</v>
      </c>
      <c r="AN46" t="str">
        <f>IF(OR(AI46=0, AI46="."),".",COUNTIF('D-5 (Pivot)'!$AH$2:$AH$26,'D-4b-Consolidated (Pivot)'!AI46))</f>
        <v>.</v>
      </c>
      <c r="AO46" t="str">
        <f>IF(OR(AJ46=0, AJ46="."),".",COUNTIF('D-5 (Pivot)'!$AH$2:$AH$26,'D-4b-Consolidated (Pivot)'!AJ46))</f>
        <v>.</v>
      </c>
    </row>
    <row r="47" spans="1:41" x14ac:dyDescent="0.25">
      <c r="A47">
        <f t="shared" si="17"/>
        <v>0</v>
      </c>
      <c r="B47">
        <f t="shared" si="18"/>
        <v>0</v>
      </c>
      <c r="C47">
        <f t="shared" si="19"/>
        <v>0</v>
      </c>
      <c r="D47">
        <f t="shared" si="20"/>
        <v>0</v>
      </c>
      <c r="E47">
        <f t="shared" si="21"/>
        <v>0</v>
      </c>
      <c r="F47">
        <f>'D-RepLevel'!$F$2</f>
        <v>0</v>
      </c>
      <c r="G47">
        <f>'D-RepLevel'!$G$2</f>
        <v>0</v>
      </c>
      <c r="H47">
        <f t="shared" si="22"/>
        <v>0</v>
      </c>
      <c r="I47" t="str">
        <f>IF(ISERROR(INDEX('1b'!$C$5:$C$21, MATCH("Primary Business Line", '1b'!$H$5:$H$21, FALSE), 1)), "None Selected", INDEX('1b'!$C$5:$C$21, MATCH("Primary Business Line", '1b'!$H$5:$H$21, FALSE), 1))</f>
        <v>None Selected</v>
      </c>
      <c r="J47">
        <f>'D-3'!$J$2</f>
        <v>0</v>
      </c>
      <c r="K47">
        <f>COUNTIF('4a'!$E$6:$E$29, "Direct")+COUNTIF('4a'!$E$6:$E$29, "Indirect")+COUNTIF('4a'!$E$6:$E$29, "Both")</f>
        <v>0</v>
      </c>
      <c r="L47">
        <f t="shared" si="23"/>
        <v>0</v>
      </c>
      <c r="M47">
        <f t="shared" si="24"/>
        <v>0</v>
      </c>
      <c r="N47">
        <f t="shared" si="25"/>
        <v>0</v>
      </c>
      <c r="O47">
        <f t="shared" si="26"/>
        <v>2015</v>
      </c>
      <c r="P47">
        <f t="shared" si="27"/>
        <v>0</v>
      </c>
      <c r="Q47">
        <f t="shared" si="28"/>
        <v>0</v>
      </c>
      <c r="R47">
        <f t="shared" si="29"/>
        <v>0</v>
      </c>
      <c r="S47">
        <f t="shared" si="30"/>
        <v>0</v>
      </c>
      <c r="T47">
        <f>COUNTIF('9a'!$K$22:$K$32, "Yes")+COUNTIF('9a'!$O$22:$O$32, "Yes")</f>
        <v>0</v>
      </c>
      <c r="U47" t="str">
        <f t="shared" si="31"/>
        <v>No Expenditures</v>
      </c>
      <c r="V47" t="str">
        <f t="shared" si="32"/>
        <v>No Expenditures</v>
      </c>
      <c r="W47">
        <f t="shared" si="33"/>
        <v>0</v>
      </c>
      <c r="X47" t="str">
        <f>'D-Risk'!$AO$25</f>
        <v>Insufficient Data</v>
      </c>
      <c r="Y47" t="str">
        <f>'D-Risk'!$AO$26</f>
        <v>Insufficient Data</v>
      </c>
      <c r="Z47" t="str">
        <f>'D-Risk'!$AO$27</f>
        <v>Uncalculated</v>
      </c>
      <c r="AA47">
        <v>46</v>
      </c>
      <c r="AB47" t="str">
        <f>IF(ISERROR(Lists!AK47), ".", Lists!AK47)</f>
        <v>.</v>
      </c>
      <c r="AC47" t="str">
        <f>IF(AB47&lt;&gt;".",INDEX('4b'!$B$11:$B$241,MATCH('D-4b-Consolidated (Pivot)'!$AB47,'4b'!$D$11:$D$241,FALSE),1), ".")</f>
        <v>.</v>
      </c>
      <c r="AD47" t="str">
        <f>IF(AC47&lt;&gt;".",INDEX('4b'!$C$11:$C$241,MATCH('D-4b-Consolidated (Pivot)'!$AB47,'4b'!$D$11:$D$241,FALSE),1), ".")</f>
        <v>.</v>
      </c>
      <c r="AE47" t="str">
        <f>IF(AD47&lt;&gt;".",INDEX('4b'!E$11:E$241,MATCH('D-4b-Consolidated (Pivot)'!$AB47,'4b'!$D$11:$D$241,FALSE),1), ".")</f>
        <v>.</v>
      </c>
      <c r="AF47" t="str">
        <f>IF(AE47&lt;&gt;".",INDEX('4b'!F$11:F$241,MATCH('D-4b-Consolidated (Pivot)'!$AB47,'4b'!$D$11:$D$241,FALSE),1), ".")</f>
        <v>.</v>
      </c>
      <c r="AG47" t="str">
        <f>IF(AF47&lt;&gt;".",INDEX('4b'!G$11:G$241,MATCH('D-4b-Consolidated (Pivot)'!$AB47,'4b'!$D$11:$D$241,FALSE),1), ".")</f>
        <v>.</v>
      </c>
      <c r="AH47" t="str">
        <f>IF(AG47&lt;&gt;".",INDEX('4b'!H$11:H$241,MATCH('D-4b-Consolidated (Pivot)'!$AB47,'4b'!$D$11:$D$241,FALSE),1), ".")</f>
        <v>.</v>
      </c>
      <c r="AI47" t="str">
        <f>IF(AH47&lt;&gt;".",INDEX('4b'!I$11:I$241,MATCH('D-4b-Consolidated (Pivot)'!$AB47,'4b'!$D$11:$D$241,FALSE),1), ".")</f>
        <v>.</v>
      </c>
      <c r="AJ47" t="str">
        <f>IF(AI47&lt;&gt;".",INDEX('4b'!J$11:J$241,MATCH('D-4b-Consolidated (Pivot)'!$AB47,'4b'!$D$11:$D$241,FALSE),1), ".")</f>
        <v>.</v>
      </c>
      <c r="AK47" t="str">
        <f>IF(OR(AF47=0, AF47="."),".",COUNTIF('D-5 (Pivot)'!$AH$2:$AH$26,'D-4b-Consolidated (Pivot)'!AF47))</f>
        <v>.</v>
      </c>
      <c r="AL47" t="str">
        <f>IF(OR(AG47=0, AG47="."),".",COUNTIF('D-5 (Pivot)'!$AH$2:$AH$26,'D-4b-Consolidated (Pivot)'!AG47))</f>
        <v>.</v>
      </c>
      <c r="AM47" t="str">
        <f>IF(OR(AH47=0, AH47="."),".",COUNTIF('D-5 (Pivot)'!$AH$2:$AH$26,'D-4b-Consolidated (Pivot)'!AH47))</f>
        <v>.</v>
      </c>
      <c r="AN47" t="str">
        <f>IF(OR(AI47=0, AI47="."),".",COUNTIF('D-5 (Pivot)'!$AH$2:$AH$26,'D-4b-Consolidated (Pivot)'!AI47))</f>
        <v>.</v>
      </c>
      <c r="AO47" t="str">
        <f>IF(OR(AJ47=0, AJ47="."),".",COUNTIF('D-5 (Pivot)'!$AH$2:$AH$26,'D-4b-Consolidated (Pivot)'!AJ47))</f>
        <v>.</v>
      </c>
    </row>
    <row r="48" spans="1:41" x14ac:dyDescent="0.25">
      <c r="A48">
        <f t="shared" si="17"/>
        <v>0</v>
      </c>
      <c r="B48">
        <f t="shared" si="18"/>
        <v>0</v>
      </c>
      <c r="C48">
        <f t="shared" si="19"/>
        <v>0</v>
      </c>
      <c r="D48">
        <f t="shared" si="20"/>
        <v>0</v>
      </c>
      <c r="E48">
        <f t="shared" si="21"/>
        <v>0</v>
      </c>
      <c r="F48">
        <f>'D-RepLevel'!$F$2</f>
        <v>0</v>
      </c>
      <c r="G48">
        <f>'D-RepLevel'!$G$2</f>
        <v>0</v>
      </c>
      <c r="H48">
        <f t="shared" si="22"/>
        <v>0</v>
      </c>
      <c r="I48" t="str">
        <f>IF(ISERROR(INDEX('1b'!$C$5:$C$21, MATCH("Primary Business Line", '1b'!$H$5:$H$21, FALSE), 1)), "None Selected", INDEX('1b'!$C$5:$C$21, MATCH("Primary Business Line", '1b'!$H$5:$H$21, FALSE), 1))</f>
        <v>None Selected</v>
      </c>
      <c r="J48">
        <f>'D-3'!$J$2</f>
        <v>0</v>
      </c>
      <c r="K48">
        <f>COUNTIF('4a'!$E$6:$E$29, "Direct")+COUNTIF('4a'!$E$6:$E$29, "Indirect")+COUNTIF('4a'!$E$6:$E$29, "Both")</f>
        <v>0</v>
      </c>
      <c r="L48">
        <f t="shared" si="23"/>
        <v>0</v>
      </c>
      <c r="M48">
        <f t="shared" si="24"/>
        <v>0</v>
      </c>
      <c r="N48">
        <f t="shared" si="25"/>
        <v>0</v>
      </c>
      <c r="O48">
        <f t="shared" si="26"/>
        <v>2015</v>
      </c>
      <c r="P48">
        <f t="shared" si="27"/>
        <v>0</v>
      </c>
      <c r="Q48">
        <f t="shared" si="28"/>
        <v>0</v>
      </c>
      <c r="R48">
        <f t="shared" si="29"/>
        <v>0</v>
      </c>
      <c r="S48">
        <f t="shared" si="30"/>
        <v>0</v>
      </c>
      <c r="T48">
        <f>COUNTIF('9a'!$K$22:$K$32, "Yes")+COUNTIF('9a'!$O$22:$O$32, "Yes")</f>
        <v>0</v>
      </c>
      <c r="U48" t="str">
        <f t="shared" si="31"/>
        <v>No Expenditures</v>
      </c>
      <c r="V48" t="str">
        <f t="shared" si="32"/>
        <v>No Expenditures</v>
      </c>
      <c r="W48">
        <f t="shared" si="33"/>
        <v>0</v>
      </c>
      <c r="X48" t="str">
        <f>'D-Risk'!$AO$25</f>
        <v>Insufficient Data</v>
      </c>
      <c r="Y48" t="str">
        <f>'D-Risk'!$AO$26</f>
        <v>Insufficient Data</v>
      </c>
      <c r="Z48" t="str">
        <f>'D-Risk'!$AO$27</f>
        <v>Uncalculated</v>
      </c>
      <c r="AA48">
        <v>47</v>
      </c>
      <c r="AB48" t="str">
        <f>IF(ISERROR(Lists!AK48), ".", Lists!AK48)</f>
        <v>.</v>
      </c>
      <c r="AC48" t="str">
        <f>IF(AB48&lt;&gt;".",INDEX('4b'!$B$11:$B$241,MATCH('D-4b-Consolidated (Pivot)'!$AB48,'4b'!$D$11:$D$241,FALSE),1), ".")</f>
        <v>.</v>
      </c>
      <c r="AD48" t="str">
        <f>IF(AC48&lt;&gt;".",INDEX('4b'!$C$11:$C$241,MATCH('D-4b-Consolidated (Pivot)'!$AB48,'4b'!$D$11:$D$241,FALSE),1), ".")</f>
        <v>.</v>
      </c>
      <c r="AE48" t="str">
        <f>IF(AD48&lt;&gt;".",INDEX('4b'!E$11:E$241,MATCH('D-4b-Consolidated (Pivot)'!$AB48,'4b'!$D$11:$D$241,FALSE),1), ".")</f>
        <v>.</v>
      </c>
      <c r="AF48" t="str">
        <f>IF(AE48&lt;&gt;".",INDEX('4b'!F$11:F$241,MATCH('D-4b-Consolidated (Pivot)'!$AB48,'4b'!$D$11:$D$241,FALSE),1), ".")</f>
        <v>.</v>
      </c>
      <c r="AG48" t="str">
        <f>IF(AF48&lt;&gt;".",INDEX('4b'!G$11:G$241,MATCH('D-4b-Consolidated (Pivot)'!$AB48,'4b'!$D$11:$D$241,FALSE),1), ".")</f>
        <v>.</v>
      </c>
      <c r="AH48" t="str">
        <f>IF(AG48&lt;&gt;".",INDEX('4b'!H$11:H$241,MATCH('D-4b-Consolidated (Pivot)'!$AB48,'4b'!$D$11:$D$241,FALSE),1), ".")</f>
        <v>.</v>
      </c>
      <c r="AI48" t="str">
        <f>IF(AH48&lt;&gt;".",INDEX('4b'!I$11:I$241,MATCH('D-4b-Consolidated (Pivot)'!$AB48,'4b'!$D$11:$D$241,FALSE),1), ".")</f>
        <v>.</v>
      </c>
      <c r="AJ48" t="str">
        <f>IF(AI48&lt;&gt;".",INDEX('4b'!J$11:J$241,MATCH('D-4b-Consolidated (Pivot)'!$AB48,'4b'!$D$11:$D$241,FALSE),1), ".")</f>
        <v>.</v>
      </c>
      <c r="AK48" t="str">
        <f>IF(OR(AF48=0, AF48="."),".",COUNTIF('D-5 (Pivot)'!$AH$2:$AH$26,'D-4b-Consolidated (Pivot)'!AF48))</f>
        <v>.</v>
      </c>
      <c r="AL48" t="str">
        <f>IF(OR(AG48=0, AG48="."),".",COUNTIF('D-5 (Pivot)'!$AH$2:$AH$26,'D-4b-Consolidated (Pivot)'!AG48))</f>
        <v>.</v>
      </c>
      <c r="AM48" t="str">
        <f>IF(OR(AH48=0, AH48="."),".",COUNTIF('D-5 (Pivot)'!$AH$2:$AH$26,'D-4b-Consolidated (Pivot)'!AH48))</f>
        <v>.</v>
      </c>
      <c r="AN48" t="str">
        <f>IF(OR(AI48=0, AI48="."),".",COUNTIF('D-5 (Pivot)'!$AH$2:$AH$26,'D-4b-Consolidated (Pivot)'!AI48))</f>
        <v>.</v>
      </c>
      <c r="AO48" t="str">
        <f>IF(OR(AJ48=0, AJ48="."),".",COUNTIF('D-5 (Pivot)'!$AH$2:$AH$26,'D-4b-Consolidated (Pivot)'!AJ48))</f>
        <v>.</v>
      </c>
    </row>
    <row r="49" spans="1:41" x14ac:dyDescent="0.25">
      <c r="A49">
        <f t="shared" si="17"/>
        <v>0</v>
      </c>
      <c r="B49">
        <f t="shared" si="18"/>
        <v>0</v>
      </c>
      <c r="C49">
        <f t="shared" si="19"/>
        <v>0</v>
      </c>
      <c r="D49">
        <f t="shared" si="20"/>
        <v>0</v>
      </c>
      <c r="E49">
        <f t="shared" si="21"/>
        <v>0</v>
      </c>
      <c r="F49">
        <f>'D-RepLevel'!$F$2</f>
        <v>0</v>
      </c>
      <c r="G49">
        <f>'D-RepLevel'!$G$2</f>
        <v>0</v>
      </c>
      <c r="H49">
        <f t="shared" si="22"/>
        <v>0</v>
      </c>
      <c r="I49" t="str">
        <f>IF(ISERROR(INDEX('1b'!$C$5:$C$21, MATCH("Primary Business Line", '1b'!$H$5:$H$21, FALSE), 1)), "None Selected", INDEX('1b'!$C$5:$C$21, MATCH("Primary Business Line", '1b'!$H$5:$H$21, FALSE), 1))</f>
        <v>None Selected</v>
      </c>
      <c r="J49">
        <f>'D-3'!$J$2</f>
        <v>0</v>
      </c>
      <c r="K49">
        <f>COUNTIF('4a'!$E$6:$E$29, "Direct")+COUNTIF('4a'!$E$6:$E$29, "Indirect")+COUNTIF('4a'!$E$6:$E$29, "Both")</f>
        <v>0</v>
      </c>
      <c r="L49">
        <f t="shared" si="23"/>
        <v>0</v>
      </c>
      <c r="M49">
        <f t="shared" si="24"/>
        <v>0</v>
      </c>
      <c r="N49">
        <f t="shared" si="25"/>
        <v>0</v>
      </c>
      <c r="O49">
        <f t="shared" si="26"/>
        <v>2015</v>
      </c>
      <c r="P49">
        <f t="shared" si="27"/>
        <v>0</v>
      </c>
      <c r="Q49">
        <f t="shared" si="28"/>
        <v>0</v>
      </c>
      <c r="R49">
        <f t="shared" si="29"/>
        <v>0</v>
      </c>
      <c r="S49">
        <f t="shared" si="30"/>
        <v>0</v>
      </c>
      <c r="T49">
        <f>COUNTIF('9a'!$K$22:$K$32, "Yes")+COUNTIF('9a'!$O$22:$O$32, "Yes")</f>
        <v>0</v>
      </c>
      <c r="U49" t="str">
        <f t="shared" si="31"/>
        <v>No Expenditures</v>
      </c>
      <c r="V49" t="str">
        <f t="shared" si="32"/>
        <v>No Expenditures</v>
      </c>
      <c r="W49">
        <f t="shared" si="33"/>
        <v>0</v>
      </c>
      <c r="X49" t="str">
        <f>'D-Risk'!$AO$25</f>
        <v>Insufficient Data</v>
      </c>
      <c r="Y49" t="str">
        <f>'D-Risk'!$AO$26</f>
        <v>Insufficient Data</v>
      </c>
      <c r="Z49" t="str">
        <f>'D-Risk'!$AO$27</f>
        <v>Uncalculated</v>
      </c>
      <c r="AA49">
        <v>48</v>
      </c>
      <c r="AB49" t="str">
        <f>IF(ISERROR(Lists!AK49), ".", Lists!AK49)</f>
        <v>.</v>
      </c>
      <c r="AC49" t="str">
        <f>IF(AB49&lt;&gt;".",INDEX('4b'!$B$11:$B$241,MATCH('D-4b-Consolidated (Pivot)'!$AB49,'4b'!$D$11:$D$241,FALSE),1), ".")</f>
        <v>.</v>
      </c>
      <c r="AD49" t="str">
        <f>IF(AC49&lt;&gt;".",INDEX('4b'!$C$11:$C$241,MATCH('D-4b-Consolidated (Pivot)'!$AB49,'4b'!$D$11:$D$241,FALSE),1), ".")</f>
        <v>.</v>
      </c>
      <c r="AE49" t="str">
        <f>IF(AD49&lt;&gt;".",INDEX('4b'!E$11:E$241,MATCH('D-4b-Consolidated (Pivot)'!$AB49,'4b'!$D$11:$D$241,FALSE),1), ".")</f>
        <v>.</v>
      </c>
      <c r="AF49" t="str">
        <f>IF(AE49&lt;&gt;".",INDEX('4b'!F$11:F$241,MATCH('D-4b-Consolidated (Pivot)'!$AB49,'4b'!$D$11:$D$241,FALSE),1), ".")</f>
        <v>.</v>
      </c>
      <c r="AG49" t="str">
        <f>IF(AF49&lt;&gt;".",INDEX('4b'!G$11:G$241,MATCH('D-4b-Consolidated (Pivot)'!$AB49,'4b'!$D$11:$D$241,FALSE),1), ".")</f>
        <v>.</v>
      </c>
      <c r="AH49" t="str">
        <f>IF(AG49&lt;&gt;".",INDEX('4b'!H$11:H$241,MATCH('D-4b-Consolidated (Pivot)'!$AB49,'4b'!$D$11:$D$241,FALSE),1), ".")</f>
        <v>.</v>
      </c>
      <c r="AI49" t="str">
        <f>IF(AH49&lt;&gt;".",INDEX('4b'!I$11:I$241,MATCH('D-4b-Consolidated (Pivot)'!$AB49,'4b'!$D$11:$D$241,FALSE),1), ".")</f>
        <v>.</v>
      </c>
      <c r="AJ49" t="str">
        <f>IF(AI49&lt;&gt;".",INDEX('4b'!J$11:J$241,MATCH('D-4b-Consolidated (Pivot)'!$AB49,'4b'!$D$11:$D$241,FALSE),1), ".")</f>
        <v>.</v>
      </c>
      <c r="AK49" t="str">
        <f>IF(OR(AF49=0, AF49="."),".",COUNTIF('D-5 (Pivot)'!$AH$2:$AH$26,'D-4b-Consolidated (Pivot)'!AF49))</f>
        <v>.</v>
      </c>
      <c r="AL49" t="str">
        <f>IF(OR(AG49=0, AG49="."),".",COUNTIF('D-5 (Pivot)'!$AH$2:$AH$26,'D-4b-Consolidated (Pivot)'!AG49))</f>
        <v>.</v>
      </c>
      <c r="AM49" t="str">
        <f>IF(OR(AH49=0, AH49="."),".",COUNTIF('D-5 (Pivot)'!$AH$2:$AH$26,'D-4b-Consolidated (Pivot)'!AH49))</f>
        <v>.</v>
      </c>
      <c r="AN49" t="str">
        <f>IF(OR(AI49=0, AI49="."),".",COUNTIF('D-5 (Pivot)'!$AH$2:$AH$26,'D-4b-Consolidated (Pivot)'!AI49))</f>
        <v>.</v>
      </c>
      <c r="AO49" t="str">
        <f>IF(OR(AJ49=0, AJ49="."),".",COUNTIF('D-5 (Pivot)'!$AH$2:$AH$26,'D-4b-Consolidated (Pivot)'!AJ49))</f>
        <v>.</v>
      </c>
    </row>
    <row r="50" spans="1:41" x14ac:dyDescent="0.25">
      <c r="A50">
        <f t="shared" si="17"/>
        <v>0</v>
      </c>
      <c r="B50">
        <f t="shared" si="18"/>
        <v>0</v>
      </c>
      <c r="C50">
        <f t="shared" si="19"/>
        <v>0</v>
      </c>
      <c r="D50">
        <f t="shared" si="20"/>
        <v>0</v>
      </c>
      <c r="E50">
        <f t="shared" si="21"/>
        <v>0</v>
      </c>
      <c r="F50">
        <f>'D-RepLevel'!$F$2</f>
        <v>0</v>
      </c>
      <c r="G50">
        <f>'D-RepLevel'!$G$2</f>
        <v>0</v>
      </c>
      <c r="H50">
        <f t="shared" si="22"/>
        <v>0</v>
      </c>
      <c r="I50" t="str">
        <f>IF(ISERROR(INDEX('1b'!$C$5:$C$21, MATCH("Primary Business Line", '1b'!$H$5:$H$21, FALSE), 1)), "None Selected", INDEX('1b'!$C$5:$C$21, MATCH("Primary Business Line", '1b'!$H$5:$H$21, FALSE), 1))</f>
        <v>None Selected</v>
      </c>
      <c r="J50">
        <f>'D-3'!$J$2</f>
        <v>0</v>
      </c>
      <c r="K50">
        <f>COUNTIF('4a'!$E$6:$E$29, "Direct")+COUNTIF('4a'!$E$6:$E$29, "Indirect")+COUNTIF('4a'!$E$6:$E$29, "Both")</f>
        <v>0</v>
      </c>
      <c r="L50">
        <f t="shared" si="23"/>
        <v>0</v>
      </c>
      <c r="M50">
        <f t="shared" si="24"/>
        <v>0</v>
      </c>
      <c r="N50">
        <f t="shared" si="25"/>
        <v>0</v>
      </c>
      <c r="O50">
        <f t="shared" si="26"/>
        <v>2015</v>
      </c>
      <c r="P50">
        <f t="shared" si="27"/>
        <v>0</v>
      </c>
      <c r="Q50">
        <f t="shared" si="28"/>
        <v>0</v>
      </c>
      <c r="R50">
        <f t="shared" si="29"/>
        <v>0</v>
      </c>
      <c r="S50">
        <f t="shared" si="30"/>
        <v>0</v>
      </c>
      <c r="T50">
        <f>COUNTIF('9a'!$K$22:$K$32, "Yes")+COUNTIF('9a'!$O$22:$O$32, "Yes")</f>
        <v>0</v>
      </c>
      <c r="U50" t="str">
        <f t="shared" si="31"/>
        <v>No Expenditures</v>
      </c>
      <c r="V50" t="str">
        <f t="shared" si="32"/>
        <v>No Expenditures</v>
      </c>
      <c r="W50">
        <f t="shared" si="33"/>
        <v>0</v>
      </c>
      <c r="X50" t="str">
        <f>'D-Risk'!$AO$25</f>
        <v>Insufficient Data</v>
      </c>
      <c r="Y50" t="str">
        <f>'D-Risk'!$AO$26</f>
        <v>Insufficient Data</v>
      </c>
      <c r="Z50" t="str">
        <f>'D-Risk'!$AO$27</f>
        <v>Uncalculated</v>
      </c>
      <c r="AA50">
        <v>49</v>
      </c>
      <c r="AB50" t="str">
        <f>IF(ISERROR(Lists!AK50), ".", Lists!AK50)</f>
        <v>.</v>
      </c>
      <c r="AC50" t="str">
        <f>IF(AB50&lt;&gt;".",INDEX('4b'!$B$11:$B$241,MATCH('D-4b-Consolidated (Pivot)'!$AB50,'4b'!$D$11:$D$241,FALSE),1), ".")</f>
        <v>.</v>
      </c>
      <c r="AD50" t="str">
        <f>IF(AC50&lt;&gt;".",INDEX('4b'!$C$11:$C$241,MATCH('D-4b-Consolidated (Pivot)'!$AB50,'4b'!$D$11:$D$241,FALSE),1), ".")</f>
        <v>.</v>
      </c>
      <c r="AE50" t="str">
        <f>IF(AD50&lt;&gt;".",INDEX('4b'!E$11:E$241,MATCH('D-4b-Consolidated (Pivot)'!$AB50,'4b'!$D$11:$D$241,FALSE),1), ".")</f>
        <v>.</v>
      </c>
      <c r="AF50" t="str">
        <f>IF(AE50&lt;&gt;".",INDEX('4b'!F$11:F$241,MATCH('D-4b-Consolidated (Pivot)'!$AB50,'4b'!$D$11:$D$241,FALSE),1), ".")</f>
        <v>.</v>
      </c>
      <c r="AG50" t="str">
        <f>IF(AF50&lt;&gt;".",INDEX('4b'!G$11:G$241,MATCH('D-4b-Consolidated (Pivot)'!$AB50,'4b'!$D$11:$D$241,FALSE),1), ".")</f>
        <v>.</v>
      </c>
      <c r="AH50" t="str">
        <f>IF(AG50&lt;&gt;".",INDEX('4b'!H$11:H$241,MATCH('D-4b-Consolidated (Pivot)'!$AB50,'4b'!$D$11:$D$241,FALSE),1), ".")</f>
        <v>.</v>
      </c>
      <c r="AI50" t="str">
        <f>IF(AH50&lt;&gt;".",INDEX('4b'!I$11:I$241,MATCH('D-4b-Consolidated (Pivot)'!$AB50,'4b'!$D$11:$D$241,FALSE),1), ".")</f>
        <v>.</v>
      </c>
      <c r="AJ50" t="str">
        <f>IF(AI50&lt;&gt;".",INDEX('4b'!J$11:J$241,MATCH('D-4b-Consolidated (Pivot)'!$AB50,'4b'!$D$11:$D$241,FALSE),1), ".")</f>
        <v>.</v>
      </c>
      <c r="AK50" t="str">
        <f>IF(OR(AF50=0, AF50="."),".",COUNTIF('D-5 (Pivot)'!$AH$2:$AH$26,'D-4b-Consolidated (Pivot)'!AF50))</f>
        <v>.</v>
      </c>
      <c r="AL50" t="str">
        <f>IF(OR(AG50=0, AG50="."),".",COUNTIF('D-5 (Pivot)'!$AH$2:$AH$26,'D-4b-Consolidated (Pivot)'!AG50))</f>
        <v>.</v>
      </c>
      <c r="AM50" t="str">
        <f>IF(OR(AH50=0, AH50="."),".",COUNTIF('D-5 (Pivot)'!$AH$2:$AH$26,'D-4b-Consolidated (Pivot)'!AH50))</f>
        <v>.</v>
      </c>
      <c r="AN50" t="str">
        <f>IF(OR(AI50=0, AI50="."),".",COUNTIF('D-5 (Pivot)'!$AH$2:$AH$26,'D-4b-Consolidated (Pivot)'!AI50))</f>
        <v>.</v>
      </c>
      <c r="AO50" t="str">
        <f>IF(OR(AJ50=0, AJ50="."),".",COUNTIF('D-5 (Pivot)'!$AH$2:$AH$26,'D-4b-Consolidated (Pivot)'!AJ50))</f>
        <v>.</v>
      </c>
    </row>
    <row r="51" spans="1:41" x14ac:dyDescent="0.25">
      <c r="A51">
        <f t="shared" si="17"/>
        <v>0</v>
      </c>
      <c r="B51">
        <f t="shared" si="18"/>
        <v>0</v>
      </c>
      <c r="C51">
        <f t="shared" si="19"/>
        <v>0</v>
      </c>
      <c r="D51">
        <f t="shared" si="20"/>
        <v>0</v>
      </c>
      <c r="E51">
        <f t="shared" si="21"/>
        <v>0</v>
      </c>
      <c r="F51">
        <f>'D-RepLevel'!$F$2</f>
        <v>0</v>
      </c>
      <c r="G51">
        <f>'D-RepLevel'!$G$2</f>
        <v>0</v>
      </c>
      <c r="H51">
        <f t="shared" si="22"/>
        <v>0</v>
      </c>
      <c r="I51" t="str">
        <f>IF(ISERROR(INDEX('1b'!$C$5:$C$21, MATCH("Primary Business Line", '1b'!$H$5:$H$21, FALSE), 1)), "None Selected", INDEX('1b'!$C$5:$C$21, MATCH("Primary Business Line", '1b'!$H$5:$H$21, FALSE), 1))</f>
        <v>None Selected</v>
      </c>
      <c r="J51">
        <f>'D-3'!$J$2</f>
        <v>0</v>
      </c>
      <c r="K51">
        <f>COUNTIF('4a'!$E$6:$E$29, "Direct")+COUNTIF('4a'!$E$6:$E$29, "Indirect")+COUNTIF('4a'!$E$6:$E$29, "Both")</f>
        <v>0</v>
      </c>
      <c r="L51">
        <f t="shared" si="23"/>
        <v>0</v>
      </c>
      <c r="M51">
        <f t="shared" si="24"/>
        <v>0</v>
      </c>
      <c r="N51">
        <f t="shared" si="25"/>
        <v>0</v>
      </c>
      <c r="O51">
        <f t="shared" si="26"/>
        <v>2015</v>
      </c>
      <c r="P51">
        <f t="shared" si="27"/>
        <v>0</v>
      </c>
      <c r="Q51">
        <f t="shared" si="28"/>
        <v>0</v>
      </c>
      <c r="R51">
        <f t="shared" si="29"/>
        <v>0</v>
      </c>
      <c r="S51">
        <f t="shared" si="30"/>
        <v>0</v>
      </c>
      <c r="T51">
        <f>COUNTIF('9a'!$K$22:$K$32, "Yes")+COUNTIF('9a'!$O$22:$O$32, "Yes")</f>
        <v>0</v>
      </c>
      <c r="U51" t="str">
        <f t="shared" si="31"/>
        <v>No Expenditures</v>
      </c>
      <c r="V51" t="str">
        <f t="shared" si="32"/>
        <v>No Expenditures</v>
      </c>
      <c r="W51">
        <f t="shared" si="33"/>
        <v>0</v>
      </c>
      <c r="X51" t="str">
        <f>'D-Risk'!$AO$25</f>
        <v>Insufficient Data</v>
      </c>
      <c r="Y51" t="str">
        <f>'D-Risk'!$AO$26</f>
        <v>Insufficient Data</v>
      </c>
      <c r="Z51" t="str">
        <f>'D-Risk'!$AO$27</f>
        <v>Uncalculated</v>
      </c>
      <c r="AA51">
        <v>50</v>
      </c>
      <c r="AB51" t="str">
        <f>IF(ISERROR(Lists!AK51), ".", Lists!AK51)</f>
        <v>.</v>
      </c>
      <c r="AC51" t="str">
        <f>IF(AB51&lt;&gt;".",INDEX('4b'!$B$11:$B$241,MATCH('D-4b-Consolidated (Pivot)'!$AB51,'4b'!$D$11:$D$241,FALSE),1), ".")</f>
        <v>.</v>
      </c>
      <c r="AD51" t="str">
        <f>IF(AC51&lt;&gt;".",INDEX('4b'!$C$11:$C$241,MATCH('D-4b-Consolidated (Pivot)'!$AB51,'4b'!$D$11:$D$241,FALSE),1), ".")</f>
        <v>.</v>
      </c>
      <c r="AE51" t="str">
        <f>IF(AD51&lt;&gt;".",INDEX('4b'!E$11:E$241,MATCH('D-4b-Consolidated (Pivot)'!$AB51,'4b'!$D$11:$D$241,FALSE),1), ".")</f>
        <v>.</v>
      </c>
      <c r="AF51" t="str">
        <f>IF(AE51&lt;&gt;".",INDEX('4b'!F$11:F$241,MATCH('D-4b-Consolidated (Pivot)'!$AB51,'4b'!$D$11:$D$241,FALSE),1), ".")</f>
        <v>.</v>
      </c>
      <c r="AG51" t="str">
        <f>IF(AF51&lt;&gt;".",INDEX('4b'!G$11:G$241,MATCH('D-4b-Consolidated (Pivot)'!$AB51,'4b'!$D$11:$D$241,FALSE),1), ".")</f>
        <v>.</v>
      </c>
      <c r="AH51" t="str">
        <f>IF(AG51&lt;&gt;".",INDEX('4b'!H$11:H$241,MATCH('D-4b-Consolidated (Pivot)'!$AB51,'4b'!$D$11:$D$241,FALSE),1), ".")</f>
        <v>.</v>
      </c>
      <c r="AI51" t="str">
        <f>IF(AH51&lt;&gt;".",INDEX('4b'!I$11:I$241,MATCH('D-4b-Consolidated (Pivot)'!$AB51,'4b'!$D$11:$D$241,FALSE),1), ".")</f>
        <v>.</v>
      </c>
      <c r="AJ51" t="str">
        <f>IF(AI51&lt;&gt;".",INDEX('4b'!J$11:J$241,MATCH('D-4b-Consolidated (Pivot)'!$AB51,'4b'!$D$11:$D$241,FALSE),1), ".")</f>
        <v>.</v>
      </c>
      <c r="AK51" t="str">
        <f>IF(OR(AF51=0, AF51="."),".",COUNTIF('D-5 (Pivot)'!$AH$2:$AH$26,'D-4b-Consolidated (Pivot)'!AF51))</f>
        <v>.</v>
      </c>
      <c r="AL51" t="str">
        <f>IF(OR(AG51=0, AG51="."),".",COUNTIF('D-5 (Pivot)'!$AH$2:$AH$26,'D-4b-Consolidated (Pivot)'!AG51))</f>
        <v>.</v>
      </c>
      <c r="AM51" t="str">
        <f>IF(OR(AH51=0, AH51="."),".",COUNTIF('D-5 (Pivot)'!$AH$2:$AH$26,'D-4b-Consolidated (Pivot)'!AH51))</f>
        <v>.</v>
      </c>
      <c r="AN51" t="str">
        <f>IF(OR(AI51=0, AI51="."),".",COUNTIF('D-5 (Pivot)'!$AH$2:$AH$26,'D-4b-Consolidated (Pivot)'!AI51))</f>
        <v>.</v>
      </c>
      <c r="AO51" t="str">
        <f>IF(OR(AJ51=0, AJ51="."),".",COUNTIF('D-5 (Pivot)'!$AH$2:$AH$26,'D-4b-Consolidated (Pivot)'!AJ51))</f>
        <v>.</v>
      </c>
    </row>
    <row r="52" spans="1:41" x14ac:dyDescent="0.25">
      <c r="A52">
        <f t="shared" si="17"/>
        <v>0</v>
      </c>
      <c r="B52">
        <f t="shared" si="18"/>
        <v>0</v>
      </c>
      <c r="C52">
        <f t="shared" si="19"/>
        <v>0</v>
      </c>
      <c r="D52">
        <f t="shared" si="20"/>
        <v>0</v>
      </c>
      <c r="E52">
        <f t="shared" si="21"/>
        <v>0</v>
      </c>
      <c r="F52">
        <f>'D-RepLevel'!$F$2</f>
        <v>0</v>
      </c>
      <c r="G52">
        <f>'D-RepLevel'!$G$2</f>
        <v>0</v>
      </c>
      <c r="H52">
        <f t="shared" si="22"/>
        <v>0</v>
      </c>
      <c r="I52" t="str">
        <f>IF(ISERROR(INDEX('1b'!$C$5:$C$21, MATCH("Primary Business Line", '1b'!$H$5:$H$21, FALSE), 1)), "None Selected", INDEX('1b'!$C$5:$C$21, MATCH("Primary Business Line", '1b'!$H$5:$H$21, FALSE), 1))</f>
        <v>None Selected</v>
      </c>
      <c r="J52">
        <f>'D-3'!$J$2</f>
        <v>0</v>
      </c>
      <c r="K52">
        <f>COUNTIF('4a'!$E$6:$E$29, "Direct")+COUNTIF('4a'!$E$6:$E$29, "Indirect")+COUNTIF('4a'!$E$6:$E$29, "Both")</f>
        <v>0</v>
      </c>
      <c r="L52">
        <f t="shared" si="23"/>
        <v>0</v>
      </c>
      <c r="M52">
        <f t="shared" si="24"/>
        <v>0</v>
      </c>
      <c r="N52">
        <f t="shared" si="25"/>
        <v>0</v>
      </c>
      <c r="O52">
        <f t="shared" si="26"/>
        <v>2015</v>
      </c>
      <c r="P52">
        <f t="shared" si="27"/>
        <v>0</v>
      </c>
      <c r="Q52">
        <f t="shared" si="28"/>
        <v>0</v>
      </c>
      <c r="R52">
        <f t="shared" si="29"/>
        <v>0</v>
      </c>
      <c r="S52">
        <f t="shared" si="30"/>
        <v>0</v>
      </c>
      <c r="T52">
        <f>COUNTIF('9a'!$K$22:$K$32, "Yes")+COUNTIF('9a'!$O$22:$O$32, "Yes")</f>
        <v>0</v>
      </c>
      <c r="U52" t="str">
        <f t="shared" si="31"/>
        <v>No Expenditures</v>
      </c>
      <c r="V52" t="str">
        <f t="shared" si="32"/>
        <v>No Expenditures</v>
      </c>
      <c r="W52">
        <f t="shared" si="33"/>
        <v>0</v>
      </c>
      <c r="X52" t="str">
        <f>'D-Risk'!$AO$25</f>
        <v>Insufficient Data</v>
      </c>
      <c r="Y52" t="str">
        <f>'D-Risk'!$AO$26</f>
        <v>Insufficient Data</v>
      </c>
      <c r="Z52" t="str">
        <f>'D-Risk'!$AO$27</f>
        <v>Uncalculated</v>
      </c>
      <c r="AA52">
        <v>51</v>
      </c>
      <c r="AB52" t="str">
        <f>IF(ISERROR(Lists!AK52), ".", Lists!AK52)</f>
        <v>.</v>
      </c>
      <c r="AC52" t="str">
        <f>IF(AB52&lt;&gt;".",INDEX('4b'!$B$11:$B$241,MATCH('D-4b-Consolidated (Pivot)'!$AB52,'4b'!$D$11:$D$241,FALSE),1), ".")</f>
        <v>.</v>
      </c>
      <c r="AD52" t="str">
        <f>IF(AC52&lt;&gt;".",INDEX('4b'!$C$11:$C$241,MATCH('D-4b-Consolidated (Pivot)'!$AB52,'4b'!$D$11:$D$241,FALSE),1), ".")</f>
        <v>.</v>
      </c>
      <c r="AE52" t="str">
        <f>IF(AD52&lt;&gt;".",INDEX('4b'!E$11:E$241,MATCH('D-4b-Consolidated (Pivot)'!$AB52,'4b'!$D$11:$D$241,FALSE),1), ".")</f>
        <v>.</v>
      </c>
      <c r="AF52" t="str">
        <f>IF(AE52&lt;&gt;".",INDEX('4b'!F$11:F$241,MATCH('D-4b-Consolidated (Pivot)'!$AB52,'4b'!$D$11:$D$241,FALSE),1), ".")</f>
        <v>.</v>
      </c>
      <c r="AG52" t="str">
        <f>IF(AF52&lt;&gt;".",INDEX('4b'!G$11:G$241,MATCH('D-4b-Consolidated (Pivot)'!$AB52,'4b'!$D$11:$D$241,FALSE),1), ".")</f>
        <v>.</v>
      </c>
      <c r="AH52" t="str">
        <f>IF(AG52&lt;&gt;".",INDEX('4b'!H$11:H$241,MATCH('D-4b-Consolidated (Pivot)'!$AB52,'4b'!$D$11:$D$241,FALSE),1), ".")</f>
        <v>.</v>
      </c>
      <c r="AI52" t="str">
        <f>IF(AH52&lt;&gt;".",INDEX('4b'!I$11:I$241,MATCH('D-4b-Consolidated (Pivot)'!$AB52,'4b'!$D$11:$D$241,FALSE),1), ".")</f>
        <v>.</v>
      </c>
      <c r="AJ52" t="str">
        <f>IF(AI52&lt;&gt;".",INDEX('4b'!J$11:J$241,MATCH('D-4b-Consolidated (Pivot)'!$AB52,'4b'!$D$11:$D$241,FALSE),1), ".")</f>
        <v>.</v>
      </c>
      <c r="AK52" t="str">
        <f>IF(OR(AF52=0, AF52="."),".",COUNTIF('D-5 (Pivot)'!$AH$2:$AH$26,'D-4b-Consolidated (Pivot)'!AF52))</f>
        <v>.</v>
      </c>
      <c r="AL52" t="str">
        <f>IF(OR(AG52=0, AG52="."),".",COUNTIF('D-5 (Pivot)'!$AH$2:$AH$26,'D-4b-Consolidated (Pivot)'!AG52))</f>
        <v>.</v>
      </c>
      <c r="AM52" t="str">
        <f>IF(OR(AH52=0, AH52="."),".",COUNTIF('D-5 (Pivot)'!$AH$2:$AH$26,'D-4b-Consolidated (Pivot)'!AH52))</f>
        <v>.</v>
      </c>
      <c r="AN52" t="str">
        <f>IF(OR(AI52=0, AI52="."),".",COUNTIF('D-5 (Pivot)'!$AH$2:$AH$26,'D-4b-Consolidated (Pivot)'!AI52))</f>
        <v>.</v>
      </c>
      <c r="AO52" t="str">
        <f>IF(OR(AJ52=0, AJ52="."),".",COUNTIF('D-5 (Pivot)'!$AH$2:$AH$26,'D-4b-Consolidated (Pivot)'!AJ52))</f>
        <v>.</v>
      </c>
    </row>
    <row r="53" spans="1:41" x14ac:dyDescent="0.25">
      <c r="A53">
        <f t="shared" si="17"/>
        <v>0</v>
      </c>
      <c r="B53">
        <f t="shared" si="18"/>
        <v>0</v>
      </c>
      <c r="C53">
        <f t="shared" si="19"/>
        <v>0</v>
      </c>
      <c r="D53">
        <f t="shared" si="20"/>
        <v>0</v>
      </c>
      <c r="E53">
        <f t="shared" si="21"/>
        <v>0</v>
      </c>
      <c r="F53">
        <f>'D-RepLevel'!$F$2</f>
        <v>0</v>
      </c>
      <c r="G53">
        <f>'D-RepLevel'!$G$2</f>
        <v>0</v>
      </c>
      <c r="H53">
        <f t="shared" si="22"/>
        <v>0</v>
      </c>
      <c r="I53" t="str">
        <f>IF(ISERROR(INDEX('1b'!$C$5:$C$21, MATCH("Primary Business Line", '1b'!$H$5:$H$21, FALSE), 1)), "None Selected", INDEX('1b'!$C$5:$C$21, MATCH("Primary Business Line", '1b'!$H$5:$H$21, FALSE), 1))</f>
        <v>None Selected</v>
      </c>
      <c r="J53">
        <f>'D-3'!$J$2</f>
        <v>0</v>
      </c>
      <c r="K53">
        <f>COUNTIF('4a'!$E$6:$E$29, "Direct")+COUNTIF('4a'!$E$6:$E$29, "Indirect")+COUNTIF('4a'!$E$6:$E$29, "Both")</f>
        <v>0</v>
      </c>
      <c r="L53">
        <f t="shared" si="23"/>
        <v>0</v>
      </c>
      <c r="M53">
        <f t="shared" si="24"/>
        <v>0</v>
      </c>
      <c r="N53">
        <f t="shared" si="25"/>
        <v>0</v>
      </c>
      <c r="O53">
        <f t="shared" si="26"/>
        <v>2015</v>
      </c>
      <c r="P53">
        <f t="shared" si="27"/>
        <v>0</v>
      </c>
      <c r="Q53">
        <f t="shared" si="28"/>
        <v>0</v>
      </c>
      <c r="R53">
        <f t="shared" si="29"/>
        <v>0</v>
      </c>
      <c r="S53">
        <f t="shared" si="30"/>
        <v>0</v>
      </c>
      <c r="T53">
        <f>COUNTIF('9a'!$K$22:$K$32, "Yes")+COUNTIF('9a'!$O$22:$O$32, "Yes")</f>
        <v>0</v>
      </c>
      <c r="U53" t="str">
        <f t="shared" si="31"/>
        <v>No Expenditures</v>
      </c>
      <c r="V53" t="str">
        <f t="shared" si="32"/>
        <v>No Expenditures</v>
      </c>
      <c r="W53">
        <f t="shared" si="33"/>
        <v>0</v>
      </c>
      <c r="X53" t="str">
        <f>'D-Risk'!$AO$25</f>
        <v>Insufficient Data</v>
      </c>
      <c r="Y53" t="str">
        <f>'D-Risk'!$AO$26</f>
        <v>Insufficient Data</v>
      </c>
      <c r="Z53" t="str">
        <f>'D-Risk'!$AO$27</f>
        <v>Uncalculated</v>
      </c>
      <c r="AA53">
        <v>52</v>
      </c>
      <c r="AB53" t="str">
        <f>IF(ISERROR(Lists!AK53), ".", Lists!AK53)</f>
        <v>.</v>
      </c>
      <c r="AC53" t="str">
        <f>IF(AB53&lt;&gt;".",INDEX('4b'!$B$11:$B$241,MATCH('D-4b-Consolidated (Pivot)'!$AB53,'4b'!$D$11:$D$241,FALSE),1), ".")</f>
        <v>.</v>
      </c>
      <c r="AD53" t="str">
        <f>IF(AC53&lt;&gt;".",INDEX('4b'!$C$11:$C$241,MATCH('D-4b-Consolidated (Pivot)'!$AB53,'4b'!$D$11:$D$241,FALSE),1), ".")</f>
        <v>.</v>
      </c>
      <c r="AE53" t="str">
        <f>IF(AD53&lt;&gt;".",INDEX('4b'!E$11:E$241,MATCH('D-4b-Consolidated (Pivot)'!$AB53,'4b'!$D$11:$D$241,FALSE),1), ".")</f>
        <v>.</v>
      </c>
      <c r="AF53" t="str">
        <f>IF(AE53&lt;&gt;".",INDEX('4b'!F$11:F$241,MATCH('D-4b-Consolidated (Pivot)'!$AB53,'4b'!$D$11:$D$241,FALSE),1), ".")</f>
        <v>.</v>
      </c>
      <c r="AG53" t="str">
        <f>IF(AF53&lt;&gt;".",INDEX('4b'!G$11:G$241,MATCH('D-4b-Consolidated (Pivot)'!$AB53,'4b'!$D$11:$D$241,FALSE),1), ".")</f>
        <v>.</v>
      </c>
      <c r="AH53" t="str">
        <f>IF(AG53&lt;&gt;".",INDEX('4b'!H$11:H$241,MATCH('D-4b-Consolidated (Pivot)'!$AB53,'4b'!$D$11:$D$241,FALSE),1), ".")</f>
        <v>.</v>
      </c>
      <c r="AI53" t="str">
        <f>IF(AH53&lt;&gt;".",INDEX('4b'!I$11:I$241,MATCH('D-4b-Consolidated (Pivot)'!$AB53,'4b'!$D$11:$D$241,FALSE),1), ".")</f>
        <v>.</v>
      </c>
      <c r="AJ53" t="str">
        <f>IF(AI53&lt;&gt;".",INDEX('4b'!J$11:J$241,MATCH('D-4b-Consolidated (Pivot)'!$AB53,'4b'!$D$11:$D$241,FALSE),1), ".")</f>
        <v>.</v>
      </c>
      <c r="AK53" t="str">
        <f>IF(OR(AF53=0, AF53="."),".",COUNTIF('D-5 (Pivot)'!$AH$2:$AH$26,'D-4b-Consolidated (Pivot)'!AF53))</f>
        <v>.</v>
      </c>
      <c r="AL53" t="str">
        <f>IF(OR(AG53=0, AG53="."),".",COUNTIF('D-5 (Pivot)'!$AH$2:$AH$26,'D-4b-Consolidated (Pivot)'!AG53))</f>
        <v>.</v>
      </c>
      <c r="AM53" t="str">
        <f>IF(OR(AH53=0, AH53="."),".",COUNTIF('D-5 (Pivot)'!$AH$2:$AH$26,'D-4b-Consolidated (Pivot)'!AH53))</f>
        <v>.</v>
      </c>
      <c r="AN53" t="str">
        <f>IF(OR(AI53=0, AI53="."),".",COUNTIF('D-5 (Pivot)'!$AH$2:$AH$26,'D-4b-Consolidated (Pivot)'!AI53))</f>
        <v>.</v>
      </c>
      <c r="AO53" t="str">
        <f>IF(OR(AJ53=0, AJ53="."),".",COUNTIF('D-5 (Pivot)'!$AH$2:$AH$26,'D-4b-Consolidated (Pivot)'!AJ53))</f>
        <v>.</v>
      </c>
    </row>
    <row r="54" spans="1:41" x14ac:dyDescent="0.25">
      <c r="A54">
        <f t="shared" si="17"/>
        <v>0</v>
      </c>
      <c r="B54">
        <f t="shared" si="18"/>
        <v>0</v>
      </c>
      <c r="C54">
        <f t="shared" si="19"/>
        <v>0</v>
      </c>
      <c r="D54">
        <f t="shared" si="20"/>
        <v>0</v>
      </c>
      <c r="E54">
        <f t="shared" si="21"/>
        <v>0</v>
      </c>
      <c r="F54">
        <f>'D-RepLevel'!$F$2</f>
        <v>0</v>
      </c>
      <c r="G54">
        <f>'D-RepLevel'!$G$2</f>
        <v>0</v>
      </c>
      <c r="H54">
        <f t="shared" si="22"/>
        <v>0</v>
      </c>
      <c r="I54" t="str">
        <f>IF(ISERROR(INDEX('1b'!$C$5:$C$21, MATCH("Primary Business Line", '1b'!$H$5:$H$21, FALSE), 1)), "None Selected", INDEX('1b'!$C$5:$C$21, MATCH("Primary Business Line", '1b'!$H$5:$H$21, FALSE), 1))</f>
        <v>None Selected</v>
      </c>
      <c r="J54">
        <f>'D-3'!$J$2</f>
        <v>0</v>
      </c>
      <c r="K54">
        <f>COUNTIF('4a'!$E$6:$E$29, "Direct")+COUNTIF('4a'!$E$6:$E$29, "Indirect")+COUNTIF('4a'!$E$6:$E$29, "Both")</f>
        <v>0</v>
      </c>
      <c r="L54">
        <f t="shared" si="23"/>
        <v>0</v>
      </c>
      <c r="M54">
        <f t="shared" si="24"/>
        <v>0</v>
      </c>
      <c r="N54">
        <f t="shared" si="25"/>
        <v>0</v>
      </c>
      <c r="O54">
        <f t="shared" si="26"/>
        <v>2015</v>
      </c>
      <c r="P54">
        <f t="shared" si="27"/>
        <v>0</v>
      </c>
      <c r="Q54">
        <f t="shared" si="28"/>
        <v>0</v>
      </c>
      <c r="R54">
        <f t="shared" si="29"/>
        <v>0</v>
      </c>
      <c r="S54">
        <f t="shared" si="30"/>
        <v>0</v>
      </c>
      <c r="T54">
        <f>COUNTIF('9a'!$K$22:$K$32, "Yes")+COUNTIF('9a'!$O$22:$O$32, "Yes")</f>
        <v>0</v>
      </c>
      <c r="U54" t="str">
        <f t="shared" si="31"/>
        <v>No Expenditures</v>
      </c>
      <c r="V54" t="str">
        <f t="shared" si="32"/>
        <v>No Expenditures</v>
      </c>
      <c r="W54">
        <f t="shared" si="33"/>
        <v>0</v>
      </c>
      <c r="X54" t="str">
        <f>'D-Risk'!$AO$25</f>
        <v>Insufficient Data</v>
      </c>
      <c r="Y54" t="str">
        <f>'D-Risk'!$AO$26</f>
        <v>Insufficient Data</v>
      </c>
      <c r="Z54" t="str">
        <f>'D-Risk'!$AO$27</f>
        <v>Uncalculated</v>
      </c>
      <c r="AA54">
        <v>53</v>
      </c>
      <c r="AB54" t="str">
        <f>IF(ISERROR(Lists!AK54), ".", Lists!AK54)</f>
        <v>.</v>
      </c>
      <c r="AC54" t="str">
        <f>IF(AB54&lt;&gt;".",INDEX('4b'!$B$11:$B$241,MATCH('D-4b-Consolidated (Pivot)'!$AB54,'4b'!$D$11:$D$241,FALSE),1), ".")</f>
        <v>.</v>
      </c>
      <c r="AD54" t="str">
        <f>IF(AC54&lt;&gt;".",INDEX('4b'!$C$11:$C$241,MATCH('D-4b-Consolidated (Pivot)'!$AB54,'4b'!$D$11:$D$241,FALSE),1), ".")</f>
        <v>.</v>
      </c>
      <c r="AE54" t="str">
        <f>IF(AD54&lt;&gt;".",INDEX('4b'!E$11:E$241,MATCH('D-4b-Consolidated (Pivot)'!$AB54,'4b'!$D$11:$D$241,FALSE),1), ".")</f>
        <v>.</v>
      </c>
      <c r="AF54" t="str">
        <f>IF(AE54&lt;&gt;".",INDEX('4b'!F$11:F$241,MATCH('D-4b-Consolidated (Pivot)'!$AB54,'4b'!$D$11:$D$241,FALSE),1), ".")</f>
        <v>.</v>
      </c>
      <c r="AG54" t="str">
        <f>IF(AF54&lt;&gt;".",INDEX('4b'!G$11:G$241,MATCH('D-4b-Consolidated (Pivot)'!$AB54,'4b'!$D$11:$D$241,FALSE),1), ".")</f>
        <v>.</v>
      </c>
      <c r="AH54" t="str">
        <f>IF(AG54&lt;&gt;".",INDEX('4b'!H$11:H$241,MATCH('D-4b-Consolidated (Pivot)'!$AB54,'4b'!$D$11:$D$241,FALSE),1), ".")</f>
        <v>.</v>
      </c>
      <c r="AI54" t="str">
        <f>IF(AH54&lt;&gt;".",INDEX('4b'!I$11:I$241,MATCH('D-4b-Consolidated (Pivot)'!$AB54,'4b'!$D$11:$D$241,FALSE),1), ".")</f>
        <v>.</v>
      </c>
      <c r="AJ54" t="str">
        <f>IF(AI54&lt;&gt;".",INDEX('4b'!J$11:J$241,MATCH('D-4b-Consolidated (Pivot)'!$AB54,'4b'!$D$11:$D$241,FALSE),1), ".")</f>
        <v>.</v>
      </c>
      <c r="AK54" t="str">
        <f>IF(OR(AF54=0, AF54="."),".",COUNTIF('D-5 (Pivot)'!$AH$2:$AH$26,'D-4b-Consolidated (Pivot)'!AF54))</f>
        <v>.</v>
      </c>
      <c r="AL54" t="str">
        <f>IF(OR(AG54=0, AG54="."),".",COUNTIF('D-5 (Pivot)'!$AH$2:$AH$26,'D-4b-Consolidated (Pivot)'!AG54))</f>
        <v>.</v>
      </c>
      <c r="AM54" t="str">
        <f>IF(OR(AH54=0, AH54="."),".",COUNTIF('D-5 (Pivot)'!$AH$2:$AH$26,'D-4b-Consolidated (Pivot)'!AH54))</f>
        <v>.</v>
      </c>
      <c r="AN54" t="str">
        <f>IF(OR(AI54=0, AI54="."),".",COUNTIF('D-5 (Pivot)'!$AH$2:$AH$26,'D-4b-Consolidated (Pivot)'!AI54))</f>
        <v>.</v>
      </c>
      <c r="AO54" t="str">
        <f>IF(OR(AJ54=0, AJ54="."),".",COUNTIF('D-5 (Pivot)'!$AH$2:$AH$26,'D-4b-Consolidated (Pivot)'!AJ54))</f>
        <v>.</v>
      </c>
    </row>
    <row r="55" spans="1:41" x14ac:dyDescent="0.25">
      <c r="A55">
        <f t="shared" si="17"/>
        <v>0</v>
      </c>
      <c r="B55">
        <f t="shared" si="18"/>
        <v>0</v>
      </c>
      <c r="C55">
        <f t="shared" si="19"/>
        <v>0</v>
      </c>
      <c r="D55">
        <f t="shared" si="20"/>
        <v>0</v>
      </c>
      <c r="E55">
        <f t="shared" si="21"/>
        <v>0</v>
      </c>
      <c r="F55">
        <f>'D-RepLevel'!$F$2</f>
        <v>0</v>
      </c>
      <c r="G55">
        <f>'D-RepLevel'!$G$2</f>
        <v>0</v>
      </c>
      <c r="H55">
        <f t="shared" si="22"/>
        <v>0</v>
      </c>
      <c r="I55" t="str">
        <f>IF(ISERROR(INDEX('1b'!$C$5:$C$21, MATCH("Primary Business Line", '1b'!$H$5:$H$21, FALSE), 1)), "None Selected", INDEX('1b'!$C$5:$C$21, MATCH("Primary Business Line", '1b'!$H$5:$H$21, FALSE), 1))</f>
        <v>None Selected</v>
      </c>
      <c r="J55">
        <f>'D-3'!$J$2</f>
        <v>0</v>
      </c>
      <c r="K55">
        <f>COUNTIF('4a'!$E$6:$E$29, "Direct")+COUNTIF('4a'!$E$6:$E$29, "Indirect")+COUNTIF('4a'!$E$6:$E$29, "Both")</f>
        <v>0</v>
      </c>
      <c r="L55">
        <f t="shared" si="23"/>
        <v>0</v>
      </c>
      <c r="M55">
        <f t="shared" si="24"/>
        <v>0</v>
      </c>
      <c r="N55">
        <f t="shared" si="25"/>
        <v>0</v>
      </c>
      <c r="O55">
        <f t="shared" si="26"/>
        <v>2015</v>
      </c>
      <c r="P55">
        <f t="shared" si="27"/>
        <v>0</v>
      </c>
      <c r="Q55">
        <f t="shared" si="28"/>
        <v>0</v>
      </c>
      <c r="R55">
        <f t="shared" si="29"/>
        <v>0</v>
      </c>
      <c r="S55">
        <f t="shared" si="30"/>
        <v>0</v>
      </c>
      <c r="T55">
        <f>COUNTIF('9a'!$K$22:$K$32, "Yes")+COUNTIF('9a'!$O$22:$O$32, "Yes")</f>
        <v>0</v>
      </c>
      <c r="U55" t="str">
        <f t="shared" si="31"/>
        <v>No Expenditures</v>
      </c>
      <c r="V55" t="str">
        <f t="shared" si="32"/>
        <v>No Expenditures</v>
      </c>
      <c r="W55">
        <f t="shared" si="33"/>
        <v>0</v>
      </c>
      <c r="X55" t="str">
        <f>'D-Risk'!$AO$25</f>
        <v>Insufficient Data</v>
      </c>
      <c r="Y55" t="str">
        <f>'D-Risk'!$AO$26</f>
        <v>Insufficient Data</v>
      </c>
      <c r="Z55" t="str">
        <f>'D-Risk'!$AO$27</f>
        <v>Uncalculated</v>
      </c>
      <c r="AA55">
        <v>54</v>
      </c>
      <c r="AB55" t="str">
        <f>IF(ISERROR(Lists!AK55), ".", Lists!AK55)</f>
        <v>.</v>
      </c>
      <c r="AC55" t="str">
        <f>IF(AB55&lt;&gt;".",INDEX('4b'!$B$11:$B$241,MATCH('D-4b-Consolidated (Pivot)'!$AB55,'4b'!$D$11:$D$241,FALSE),1), ".")</f>
        <v>.</v>
      </c>
      <c r="AD55" t="str">
        <f>IF(AC55&lt;&gt;".",INDEX('4b'!$C$11:$C$241,MATCH('D-4b-Consolidated (Pivot)'!$AB55,'4b'!$D$11:$D$241,FALSE),1), ".")</f>
        <v>.</v>
      </c>
      <c r="AE55" t="str">
        <f>IF(AD55&lt;&gt;".",INDEX('4b'!E$11:E$241,MATCH('D-4b-Consolidated (Pivot)'!$AB55,'4b'!$D$11:$D$241,FALSE),1), ".")</f>
        <v>.</v>
      </c>
      <c r="AF55" t="str">
        <f>IF(AE55&lt;&gt;".",INDEX('4b'!F$11:F$241,MATCH('D-4b-Consolidated (Pivot)'!$AB55,'4b'!$D$11:$D$241,FALSE),1), ".")</f>
        <v>.</v>
      </c>
      <c r="AG55" t="str">
        <f>IF(AF55&lt;&gt;".",INDEX('4b'!G$11:G$241,MATCH('D-4b-Consolidated (Pivot)'!$AB55,'4b'!$D$11:$D$241,FALSE),1), ".")</f>
        <v>.</v>
      </c>
      <c r="AH55" t="str">
        <f>IF(AG55&lt;&gt;".",INDEX('4b'!H$11:H$241,MATCH('D-4b-Consolidated (Pivot)'!$AB55,'4b'!$D$11:$D$241,FALSE),1), ".")</f>
        <v>.</v>
      </c>
      <c r="AI55" t="str">
        <f>IF(AH55&lt;&gt;".",INDEX('4b'!I$11:I$241,MATCH('D-4b-Consolidated (Pivot)'!$AB55,'4b'!$D$11:$D$241,FALSE),1), ".")</f>
        <v>.</v>
      </c>
      <c r="AJ55" t="str">
        <f>IF(AI55&lt;&gt;".",INDEX('4b'!J$11:J$241,MATCH('D-4b-Consolidated (Pivot)'!$AB55,'4b'!$D$11:$D$241,FALSE),1), ".")</f>
        <v>.</v>
      </c>
      <c r="AK55" t="str">
        <f>IF(OR(AF55=0, AF55="."),".",COUNTIF('D-5 (Pivot)'!$AH$2:$AH$26,'D-4b-Consolidated (Pivot)'!AF55))</f>
        <v>.</v>
      </c>
      <c r="AL55" t="str">
        <f>IF(OR(AG55=0, AG55="."),".",COUNTIF('D-5 (Pivot)'!$AH$2:$AH$26,'D-4b-Consolidated (Pivot)'!AG55))</f>
        <v>.</v>
      </c>
      <c r="AM55" t="str">
        <f>IF(OR(AH55=0, AH55="."),".",COUNTIF('D-5 (Pivot)'!$AH$2:$AH$26,'D-4b-Consolidated (Pivot)'!AH55))</f>
        <v>.</v>
      </c>
      <c r="AN55" t="str">
        <f>IF(OR(AI55=0, AI55="."),".",COUNTIF('D-5 (Pivot)'!$AH$2:$AH$26,'D-4b-Consolidated (Pivot)'!AI55))</f>
        <v>.</v>
      </c>
      <c r="AO55" t="str">
        <f>IF(OR(AJ55=0, AJ55="."),".",COUNTIF('D-5 (Pivot)'!$AH$2:$AH$26,'D-4b-Consolidated (Pivot)'!AJ55))</f>
        <v>.</v>
      </c>
    </row>
    <row r="56" spans="1:41" x14ac:dyDescent="0.25">
      <c r="A56">
        <f t="shared" si="17"/>
        <v>0</v>
      </c>
      <c r="B56">
        <f t="shared" si="18"/>
        <v>0</v>
      </c>
      <c r="C56">
        <f t="shared" si="19"/>
        <v>0</v>
      </c>
      <c r="D56">
        <f t="shared" si="20"/>
        <v>0</v>
      </c>
      <c r="E56">
        <f t="shared" si="21"/>
        <v>0</v>
      </c>
      <c r="F56">
        <f>'D-RepLevel'!$F$2</f>
        <v>0</v>
      </c>
      <c r="G56">
        <f>'D-RepLevel'!$G$2</f>
        <v>0</v>
      </c>
      <c r="H56">
        <f t="shared" si="22"/>
        <v>0</v>
      </c>
      <c r="I56" t="str">
        <f>IF(ISERROR(INDEX('1b'!$C$5:$C$21, MATCH("Primary Business Line", '1b'!$H$5:$H$21, FALSE), 1)), "None Selected", INDEX('1b'!$C$5:$C$21, MATCH("Primary Business Line", '1b'!$H$5:$H$21, FALSE), 1))</f>
        <v>None Selected</v>
      </c>
      <c r="J56">
        <f>'D-3'!$J$2</f>
        <v>0</v>
      </c>
      <c r="K56">
        <f>COUNTIF('4a'!$E$6:$E$29, "Direct")+COUNTIF('4a'!$E$6:$E$29, "Indirect")+COUNTIF('4a'!$E$6:$E$29, "Both")</f>
        <v>0</v>
      </c>
      <c r="L56">
        <f t="shared" si="23"/>
        <v>0</v>
      </c>
      <c r="M56">
        <f t="shared" si="24"/>
        <v>0</v>
      </c>
      <c r="N56">
        <f t="shared" si="25"/>
        <v>0</v>
      </c>
      <c r="O56">
        <f t="shared" si="26"/>
        <v>2015</v>
      </c>
      <c r="P56">
        <f t="shared" si="27"/>
        <v>0</v>
      </c>
      <c r="Q56">
        <f t="shared" si="28"/>
        <v>0</v>
      </c>
      <c r="R56">
        <f t="shared" si="29"/>
        <v>0</v>
      </c>
      <c r="S56">
        <f t="shared" si="30"/>
        <v>0</v>
      </c>
      <c r="T56">
        <f>COUNTIF('9a'!$K$22:$K$32, "Yes")+COUNTIF('9a'!$O$22:$O$32, "Yes")</f>
        <v>0</v>
      </c>
      <c r="U56" t="str">
        <f t="shared" si="31"/>
        <v>No Expenditures</v>
      </c>
      <c r="V56" t="str">
        <f t="shared" si="32"/>
        <v>No Expenditures</v>
      </c>
      <c r="W56">
        <f t="shared" si="33"/>
        <v>0</v>
      </c>
      <c r="X56" t="str">
        <f>'D-Risk'!$AO$25</f>
        <v>Insufficient Data</v>
      </c>
      <c r="Y56" t="str">
        <f>'D-Risk'!$AO$26</f>
        <v>Insufficient Data</v>
      </c>
      <c r="Z56" t="str">
        <f>'D-Risk'!$AO$27</f>
        <v>Uncalculated</v>
      </c>
      <c r="AA56">
        <v>55</v>
      </c>
      <c r="AB56" t="str">
        <f>IF(ISERROR(Lists!AK56), ".", Lists!AK56)</f>
        <v>.</v>
      </c>
      <c r="AC56" t="str">
        <f>IF(AB56&lt;&gt;".",INDEX('4b'!$B$11:$B$241,MATCH('D-4b-Consolidated (Pivot)'!$AB56,'4b'!$D$11:$D$241,FALSE),1), ".")</f>
        <v>.</v>
      </c>
      <c r="AD56" t="str">
        <f>IF(AC56&lt;&gt;".",INDEX('4b'!$C$11:$C$241,MATCH('D-4b-Consolidated (Pivot)'!$AB56,'4b'!$D$11:$D$241,FALSE),1), ".")</f>
        <v>.</v>
      </c>
      <c r="AE56" t="str">
        <f>IF(AD56&lt;&gt;".",INDEX('4b'!E$11:E$241,MATCH('D-4b-Consolidated (Pivot)'!$AB56,'4b'!$D$11:$D$241,FALSE),1), ".")</f>
        <v>.</v>
      </c>
      <c r="AF56" t="str">
        <f>IF(AE56&lt;&gt;".",INDEX('4b'!F$11:F$241,MATCH('D-4b-Consolidated (Pivot)'!$AB56,'4b'!$D$11:$D$241,FALSE),1), ".")</f>
        <v>.</v>
      </c>
      <c r="AG56" t="str">
        <f>IF(AF56&lt;&gt;".",INDEX('4b'!G$11:G$241,MATCH('D-4b-Consolidated (Pivot)'!$AB56,'4b'!$D$11:$D$241,FALSE),1), ".")</f>
        <v>.</v>
      </c>
      <c r="AH56" t="str">
        <f>IF(AG56&lt;&gt;".",INDEX('4b'!H$11:H$241,MATCH('D-4b-Consolidated (Pivot)'!$AB56,'4b'!$D$11:$D$241,FALSE),1), ".")</f>
        <v>.</v>
      </c>
      <c r="AI56" t="str">
        <f>IF(AH56&lt;&gt;".",INDEX('4b'!I$11:I$241,MATCH('D-4b-Consolidated (Pivot)'!$AB56,'4b'!$D$11:$D$241,FALSE),1), ".")</f>
        <v>.</v>
      </c>
      <c r="AJ56" t="str">
        <f>IF(AI56&lt;&gt;".",INDEX('4b'!J$11:J$241,MATCH('D-4b-Consolidated (Pivot)'!$AB56,'4b'!$D$11:$D$241,FALSE),1), ".")</f>
        <v>.</v>
      </c>
      <c r="AK56" t="str">
        <f>IF(OR(AF56=0, AF56="."),".",COUNTIF('D-5 (Pivot)'!$AH$2:$AH$26,'D-4b-Consolidated (Pivot)'!AF56))</f>
        <v>.</v>
      </c>
      <c r="AL56" t="str">
        <f>IF(OR(AG56=0, AG56="."),".",COUNTIF('D-5 (Pivot)'!$AH$2:$AH$26,'D-4b-Consolidated (Pivot)'!AG56))</f>
        <v>.</v>
      </c>
      <c r="AM56" t="str">
        <f>IF(OR(AH56=0, AH56="."),".",COUNTIF('D-5 (Pivot)'!$AH$2:$AH$26,'D-4b-Consolidated (Pivot)'!AH56))</f>
        <v>.</v>
      </c>
      <c r="AN56" t="str">
        <f>IF(OR(AI56=0, AI56="."),".",COUNTIF('D-5 (Pivot)'!$AH$2:$AH$26,'D-4b-Consolidated (Pivot)'!AI56))</f>
        <v>.</v>
      </c>
      <c r="AO56" t="str">
        <f>IF(OR(AJ56=0, AJ56="."),".",COUNTIF('D-5 (Pivot)'!$AH$2:$AH$26,'D-4b-Consolidated (Pivot)'!AJ56))</f>
        <v>.</v>
      </c>
    </row>
    <row r="57" spans="1:41" x14ac:dyDescent="0.25">
      <c r="A57">
        <f t="shared" si="17"/>
        <v>0</v>
      </c>
      <c r="B57">
        <f t="shared" si="18"/>
        <v>0</v>
      </c>
      <c r="C57">
        <f t="shared" si="19"/>
        <v>0</v>
      </c>
      <c r="D57">
        <f t="shared" si="20"/>
        <v>0</v>
      </c>
      <c r="E57">
        <f t="shared" si="21"/>
        <v>0</v>
      </c>
      <c r="F57">
        <f>'D-RepLevel'!$F$2</f>
        <v>0</v>
      </c>
      <c r="G57">
        <f>'D-RepLevel'!$G$2</f>
        <v>0</v>
      </c>
      <c r="H57">
        <f t="shared" si="22"/>
        <v>0</v>
      </c>
      <c r="I57" t="str">
        <f>IF(ISERROR(INDEX('1b'!$C$5:$C$21, MATCH("Primary Business Line", '1b'!$H$5:$H$21, FALSE), 1)), "None Selected", INDEX('1b'!$C$5:$C$21, MATCH("Primary Business Line", '1b'!$H$5:$H$21, FALSE), 1))</f>
        <v>None Selected</v>
      </c>
      <c r="J57">
        <f>'D-3'!$J$2</f>
        <v>0</v>
      </c>
      <c r="K57">
        <f>COUNTIF('4a'!$E$6:$E$29, "Direct")+COUNTIF('4a'!$E$6:$E$29, "Indirect")+COUNTIF('4a'!$E$6:$E$29, "Both")</f>
        <v>0</v>
      </c>
      <c r="L57">
        <f t="shared" si="23"/>
        <v>0</v>
      </c>
      <c r="M57">
        <f t="shared" si="24"/>
        <v>0</v>
      </c>
      <c r="N57">
        <f t="shared" si="25"/>
        <v>0</v>
      </c>
      <c r="O57">
        <f t="shared" si="26"/>
        <v>2015</v>
      </c>
      <c r="P57">
        <f t="shared" si="27"/>
        <v>0</v>
      </c>
      <c r="Q57">
        <f t="shared" si="28"/>
        <v>0</v>
      </c>
      <c r="R57">
        <f t="shared" si="29"/>
        <v>0</v>
      </c>
      <c r="S57">
        <f t="shared" si="30"/>
        <v>0</v>
      </c>
      <c r="T57">
        <f>COUNTIF('9a'!$K$22:$K$32, "Yes")+COUNTIF('9a'!$O$22:$O$32, "Yes")</f>
        <v>0</v>
      </c>
      <c r="U57" t="str">
        <f t="shared" si="31"/>
        <v>No Expenditures</v>
      </c>
      <c r="V57" t="str">
        <f t="shared" si="32"/>
        <v>No Expenditures</v>
      </c>
      <c r="W57">
        <f t="shared" si="33"/>
        <v>0</v>
      </c>
      <c r="X57" t="str">
        <f>'D-Risk'!$AO$25</f>
        <v>Insufficient Data</v>
      </c>
      <c r="Y57" t="str">
        <f>'D-Risk'!$AO$26</f>
        <v>Insufficient Data</v>
      </c>
      <c r="Z57" t="str">
        <f>'D-Risk'!$AO$27</f>
        <v>Uncalculated</v>
      </c>
      <c r="AA57">
        <v>56</v>
      </c>
      <c r="AB57" t="str">
        <f>IF(ISERROR(Lists!AK57), ".", Lists!AK57)</f>
        <v>.</v>
      </c>
      <c r="AC57" t="str">
        <f>IF(AB57&lt;&gt;".",INDEX('4b'!$B$11:$B$241,MATCH('D-4b-Consolidated (Pivot)'!$AB57,'4b'!$D$11:$D$241,FALSE),1), ".")</f>
        <v>.</v>
      </c>
      <c r="AD57" t="str">
        <f>IF(AC57&lt;&gt;".",INDEX('4b'!$C$11:$C$241,MATCH('D-4b-Consolidated (Pivot)'!$AB57,'4b'!$D$11:$D$241,FALSE),1), ".")</f>
        <v>.</v>
      </c>
      <c r="AE57" t="str">
        <f>IF(AD57&lt;&gt;".",INDEX('4b'!E$11:E$241,MATCH('D-4b-Consolidated (Pivot)'!$AB57,'4b'!$D$11:$D$241,FALSE),1), ".")</f>
        <v>.</v>
      </c>
      <c r="AF57" t="str">
        <f>IF(AE57&lt;&gt;".",INDEX('4b'!F$11:F$241,MATCH('D-4b-Consolidated (Pivot)'!$AB57,'4b'!$D$11:$D$241,FALSE),1), ".")</f>
        <v>.</v>
      </c>
      <c r="AG57" t="str">
        <f>IF(AF57&lt;&gt;".",INDEX('4b'!G$11:G$241,MATCH('D-4b-Consolidated (Pivot)'!$AB57,'4b'!$D$11:$D$241,FALSE),1), ".")</f>
        <v>.</v>
      </c>
      <c r="AH57" t="str">
        <f>IF(AG57&lt;&gt;".",INDEX('4b'!H$11:H$241,MATCH('D-4b-Consolidated (Pivot)'!$AB57,'4b'!$D$11:$D$241,FALSE),1), ".")</f>
        <v>.</v>
      </c>
      <c r="AI57" t="str">
        <f>IF(AH57&lt;&gt;".",INDEX('4b'!I$11:I$241,MATCH('D-4b-Consolidated (Pivot)'!$AB57,'4b'!$D$11:$D$241,FALSE),1), ".")</f>
        <v>.</v>
      </c>
      <c r="AJ57" t="str">
        <f>IF(AI57&lt;&gt;".",INDEX('4b'!J$11:J$241,MATCH('D-4b-Consolidated (Pivot)'!$AB57,'4b'!$D$11:$D$241,FALSE),1), ".")</f>
        <v>.</v>
      </c>
      <c r="AK57" t="str">
        <f>IF(OR(AF57=0, AF57="."),".",COUNTIF('D-5 (Pivot)'!$AH$2:$AH$26,'D-4b-Consolidated (Pivot)'!AF57))</f>
        <v>.</v>
      </c>
      <c r="AL57" t="str">
        <f>IF(OR(AG57=0, AG57="."),".",COUNTIF('D-5 (Pivot)'!$AH$2:$AH$26,'D-4b-Consolidated (Pivot)'!AG57))</f>
        <v>.</v>
      </c>
      <c r="AM57" t="str">
        <f>IF(OR(AH57=0, AH57="."),".",COUNTIF('D-5 (Pivot)'!$AH$2:$AH$26,'D-4b-Consolidated (Pivot)'!AH57))</f>
        <v>.</v>
      </c>
      <c r="AN57" t="str">
        <f>IF(OR(AI57=0, AI57="."),".",COUNTIF('D-5 (Pivot)'!$AH$2:$AH$26,'D-4b-Consolidated (Pivot)'!AI57))</f>
        <v>.</v>
      </c>
      <c r="AO57" t="str">
        <f>IF(OR(AJ57=0, AJ57="."),".",COUNTIF('D-5 (Pivot)'!$AH$2:$AH$26,'D-4b-Consolidated (Pivot)'!AJ57))</f>
        <v>.</v>
      </c>
    </row>
    <row r="58" spans="1:41" x14ac:dyDescent="0.25">
      <c r="A58">
        <f t="shared" si="17"/>
        <v>0</v>
      </c>
      <c r="B58">
        <f t="shared" si="18"/>
        <v>0</v>
      </c>
      <c r="C58">
        <f t="shared" si="19"/>
        <v>0</v>
      </c>
      <c r="D58">
        <f t="shared" si="20"/>
        <v>0</v>
      </c>
      <c r="E58">
        <f t="shared" si="21"/>
        <v>0</v>
      </c>
      <c r="F58">
        <f>'D-RepLevel'!$F$2</f>
        <v>0</v>
      </c>
      <c r="G58">
        <f>'D-RepLevel'!$G$2</f>
        <v>0</v>
      </c>
      <c r="H58">
        <f t="shared" si="22"/>
        <v>0</v>
      </c>
      <c r="I58" t="str">
        <f>IF(ISERROR(INDEX('1b'!$C$5:$C$21, MATCH("Primary Business Line", '1b'!$H$5:$H$21, FALSE), 1)), "None Selected", INDEX('1b'!$C$5:$C$21, MATCH("Primary Business Line", '1b'!$H$5:$H$21, FALSE), 1))</f>
        <v>None Selected</v>
      </c>
      <c r="J58">
        <f>'D-3'!$J$2</f>
        <v>0</v>
      </c>
      <c r="K58">
        <f>COUNTIF('4a'!$E$6:$E$29, "Direct")+COUNTIF('4a'!$E$6:$E$29, "Indirect")+COUNTIF('4a'!$E$6:$E$29, "Both")</f>
        <v>0</v>
      </c>
      <c r="L58">
        <f t="shared" si="23"/>
        <v>0</v>
      </c>
      <c r="M58">
        <f t="shared" si="24"/>
        <v>0</v>
      </c>
      <c r="N58">
        <f t="shared" si="25"/>
        <v>0</v>
      </c>
      <c r="O58">
        <f t="shared" si="26"/>
        <v>2015</v>
      </c>
      <c r="P58">
        <f t="shared" si="27"/>
        <v>0</v>
      </c>
      <c r="Q58">
        <f t="shared" si="28"/>
        <v>0</v>
      </c>
      <c r="R58">
        <f t="shared" si="29"/>
        <v>0</v>
      </c>
      <c r="S58">
        <f t="shared" si="30"/>
        <v>0</v>
      </c>
      <c r="T58">
        <f>COUNTIF('9a'!$K$22:$K$32, "Yes")+COUNTIF('9a'!$O$22:$O$32, "Yes")</f>
        <v>0</v>
      </c>
      <c r="U58" t="str">
        <f t="shared" si="31"/>
        <v>No Expenditures</v>
      </c>
      <c r="V58" t="str">
        <f t="shared" si="32"/>
        <v>No Expenditures</v>
      </c>
      <c r="W58">
        <f t="shared" si="33"/>
        <v>0</v>
      </c>
      <c r="X58" t="str">
        <f>'D-Risk'!$AO$25</f>
        <v>Insufficient Data</v>
      </c>
      <c r="Y58" t="str">
        <f>'D-Risk'!$AO$26</f>
        <v>Insufficient Data</v>
      </c>
      <c r="Z58" t="str">
        <f>'D-Risk'!$AO$27</f>
        <v>Uncalculated</v>
      </c>
      <c r="AA58">
        <v>57</v>
      </c>
      <c r="AB58" t="str">
        <f>IF(ISERROR(Lists!AK58), ".", Lists!AK58)</f>
        <v>.</v>
      </c>
      <c r="AC58" t="str">
        <f>IF(AB58&lt;&gt;".",INDEX('4b'!$B$11:$B$241,MATCH('D-4b-Consolidated (Pivot)'!$AB58,'4b'!$D$11:$D$241,FALSE),1), ".")</f>
        <v>.</v>
      </c>
      <c r="AD58" t="str">
        <f>IF(AC58&lt;&gt;".",INDEX('4b'!$C$11:$C$241,MATCH('D-4b-Consolidated (Pivot)'!$AB58,'4b'!$D$11:$D$241,FALSE),1), ".")</f>
        <v>.</v>
      </c>
      <c r="AE58" t="str">
        <f>IF(AD58&lt;&gt;".",INDEX('4b'!E$11:E$241,MATCH('D-4b-Consolidated (Pivot)'!$AB58,'4b'!$D$11:$D$241,FALSE),1), ".")</f>
        <v>.</v>
      </c>
      <c r="AF58" t="str">
        <f>IF(AE58&lt;&gt;".",INDEX('4b'!F$11:F$241,MATCH('D-4b-Consolidated (Pivot)'!$AB58,'4b'!$D$11:$D$241,FALSE),1), ".")</f>
        <v>.</v>
      </c>
      <c r="AG58" t="str">
        <f>IF(AF58&lt;&gt;".",INDEX('4b'!G$11:G$241,MATCH('D-4b-Consolidated (Pivot)'!$AB58,'4b'!$D$11:$D$241,FALSE),1), ".")</f>
        <v>.</v>
      </c>
      <c r="AH58" t="str">
        <f>IF(AG58&lt;&gt;".",INDEX('4b'!H$11:H$241,MATCH('D-4b-Consolidated (Pivot)'!$AB58,'4b'!$D$11:$D$241,FALSE),1), ".")</f>
        <v>.</v>
      </c>
      <c r="AI58" t="str">
        <f>IF(AH58&lt;&gt;".",INDEX('4b'!I$11:I$241,MATCH('D-4b-Consolidated (Pivot)'!$AB58,'4b'!$D$11:$D$241,FALSE),1), ".")</f>
        <v>.</v>
      </c>
      <c r="AJ58" t="str">
        <f>IF(AI58&lt;&gt;".",INDEX('4b'!J$11:J$241,MATCH('D-4b-Consolidated (Pivot)'!$AB58,'4b'!$D$11:$D$241,FALSE),1), ".")</f>
        <v>.</v>
      </c>
      <c r="AK58" t="str">
        <f>IF(OR(AF58=0, AF58="."),".",COUNTIF('D-5 (Pivot)'!$AH$2:$AH$26,'D-4b-Consolidated (Pivot)'!AF58))</f>
        <v>.</v>
      </c>
      <c r="AL58" t="str">
        <f>IF(OR(AG58=0, AG58="."),".",COUNTIF('D-5 (Pivot)'!$AH$2:$AH$26,'D-4b-Consolidated (Pivot)'!AG58))</f>
        <v>.</v>
      </c>
      <c r="AM58" t="str">
        <f>IF(OR(AH58=0, AH58="."),".",COUNTIF('D-5 (Pivot)'!$AH$2:$AH$26,'D-4b-Consolidated (Pivot)'!AH58))</f>
        <v>.</v>
      </c>
      <c r="AN58" t="str">
        <f>IF(OR(AI58=0, AI58="."),".",COUNTIF('D-5 (Pivot)'!$AH$2:$AH$26,'D-4b-Consolidated (Pivot)'!AI58))</f>
        <v>.</v>
      </c>
      <c r="AO58" t="str">
        <f>IF(OR(AJ58=0, AJ58="."),".",COUNTIF('D-5 (Pivot)'!$AH$2:$AH$26,'D-4b-Consolidated (Pivot)'!AJ58))</f>
        <v>.</v>
      </c>
    </row>
    <row r="59" spans="1:41" x14ac:dyDescent="0.25">
      <c r="A59">
        <f t="shared" si="17"/>
        <v>0</v>
      </c>
      <c r="B59">
        <f t="shared" si="18"/>
        <v>0</v>
      </c>
      <c r="C59">
        <f t="shared" si="19"/>
        <v>0</v>
      </c>
      <c r="D59">
        <f t="shared" si="20"/>
        <v>0</v>
      </c>
      <c r="E59">
        <f t="shared" si="21"/>
        <v>0</v>
      </c>
      <c r="F59">
        <f>'D-RepLevel'!$F$2</f>
        <v>0</v>
      </c>
      <c r="G59">
        <f>'D-RepLevel'!$G$2</f>
        <v>0</v>
      </c>
      <c r="H59">
        <f t="shared" si="22"/>
        <v>0</v>
      </c>
      <c r="I59" t="str">
        <f>IF(ISERROR(INDEX('1b'!$C$5:$C$21, MATCH("Primary Business Line", '1b'!$H$5:$H$21, FALSE), 1)), "None Selected", INDEX('1b'!$C$5:$C$21, MATCH("Primary Business Line", '1b'!$H$5:$H$21, FALSE), 1))</f>
        <v>None Selected</v>
      </c>
      <c r="J59">
        <f>'D-3'!$J$2</f>
        <v>0</v>
      </c>
      <c r="K59">
        <f>COUNTIF('4a'!$E$6:$E$29, "Direct")+COUNTIF('4a'!$E$6:$E$29, "Indirect")+COUNTIF('4a'!$E$6:$E$29, "Both")</f>
        <v>0</v>
      </c>
      <c r="L59">
        <f t="shared" si="23"/>
        <v>0</v>
      </c>
      <c r="M59">
        <f t="shared" si="24"/>
        <v>0</v>
      </c>
      <c r="N59">
        <f t="shared" si="25"/>
        <v>0</v>
      </c>
      <c r="O59">
        <f t="shared" si="26"/>
        <v>2015</v>
      </c>
      <c r="P59">
        <f t="shared" si="27"/>
        <v>0</v>
      </c>
      <c r="Q59">
        <f t="shared" si="28"/>
        <v>0</v>
      </c>
      <c r="R59">
        <f t="shared" si="29"/>
        <v>0</v>
      </c>
      <c r="S59">
        <f t="shared" si="30"/>
        <v>0</v>
      </c>
      <c r="T59">
        <f>COUNTIF('9a'!$K$22:$K$32, "Yes")+COUNTIF('9a'!$O$22:$O$32, "Yes")</f>
        <v>0</v>
      </c>
      <c r="U59" t="str">
        <f t="shared" si="31"/>
        <v>No Expenditures</v>
      </c>
      <c r="V59" t="str">
        <f t="shared" si="32"/>
        <v>No Expenditures</v>
      </c>
      <c r="W59">
        <f t="shared" si="33"/>
        <v>0</v>
      </c>
      <c r="X59" t="str">
        <f>'D-Risk'!$AO$25</f>
        <v>Insufficient Data</v>
      </c>
      <c r="Y59" t="str">
        <f>'D-Risk'!$AO$26</f>
        <v>Insufficient Data</v>
      </c>
      <c r="Z59" t="str">
        <f>'D-Risk'!$AO$27</f>
        <v>Uncalculated</v>
      </c>
      <c r="AA59">
        <v>58</v>
      </c>
      <c r="AB59" t="str">
        <f>IF(ISERROR(Lists!AK59), ".", Lists!AK59)</f>
        <v>.</v>
      </c>
      <c r="AC59" t="str">
        <f>IF(AB59&lt;&gt;".",INDEX('4b'!$B$11:$B$241,MATCH('D-4b-Consolidated (Pivot)'!$AB59,'4b'!$D$11:$D$241,FALSE),1), ".")</f>
        <v>.</v>
      </c>
      <c r="AD59" t="str">
        <f>IF(AC59&lt;&gt;".",INDEX('4b'!$C$11:$C$241,MATCH('D-4b-Consolidated (Pivot)'!$AB59,'4b'!$D$11:$D$241,FALSE),1), ".")</f>
        <v>.</v>
      </c>
      <c r="AE59" t="str">
        <f>IF(AD59&lt;&gt;".",INDEX('4b'!E$11:E$241,MATCH('D-4b-Consolidated (Pivot)'!$AB59,'4b'!$D$11:$D$241,FALSE),1), ".")</f>
        <v>.</v>
      </c>
      <c r="AF59" t="str">
        <f>IF(AE59&lt;&gt;".",INDEX('4b'!F$11:F$241,MATCH('D-4b-Consolidated (Pivot)'!$AB59,'4b'!$D$11:$D$241,FALSE),1), ".")</f>
        <v>.</v>
      </c>
      <c r="AG59" t="str">
        <f>IF(AF59&lt;&gt;".",INDEX('4b'!G$11:G$241,MATCH('D-4b-Consolidated (Pivot)'!$AB59,'4b'!$D$11:$D$241,FALSE),1), ".")</f>
        <v>.</v>
      </c>
      <c r="AH59" t="str">
        <f>IF(AG59&lt;&gt;".",INDEX('4b'!H$11:H$241,MATCH('D-4b-Consolidated (Pivot)'!$AB59,'4b'!$D$11:$D$241,FALSE),1), ".")</f>
        <v>.</v>
      </c>
      <c r="AI59" t="str">
        <f>IF(AH59&lt;&gt;".",INDEX('4b'!I$11:I$241,MATCH('D-4b-Consolidated (Pivot)'!$AB59,'4b'!$D$11:$D$241,FALSE),1), ".")</f>
        <v>.</v>
      </c>
      <c r="AJ59" t="str">
        <f>IF(AI59&lt;&gt;".",INDEX('4b'!J$11:J$241,MATCH('D-4b-Consolidated (Pivot)'!$AB59,'4b'!$D$11:$D$241,FALSE),1), ".")</f>
        <v>.</v>
      </c>
      <c r="AK59" t="str">
        <f>IF(OR(AF59=0, AF59="."),".",COUNTIF('D-5 (Pivot)'!$AH$2:$AH$26,'D-4b-Consolidated (Pivot)'!AF59))</f>
        <v>.</v>
      </c>
      <c r="AL59" t="str">
        <f>IF(OR(AG59=0, AG59="."),".",COUNTIF('D-5 (Pivot)'!$AH$2:$AH$26,'D-4b-Consolidated (Pivot)'!AG59))</f>
        <v>.</v>
      </c>
      <c r="AM59" t="str">
        <f>IF(OR(AH59=0, AH59="."),".",COUNTIF('D-5 (Pivot)'!$AH$2:$AH$26,'D-4b-Consolidated (Pivot)'!AH59))</f>
        <v>.</v>
      </c>
      <c r="AN59" t="str">
        <f>IF(OR(AI59=0, AI59="."),".",COUNTIF('D-5 (Pivot)'!$AH$2:$AH$26,'D-4b-Consolidated (Pivot)'!AI59))</f>
        <v>.</v>
      </c>
      <c r="AO59" t="str">
        <f>IF(OR(AJ59=0, AJ59="."),".",COUNTIF('D-5 (Pivot)'!$AH$2:$AH$26,'D-4b-Consolidated (Pivot)'!AJ59))</f>
        <v>.</v>
      </c>
    </row>
    <row r="60" spans="1:41" x14ac:dyDescent="0.25">
      <c r="A60">
        <f t="shared" si="17"/>
        <v>0</v>
      </c>
      <c r="B60">
        <f t="shared" si="18"/>
        <v>0</v>
      </c>
      <c r="C60">
        <f t="shared" si="19"/>
        <v>0</v>
      </c>
      <c r="D60">
        <f t="shared" si="20"/>
        <v>0</v>
      </c>
      <c r="E60">
        <f t="shared" si="21"/>
        <v>0</v>
      </c>
      <c r="F60">
        <f>'D-RepLevel'!$F$2</f>
        <v>0</v>
      </c>
      <c r="G60">
        <f>'D-RepLevel'!$G$2</f>
        <v>0</v>
      </c>
      <c r="H60">
        <f t="shared" si="22"/>
        <v>0</v>
      </c>
      <c r="I60" t="str">
        <f>IF(ISERROR(INDEX('1b'!$C$5:$C$21, MATCH("Primary Business Line", '1b'!$H$5:$H$21, FALSE), 1)), "None Selected", INDEX('1b'!$C$5:$C$21, MATCH("Primary Business Line", '1b'!$H$5:$H$21, FALSE), 1))</f>
        <v>None Selected</v>
      </c>
      <c r="J60">
        <f>'D-3'!$J$2</f>
        <v>0</v>
      </c>
      <c r="K60">
        <f>COUNTIF('4a'!$E$6:$E$29, "Direct")+COUNTIF('4a'!$E$6:$E$29, "Indirect")+COUNTIF('4a'!$E$6:$E$29, "Both")</f>
        <v>0</v>
      </c>
      <c r="L60">
        <f t="shared" si="23"/>
        <v>0</v>
      </c>
      <c r="M60">
        <f t="shared" si="24"/>
        <v>0</v>
      </c>
      <c r="N60">
        <f t="shared" si="25"/>
        <v>0</v>
      </c>
      <c r="O60">
        <f t="shared" si="26"/>
        <v>2015</v>
      </c>
      <c r="P60">
        <f t="shared" si="27"/>
        <v>0</v>
      </c>
      <c r="Q60">
        <f t="shared" si="28"/>
        <v>0</v>
      </c>
      <c r="R60">
        <f t="shared" si="29"/>
        <v>0</v>
      </c>
      <c r="S60">
        <f t="shared" si="30"/>
        <v>0</v>
      </c>
      <c r="T60">
        <f>COUNTIF('9a'!$K$22:$K$32, "Yes")+COUNTIF('9a'!$O$22:$O$32, "Yes")</f>
        <v>0</v>
      </c>
      <c r="U60" t="str">
        <f t="shared" si="31"/>
        <v>No Expenditures</v>
      </c>
      <c r="V60" t="str">
        <f t="shared" si="32"/>
        <v>No Expenditures</v>
      </c>
      <c r="W60">
        <f t="shared" si="33"/>
        <v>0</v>
      </c>
      <c r="X60" t="str">
        <f>'D-Risk'!$AO$25</f>
        <v>Insufficient Data</v>
      </c>
      <c r="Y60" t="str">
        <f>'D-Risk'!$AO$26</f>
        <v>Insufficient Data</v>
      </c>
      <c r="Z60" t="str">
        <f>'D-Risk'!$AO$27</f>
        <v>Uncalculated</v>
      </c>
      <c r="AA60">
        <v>59</v>
      </c>
      <c r="AB60" t="str">
        <f>IF(ISERROR(Lists!AK60), ".", Lists!AK60)</f>
        <v>.</v>
      </c>
      <c r="AC60" t="str">
        <f>IF(AB60&lt;&gt;".",INDEX('4b'!$B$11:$B$241,MATCH('D-4b-Consolidated (Pivot)'!$AB60,'4b'!$D$11:$D$241,FALSE),1), ".")</f>
        <v>.</v>
      </c>
      <c r="AD60" t="str">
        <f>IF(AC60&lt;&gt;".",INDEX('4b'!$C$11:$C$241,MATCH('D-4b-Consolidated (Pivot)'!$AB60,'4b'!$D$11:$D$241,FALSE),1), ".")</f>
        <v>.</v>
      </c>
      <c r="AE60" t="str">
        <f>IF(AD60&lt;&gt;".",INDEX('4b'!E$11:E$241,MATCH('D-4b-Consolidated (Pivot)'!$AB60,'4b'!$D$11:$D$241,FALSE),1), ".")</f>
        <v>.</v>
      </c>
      <c r="AF60" t="str">
        <f>IF(AE60&lt;&gt;".",INDEX('4b'!F$11:F$241,MATCH('D-4b-Consolidated (Pivot)'!$AB60,'4b'!$D$11:$D$241,FALSE),1), ".")</f>
        <v>.</v>
      </c>
      <c r="AG60" t="str">
        <f>IF(AF60&lt;&gt;".",INDEX('4b'!G$11:G$241,MATCH('D-4b-Consolidated (Pivot)'!$AB60,'4b'!$D$11:$D$241,FALSE),1), ".")</f>
        <v>.</v>
      </c>
      <c r="AH60" t="str">
        <f>IF(AG60&lt;&gt;".",INDEX('4b'!H$11:H$241,MATCH('D-4b-Consolidated (Pivot)'!$AB60,'4b'!$D$11:$D$241,FALSE),1), ".")</f>
        <v>.</v>
      </c>
      <c r="AI60" t="str">
        <f>IF(AH60&lt;&gt;".",INDEX('4b'!I$11:I$241,MATCH('D-4b-Consolidated (Pivot)'!$AB60,'4b'!$D$11:$D$241,FALSE),1), ".")</f>
        <v>.</v>
      </c>
      <c r="AJ60" t="str">
        <f>IF(AI60&lt;&gt;".",INDEX('4b'!J$11:J$241,MATCH('D-4b-Consolidated (Pivot)'!$AB60,'4b'!$D$11:$D$241,FALSE),1), ".")</f>
        <v>.</v>
      </c>
      <c r="AK60" t="str">
        <f>IF(OR(AF60=0, AF60="."),".",COUNTIF('D-5 (Pivot)'!$AH$2:$AH$26,'D-4b-Consolidated (Pivot)'!AF60))</f>
        <v>.</v>
      </c>
      <c r="AL60" t="str">
        <f>IF(OR(AG60=0, AG60="."),".",COUNTIF('D-5 (Pivot)'!$AH$2:$AH$26,'D-4b-Consolidated (Pivot)'!AG60))</f>
        <v>.</v>
      </c>
      <c r="AM60" t="str">
        <f>IF(OR(AH60=0, AH60="."),".",COUNTIF('D-5 (Pivot)'!$AH$2:$AH$26,'D-4b-Consolidated (Pivot)'!AH60))</f>
        <v>.</v>
      </c>
      <c r="AN60" t="str">
        <f>IF(OR(AI60=0, AI60="."),".",COUNTIF('D-5 (Pivot)'!$AH$2:$AH$26,'D-4b-Consolidated (Pivot)'!AI60))</f>
        <v>.</v>
      </c>
      <c r="AO60" t="str">
        <f>IF(OR(AJ60=0, AJ60="."),".",COUNTIF('D-5 (Pivot)'!$AH$2:$AH$26,'D-4b-Consolidated (Pivot)'!AJ60))</f>
        <v>.</v>
      </c>
    </row>
    <row r="61" spans="1:41" x14ac:dyDescent="0.25">
      <c r="A61">
        <f t="shared" si="17"/>
        <v>0</v>
      </c>
      <c r="B61">
        <f t="shared" si="18"/>
        <v>0</v>
      </c>
      <c r="C61">
        <f t="shared" si="19"/>
        <v>0</v>
      </c>
      <c r="D61">
        <f t="shared" si="20"/>
        <v>0</v>
      </c>
      <c r="E61">
        <f t="shared" si="21"/>
        <v>0</v>
      </c>
      <c r="F61">
        <f>'D-RepLevel'!$F$2</f>
        <v>0</v>
      </c>
      <c r="G61">
        <f>'D-RepLevel'!$G$2</f>
        <v>0</v>
      </c>
      <c r="H61">
        <f t="shared" si="22"/>
        <v>0</v>
      </c>
      <c r="I61" t="str">
        <f>IF(ISERROR(INDEX('1b'!$C$5:$C$21, MATCH("Primary Business Line", '1b'!$H$5:$H$21, FALSE), 1)), "None Selected", INDEX('1b'!$C$5:$C$21, MATCH("Primary Business Line", '1b'!$H$5:$H$21, FALSE), 1))</f>
        <v>None Selected</v>
      </c>
      <c r="J61">
        <f>'D-3'!$J$2</f>
        <v>0</v>
      </c>
      <c r="K61">
        <f>COUNTIF('4a'!$E$6:$E$29, "Direct")+COUNTIF('4a'!$E$6:$E$29, "Indirect")+COUNTIF('4a'!$E$6:$E$29, "Both")</f>
        <v>0</v>
      </c>
      <c r="L61">
        <f t="shared" si="23"/>
        <v>0</v>
      </c>
      <c r="M61">
        <f t="shared" si="24"/>
        <v>0</v>
      </c>
      <c r="N61">
        <f t="shared" si="25"/>
        <v>0</v>
      </c>
      <c r="O61">
        <f t="shared" si="26"/>
        <v>2015</v>
      </c>
      <c r="P61">
        <f t="shared" si="27"/>
        <v>0</v>
      </c>
      <c r="Q61">
        <f t="shared" si="28"/>
        <v>0</v>
      </c>
      <c r="R61">
        <f t="shared" si="29"/>
        <v>0</v>
      </c>
      <c r="S61">
        <f t="shared" si="30"/>
        <v>0</v>
      </c>
      <c r="T61">
        <f>COUNTIF('9a'!$K$22:$K$32, "Yes")+COUNTIF('9a'!$O$22:$O$32, "Yes")</f>
        <v>0</v>
      </c>
      <c r="U61" t="str">
        <f t="shared" si="31"/>
        <v>No Expenditures</v>
      </c>
      <c r="V61" t="str">
        <f t="shared" si="32"/>
        <v>No Expenditures</v>
      </c>
      <c r="W61">
        <f t="shared" si="33"/>
        <v>0</v>
      </c>
      <c r="X61" t="str">
        <f>'D-Risk'!$AO$25</f>
        <v>Insufficient Data</v>
      </c>
      <c r="Y61" t="str">
        <f>'D-Risk'!$AO$26</f>
        <v>Insufficient Data</v>
      </c>
      <c r="Z61" t="str">
        <f>'D-Risk'!$AO$27</f>
        <v>Uncalculated</v>
      </c>
      <c r="AA61">
        <v>60</v>
      </c>
      <c r="AB61" t="str">
        <f>IF(ISERROR(Lists!AK61), ".", Lists!AK61)</f>
        <v>.</v>
      </c>
      <c r="AC61" t="str">
        <f>IF(AB61&lt;&gt;".",INDEX('4b'!$B$11:$B$241,MATCH('D-4b-Consolidated (Pivot)'!$AB61,'4b'!$D$11:$D$241,FALSE),1), ".")</f>
        <v>.</v>
      </c>
      <c r="AD61" t="str">
        <f>IF(AC61&lt;&gt;".",INDEX('4b'!$C$11:$C$241,MATCH('D-4b-Consolidated (Pivot)'!$AB61,'4b'!$D$11:$D$241,FALSE),1), ".")</f>
        <v>.</v>
      </c>
      <c r="AE61" t="str">
        <f>IF(AD61&lt;&gt;".",INDEX('4b'!E$11:E$241,MATCH('D-4b-Consolidated (Pivot)'!$AB61,'4b'!$D$11:$D$241,FALSE),1), ".")</f>
        <v>.</v>
      </c>
      <c r="AF61" t="str">
        <f>IF(AE61&lt;&gt;".",INDEX('4b'!F$11:F$241,MATCH('D-4b-Consolidated (Pivot)'!$AB61,'4b'!$D$11:$D$241,FALSE),1), ".")</f>
        <v>.</v>
      </c>
      <c r="AG61" t="str">
        <f>IF(AF61&lt;&gt;".",INDEX('4b'!G$11:G$241,MATCH('D-4b-Consolidated (Pivot)'!$AB61,'4b'!$D$11:$D$241,FALSE),1), ".")</f>
        <v>.</v>
      </c>
      <c r="AH61" t="str">
        <f>IF(AG61&lt;&gt;".",INDEX('4b'!H$11:H$241,MATCH('D-4b-Consolidated (Pivot)'!$AB61,'4b'!$D$11:$D$241,FALSE),1), ".")</f>
        <v>.</v>
      </c>
      <c r="AI61" t="str">
        <f>IF(AH61&lt;&gt;".",INDEX('4b'!I$11:I$241,MATCH('D-4b-Consolidated (Pivot)'!$AB61,'4b'!$D$11:$D$241,FALSE),1), ".")</f>
        <v>.</v>
      </c>
      <c r="AJ61" t="str">
        <f>IF(AI61&lt;&gt;".",INDEX('4b'!J$11:J$241,MATCH('D-4b-Consolidated (Pivot)'!$AB61,'4b'!$D$11:$D$241,FALSE),1), ".")</f>
        <v>.</v>
      </c>
      <c r="AK61" t="str">
        <f>IF(OR(AF61=0, AF61="."),".",COUNTIF('D-5 (Pivot)'!$AH$2:$AH$26,'D-4b-Consolidated (Pivot)'!AF61))</f>
        <v>.</v>
      </c>
      <c r="AL61" t="str">
        <f>IF(OR(AG61=0, AG61="."),".",COUNTIF('D-5 (Pivot)'!$AH$2:$AH$26,'D-4b-Consolidated (Pivot)'!AG61))</f>
        <v>.</v>
      </c>
      <c r="AM61" t="str">
        <f>IF(OR(AH61=0, AH61="."),".",COUNTIF('D-5 (Pivot)'!$AH$2:$AH$26,'D-4b-Consolidated (Pivot)'!AH61))</f>
        <v>.</v>
      </c>
      <c r="AN61" t="str">
        <f>IF(OR(AI61=0, AI61="."),".",COUNTIF('D-5 (Pivot)'!$AH$2:$AH$26,'D-4b-Consolidated (Pivot)'!AI61))</f>
        <v>.</v>
      </c>
      <c r="AO61" t="str">
        <f>IF(OR(AJ61=0, AJ61="."),".",COUNTIF('D-5 (Pivot)'!$AH$2:$AH$26,'D-4b-Consolidated (Pivot)'!AJ61))</f>
        <v>.</v>
      </c>
    </row>
    <row r="62" spans="1:41" x14ac:dyDescent="0.25">
      <c r="A62">
        <f t="shared" si="17"/>
        <v>0</v>
      </c>
      <c r="B62">
        <f t="shared" si="18"/>
        <v>0</v>
      </c>
      <c r="C62">
        <f t="shared" si="19"/>
        <v>0</v>
      </c>
      <c r="D62">
        <f t="shared" si="20"/>
        <v>0</v>
      </c>
      <c r="E62">
        <f t="shared" si="21"/>
        <v>0</v>
      </c>
      <c r="F62">
        <f>'D-RepLevel'!$F$2</f>
        <v>0</v>
      </c>
      <c r="G62">
        <f>'D-RepLevel'!$G$2</f>
        <v>0</v>
      </c>
      <c r="H62">
        <f t="shared" si="22"/>
        <v>0</v>
      </c>
      <c r="I62" t="str">
        <f>IF(ISERROR(INDEX('1b'!$C$5:$C$21, MATCH("Primary Business Line", '1b'!$H$5:$H$21, FALSE), 1)), "None Selected", INDEX('1b'!$C$5:$C$21, MATCH("Primary Business Line", '1b'!$H$5:$H$21, FALSE), 1))</f>
        <v>None Selected</v>
      </c>
      <c r="J62">
        <f>'D-3'!$J$2</f>
        <v>0</v>
      </c>
      <c r="K62">
        <f>COUNTIF('4a'!$E$6:$E$29, "Direct")+COUNTIF('4a'!$E$6:$E$29, "Indirect")+COUNTIF('4a'!$E$6:$E$29, "Both")</f>
        <v>0</v>
      </c>
      <c r="L62">
        <f t="shared" si="23"/>
        <v>0</v>
      </c>
      <c r="M62">
        <f t="shared" si="24"/>
        <v>0</v>
      </c>
      <c r="N62">
        <f t="shared" si="25"/>
        <v>0</v>
      </c>
      <c r="O62">
        <f t="shared" si="26"/>
        <v>2015</v>
      </c>
      <c r="P62">
        <f t="shared" si="27"/>
        <v>0</v>
      </c>
      <c r="Q62">
        <f t="shared" si="28"/>
        <v>0</v>
      </c>
      <c r="R62">
        <f t="shared" si="29"/>
        <v>0</v>
      </c>
      <c r="S62">
        <f t="shared" si="30"/>
        <v>0</v>
      </c>
      <c r="T62">
        <f>COUNTIF('9a'!$K$22:$K$32, "Yes")+COUNTIF('9a'!$O$22:$O$32, "Yes")</f>
        <v>0</v>
      </c>
      <c r="U62" t="str">
        <f t="shared" si="31"/>
        <v>No Expenditures</v>
      </c>
      <c r="V62" t="str">
        <f t="shared" si="32"/>
        <v>No Expenditures</v>
      </c>
      <c r="W62">
        <f t="shared" si="33"/>
        <v>0</v>
      </c>
      <c r="X62" t="str">
        <f>'D-Risk'!$AO$25</f>
        <v>Insufficient Data</v>
      </c>
      <c r="Y62" t="str">
        <f>'D-Risk'!$AO$26</f>
        <v>Insufficient Data</v>
      </c>
      <c r="Z62" t="str">
        <f>'D-Risk'!$AO$27</f>
        <v>Uncalculated</v>
      </c>
      <c r="AA62">
        <v>61</v>
      </c>
      <c r="AB62" t="str">
        <f>IF(ISERROR(Lists!AK62), ".", Lists!AK62)</f>
        <v>.</v>
      </c>
      <c r="AC62" t="str">
        <f>IF(AB62&lt;&gt;".",INDEX('4b'!$B$11:$B$241,MATCH('D-4b-Consolidated (Pivot)'!$AB62,'4b'!$D$11:$D$241,FALSE),1), ".")</f>
        <v>.</v>
      </c>
      <c r="AD62" t="str">
        <f>IF(AC62&lt;&gt;".",INDEX('4b'!$C$11:$C$241,MATCH('D-4b-Consolidated (Pivot)'!$AB62,'4b'!$D$11:$D$241,FALSE),1), ".")</f>
        <v>.</v>
      </c>
      <c r="AE62" t="str">
        <f>IF(AD62&lt;&gt;".",INDEX('4b'!E$11:E$241,MATCH('D-4b-Consolidated (Pivot)'!$AB62,'4b'!$D$11:$D$241,FALSE),1), ".")</f>
        <v>.</v>
      </c>
      <c r="AF62" t="str">
        <f>IF(AE62&lt;&gt;".",INDEX('4b'!F$11:F$241,MATCH('D-4b-Consolidated (Pivot)'!$AB62,'4b'!$D$11:$D$241,FALSE),1), ".")</f>
        <v>.</v>
      </c>
      <c r="AG62" t="str">
        <f>IF(AF62&lt;&gt;".",INDEX('4b'!G$11:G$241,MATCH('D-4b-Consolidated (Pivot)'!$AB62,'4b'!$D$11:$D$241,FALSE),1), ".")</f>
        <v>.</v>
      </c>
      <c r="AH62" t="str">
        <f>IF(AG62&lt;&gt;".",INDEX('4b'!H$11:H$241,MATCH('D-4b-Consolidated (Pivot)'!$AB62,'4b'!$D$11:$D$241,FALSE),1), ".")</f>
        <v>.</v>
      </c>
      <c r="AI62" t="str">
        <f>IF(AH62&lt;&gt;".",INDEX('4b'!I$11:I$241,MATCH('D-4b-Consolidated (Pivot)'!$AB62,'4b'!$D$11:$D$241,FALSE),1), ".")</f>
        <v>.</v>
      </c>
      <c r="AJ62" t="str">
        <f>IF(AI62&lt;&gt;".",INDEX('4b'!J$11:J$241,MATCH('D-4b-Consolidated (Pivot)'!$AB62,'4b'!$D$11:$D$241,FALSE),1), ".")</f>
        <v>.</v>
      </c>
      <c r="AK62" t="str">
        <f>IF(OR(AF62=0, AF62="."),".",COUNTIF('D-5 (Pivot)'!$AH$2:$AH$26,'D-4b-Consolidated (Pivot)'!AF62))</f>
        <v>.</v>
      </c>
      <c r="AL62" t="str">
        <f>IF(OR(AG62=0, AG62="."),".",COUNTIF('D-5 (Pivot)'!$AH$2:$AH$26,'D-4b-Consolidated (Pivot)'!AG62))</f>
        <v>.</v>
      </c>
      <c r="AM62" t="str">
        <f>IF(OR(AH62=0, AH62="."),".",COUNTIF('D-5 (Pivot)'!$AH$2:$AH$26,'D-4b-Consolidated (Pivot)'!AH62))</f>
        <v>.</v>
      </c>
      <c r="AN62" t="str">
        <f>IF(OR(AI62=0, AI62="."),".",COUNTIF('D-5 (Pivot)'!$AH$2:$AH$26,'D-4b-Consolidated (Pivot)'!AI62))</f>
        <v>.</v>
      </c>
      <c r="AO62" t="str">
        <f>IF(OR(AJ62=0, AJ62="."),".",COUNTIF('D-5 (Pivot)'!$AH$2:$AH$26,'D-4b-Consolidated (Pivot)'!AJ62))</f>
        <v>.</v>
      </c>
    </row>
    <row r="63" spans="1:41" x14ac:dyDescent="0.25">
      <c r="A63">
        <f t="shared" si="17"/>
        <v>0</v>
      </c>
      <c r="B63">
        <f t="shared" si="18"/>
        <v>0</v>
      </c>
      <c r="C63">
        <f t="shared" si="19"/>
        <v>0</v>
      </c>
      <c r="D63">
        <f t="shared" si="20"/>
        <v>0</v>
      </c>
      <c r="E63">
        <f t="shared" si="21"/>
        <v>0</v>
      </c>
      <c r="F63">
        <f>'D-RepLevel'!$F$2</f>
        <v>0</v>
      </c>
      <c r="G63">
        <f>'D-RepLevel'!$G$2</f>
        <v>0</v>
      </c>
      <c r="H63">
        <f t="shared" si="22"/>
        <v>0</v>
      </c>
      <c r="I63" t="str">
        <f>IF(ISERROR(INDEX('1b'!$C$5:$C$21, MATCH("Primary Business Line", '1b'!$H$5:$H$21, FALSE), 1)), "None Selected", INDEX('1b'!$C$5:$C$21, MATCH("Primary Business Line", '1b'!$H$5:$H$21, FALSE), 1))</f>
        <v>None Selected</v>
      </c>
      <c r="J63">
        <f>'D-3'!$J$2</f>
        <v>0</v>
      </c>
      <c r="K63">
        <f>COUNTIF('4a'!$E$6:$E$29, "Direct")+COUNTIF('4a'!$E$6:$E$29, "Indirect")+COUNTIF('4a'!$E$6:$E$29, "Both")</f>
        <v>0</v>
      </c>
      <c r="L63">
        <f t="shared" si="23"/>
        <v>0</v>
      </c>
      <c r="M63">
        <f t="shared" si="24"/>
        <v>0</v>
      </c>
      <c r="N63">
        <f t="shared" si="25"/>
        <v>0</v>
      </c>
      <c r="O63">
        <f t="shared" si="26"/>
        <v>2015</v>
      </c>
      <c r="P63">
        <f t="shared" si="27"/>
        <v>0</v>
      </c>
      <c r="Q63">
        <f t="shared" si="28"/>
        <v>0</v>
      </c>
      <c r="R63">
        <f t="shared" si="29"/>
        <v>0</v>
      </c>
      <c r="S63">
        <f t="shared" si="30"/>
        <v>0</v>
      </c>
      <c r="T63">
        <f>COUNTIF('9a'!$K$22:$K$32, "Yes")+COUNTIF('9a'!$O$22:$O$32, "Yes")</f>
        <v>0</v>
      </c>
      <c r="U63" t="str">
        <f t="shared" si="31"/>
        <v>No Expenditures</v>
      </c>
      <c r="V63" t="str">
        <f t="shared" si="32"/>
        <v>No Expenditures</v>
      </c>
      <c r="W63">
        <f t="shared" si="33"/>
        <v>0</v>
      </c>
      <c r="X63" t="str">
        <f>'D-Risk'!$AO$25</f>
        <v>Insufficient Data</v>
      </c>
      <c r="Y63" t="str">
        <f>'D-Risk'!$AO$26</f>
        <v>Insufficient Data</v>
      </c>
      <c r="Z63" t="str">
        <f>'D-Risk'!$AO$27</f>
        <v>Uncalculated</v>
      </c>
      <c r="AA63">
        <v>62</v>
      </c>
      <c r="AB63" t="str">
        <f>IF(ISERROR(Lists!AK63), ".", Lists!AK63)</f>
        <v>.</v>
      </c>
      <c r="AC63" t="str">
        <f>IF(AB63&lt;&gt;".",INDEX('4b'!$B$11:$B$241,MATCH('D-4b-Consolidated (Pivot)'!$AB63,'4b'!$D$11:$D$241,FALSE),1), ".")</f>
        <v>.</v>
      </c>
      <c r="AD63" t="str">
        <f>IF(AC63&lt;&gt;".",INDEX('4b'!$C$11:$C$241,MATCH('D-4b-Consolidated (Pivot)'!$AB63,'4b'!$D$11:$D$241,FALSE),1), ".")</f>
        <v>.</v>
      </c>
      <c r="AE63" t="str">
        <f>IF(AD63&lt;&gt;".",INDEX('4b'!E$11:E$241,MATCH('D-4b-Consolidated (Pivot)'!$AB63,'4b'!$D$11:$D$241,FALSE),1), ".")</f>
        <v>.</v>
      </c>
      <c r="AF63" t="str">
        <f>IF(AE63&lt;&gt;".",INDEX('4b'!F$11:F$241,MATCH('D-4b-Consolidated (Pivot)'!$AB63,'4b'!$D$11:$D$241,FALSE),1), ".")</f>
        <v>.</v>
      </c>
      <c r="AG63" t="str">
        <f>IF(AF63&lt;&gt;".",INDEX('4b'!G$11:G$241,MATCH('D-4b-Consolidated (Pivot)'!$AB63,'4b'!$D$11:$D$241,FALSE),1), ".")</f>
        <v>.</v>
      </c>
      <c r="AH63" t="str">
        <f>IF(AG63&lt;&gt;".",INDEX('4b'!H$11:H$241,MATCH('D-4b-Consolidated (Pivot)'!$AB63,'4b'!$D$11:$D$241,FALSE),1), ".")</f>
        <v>.</v>
      </c>
      <c r="AI63" t="str">
        <f>IF(AH63&lt;&gt;".",INDEX('4b'!I$11:I$241,MATCH('D-4b-Consolidated (Pivot)'!$AB63,'4b'!$D$11:$D$241,FALSE),1), ".")</f>
        <v>.</v>
      </c>
      <c r="AJ63" t="str">
        <f>IF(AI63&lt;&gt;".",INDEX('4b'!J$11:J$241,MATCH('D-4b-Consolidated (Pivot)'!$AB63,'4b'!$D$11:$D$241,FALSE),1), ".")</f>
        <v>.</v>
      </c>
      <c r="AK63" t="str">
        <f>IF(OR(AF63=0, AF63="."),".",COUNTIF('D-5 (Pivot)'!$AH$2:$AH$26,'D-4b-Consolidated (Pivot)'!AF63))</f>
        <v>.</v>
      </c>
      <c r="AL63" t="str">
        <f>IF(OR(AG63=0, AG63="."),".",COUNTIF('D-5 (Pivot)'!$AH$2:$AH$26,'D-4b-Consolidated (Pivot)'!AG63))</f>
        <v>.</v>
      </c>
      <c r="AM63" t="str">
        <f>IF(OR(AH63=0, AH63="."),".",COUNTIF('D-5 (Pivot)'!$AH$2:$AH$26,'D-4b-Consolidated (Pivot)'!AH63))</f>
        <v>.</v>
      </c>
      <c r="AN63" t="str">
        <f>IF(OR(AI63=0, AI63="."),".",COUNTIF('D-5 (Pivot)'!$AH$2:$AH$26,'D-4b-Consolidated (Pivot)'!AI63))</f>
        <v>.</v>
      </c>
      <c r="AO63" t="str">
        <f>IF(OR(AJ63=0, AJ63="."),".",COUNTIF('D-5 (Pivot)'!$AH$2:$AH$26,'D-4b-Consolidated (Pivot)'!AJ63))</f>
        <v>.</v>
      </c>
    </row>
    <row r="64" spans="1:41" x14ac:dyDescent="0.25">
      <c r="A64">
        <f t="shared" si="17"/>
        <v>0</v>
      </c>
      <c r="B64">
        <f t="shared" si="18"/>
        <v>0</v>
      </c>
      <c r="C64">
        <f t="shared" si="19"/>
        <v>0</v>
      </c>
      <c r="D64">
        <f t="shared" si="20"/>
        <v>0</v>
      </c>
      <c r="E64">
        <f t="shared" si="21"/>
        <v>0</v>
      </c>
      <c r="F64">
        <f>'D-RepLevel'!$F$2</f>
        <v>0</v>
      </c>
      <c r="G64">
        <f>'D-RepLevel'!$G$2</f>
        <v>0</v>
      </c>
      <c r="H64">
        <f t="shared" si="22"/>
        <v>0</v>
      </c>
      <c r="I64" t="str">
        <f>IF(ISERROR(INDEX('1b'!$C$5:$C$21, MATCH("Primary Business Line", '1b'!$H$5:$H$21, FALSE), 1)), "None Selected", INDEX('1b'!$C$5:$C$21, MATCH("Primary Business Line", '1b'!$H$5:$H$21, FALSE), 1))</f>
        <v>None Selected</v>
      </c>
      <c r="J64">
        <f>'D-3'!$J$2</f>
        <v>0</v>
      </c>
      <c r="K64">
        <f>COUNTIF('4a'!$E$6:$E$29, "Direct")+COUNTIF('4a'!$E$6:$E$29, "Indirect")+COUNTIF('4a'!$E$6:$E$29, "Both")</f>
        <v>0</v>
      </c>
      <c r="L64">
        <f t="shared" si="23"/>
        <v>0</v>
      </c>
      <c r="M64">
        <f t="shared" si="24"/>
        <v>0</v>
      </c>
      <c r="N64">
        <f t="shared" si="25"/>
        <v>0</v>
      </c>
      <c r="O64">
        <f t="shared" si="26"/>
        <v>2015</v>
      </c>
      <c r="P64">
        <f t="shared" si="27"/>
        <v>0</v>
      </c>
      <c r="Q64">
        <f t="shared" si="28"/>
        <v>0</v>
      </c>
      <c r="R64">
        <f t="shared" si="29"/>
        <v>0</v>
      </c>
      <c r="S64">
        <f t="shared" si="30"/>
        <v>0</v>
      </c>
      <c r="T64">
        <f>COUNTIF('9a'!$K$22:$K$32, "Yes")+COUNTIF('9a'!$O$22:$O$32, "Yes")</f>
        <v>0</v>
      </c>
      <c r="U64" t="str">
        <f t="shared" si="31"/>
        <v>No Expenditures</v>
      </c>
      <c r="V64" t="str">
        <f t="shared" si="32"/>
        <v>No Expenditures</v>
      </c>
      <c r="W64">
        <f t="shared" si="33"/>
        <v>0</v>
      </c>
      <c r="X64" t="str">
        <f>'D-Risk'!$AO$25</f>
        <v>Insufficient Data</v>
      </c>
      <c r="Y64" t="str">
        <f>'D-Risk'!$AO$26</f>
        <v>Insufficient Data</v>
      </c>
      <c r="Z64" t="str">
        <f>'D-Risk'!$AO$27</f>
        <v>Uncalculated</v>
      </c>
      <c r="AA64">
        <v>63</v>
      </c>
      <c r="AB64" t="str">
        <f>IF(ISERROR(Lists!AK64), ".", Lists!AK64)</f>
        <v>.</v>
      </c>
      <c r="AC64" t="str">
        <f>IF(AB64&lt;&gt;".",INDEX('4b'!$B$11:$B$241,MATCH('D-4b-Consolidated (Pivot)'!$AB64,'4b'!$D$11:$D$241,FALSE),1), ".")</f>
        <v>.</v>
      </c>
      <c r="AD64" t="str">
        <f>IF(AC64&lt;&gt;".",INDEX('4b'!$C$11:$C$241,MATCH('D-4b-Consolidated (Pivot)'!$AB64,'4b'!$D$11:$D$241,FALSE),1), ".")</f>
        <v>.</v>
      </c>
      <c r="AE64" t="str">
        <f>IF(AD64&lt;&gt;".",INDEX('4b'!E$11:E$241,MATCH('D-4b-Consolidated (Pivot)'!$AB64,'4b'!$D$11:$D$241,FALSE),1), ".")</f>
        <v>.</v>
      </c>
      <c r="AF64" t="str">
        <f>IF(AE64&lt;&gt;".",INDEX('4b'!F$11:F$241,MATCH('D-4b-Consolidated (Pivot)'!$AB64,'4b'!$D$11:$D$241,FALSE),1), ".")</f>
        <v>.</v>
      </c>
      <c r="AG64" t="str">
        <f>IF(AF64&lt;&gt;".",INDEX('4b'!G$11:G$241,MATCH('D-4b-Consolidated (Pivot)'!$AB64,'4b'!$D$11:$D$241,FALSE),1), ".")</f>
        <v>.</v>
      </c>
      <c r="AH64" t="str">
        <f>IF(AG64&lt;&gt;".",INDEX('4b'!H$11:H$241,MATCH('D-4b-Consolidated (Pivot)'!$AB64,'4b'!$D$11:$D$241,FALSE),1), ".")</f>
        <v>.</v>
      </c>
      <c r="AI64" t="str">
        <f>IF(AH64&lt;&gt;".",INDEX('4b'!I$11:I$241,MATCH('D-4b-Consolidated (Pivot)'!$AB64,'4b'!$D$11:$D$241,FALSE),1), ".")</f>
        <v>.</v>
      </c>
      <c r="AJ64" t="str">
        <f>IF(AI64&lt;&gt;".",INDEX('4b'!J$11:J$241,MATCH('D-4b-Consolidated (Pivot)'!$AB64,'4b'!$D$11:$D$241,FALSE),1), ".")</f>
        <v>.</v>
      </c>
      <c r="AK64" t="str">
        <f>IF(OR(AF64=0, AF64="."),".",COUNTIF('D-5 (Pivot)'!$AH$2:$AH$26,'D-4b-Consolidated (Pivot)'!AF64))</f>
        <v>.</v>
      </c>
      <c r="AL64" t="str">
        <f>IF(OR(AG64=0, AG64="."),".",COUNTIF('D-5 (Pivot)'!$AH$2:$AH$26,'D-4b-Consolidated (Pivot)'!AG64))</f>
        <v>.</v>
      </c>
      <c r="AM64" t="str">
        <f>IF(OR(AH64=0, AH64="."),".",COUNTIF('D-5 (Pivot)'!$AH$2:$AH$26,'D-4b-Consolidated (Pivot)'!AH64))</f>
        <v>.</v>
      </c>
      <c r="AN64" t="str">
        <f>IF(OR(AI64=0, AI64="."),".",COUNTIF('D-5 (Pivot)'!$AH$2:$AH$26,'D-4b-Consolidated (Pivot)'!AI64))</f>
        <v>.</v>
      </c>
      <c r="AO64" t="str">
        <f>IF(OR(AJ64=0, AJ64="."),".",COUNTIF('D-5 (Pivot)'!$AH$2:$AH$26,'D-4b-Consolidated (Pivot)'!AJ64))</f>
        <v>.</v>
      </c>
    </row>
    <row r="65" spans="1:41" x14ac:dyDescent="0.25">
      <c r="A65">
        <f t="shared" si="17"/>
        <v>0</v>
      </c>
      <c r="B65">
        <f t="shared" si="18"/>
        <v>0</v>
      </c>
      <c r="C65">
        <f t="shared" si="19"/>
        <v>0</v>
      </c>
      <c r="D65">
        <f t="shared" si="20"/>
        <v>0</v>
      </c>
      <c r="E65">
        <f t="shared" si="21"/>
        <v>0</v>
      </c>
      <c r="F65">
        <f>'D-RepLevel'!$F$2</f>
        <v>0</v>
      </c>
      <c r="G65">
        <f>'D-RepLevel'!$G$2</f>
        <v>0</v>
      </c>
      <c r="H65">
        <f t="shared" si="22"/>
        <v>0</v>
      </c>
      <c r="I65" t="str">
        <f>IF(ISERROR(INDEX('1b'!$C$5:$C$21, MATCH("Primary Business Line", '1b'!$H$5:$H$21, FALSE), 1)), "None Selected", INDEX('1b'!$C$5:$C$21, MATCH("Primary Business Line", '1b'!$H$5:$H$21, FALSE), 1))</f>
        <v>None Selected</v>
      </c>
      <c r="J65">
        <f>'D-3'!$J$2</f>
        <v>0</v>
      </c>
      <c r="K65">
        <f>COUNTIF('4a'!$E$6:$E$29, "Direct")+COUNTIF('4a'!$E$6:$E$29, "Indirect")+COUNTIF('4a'!$E$6:$E$29, "Both")</f>
        <v>0</v>
      </c>
      <c r="L65">
        <f t="shared" si="23"/>
        <v>0</v>
      </c>
      <c r="M65">
        <f t="shared" si="24"/>
        <v>0</v>
      </c>
      <c r="N65">
        <f t="shared" si="25"/>
        <v>0</v>
      </c>
      <c r="O65">
        <f t="shared" si="26"/>
        <v>2015</v>
      </c>
      <c r="P65">
        <f t="shared" si="27"/>
        <v>0</v>
      </c>
      <c r="Q65">
        <f t="shared" si="28"/>
        <v>0</v>
      </c>
      <c r="R65">
        <f t="shared" si="29"/>
        <v>0</v>
      </c>
      <c r="S65">
        <f t="shared" si="30"/>
        <v>0</v>
      </c>
      <c r="T65">
        <f>COUNTIF('9a'!$K$22:$K$32, "Yes")+COUNTIF('9a'!$O$22:$O$32, "Yes")</f>
        <v>0</v>
      </c>
      <c r="U65" t="str">
        <f t="shared" si="31"/>
        <v>No Expenditures</v>
      </c>
      <c r="V65" t="str">
        <f t="shared" si="32"/>
        <v>No Expenditures</v>
      </c>
      <c r="W65">
        <f t="shared" si="33"/>
        <v>0</v>
      </c>
      <c r="X65" t="str">
        <f>'D-Risk'!$AO$25</f>
        <v>Insufficient Data</v>
      </c>
      <c r="Y65" t="str">
        <f>'D-Risk'!$AO$26</f>
        <v>Insufficient Data</v>
      </c>
      <c r="Z65" t="str">
        <f>'D-Risk'!$AO$27</f>
        <v>Uncalculated</v>
      </c>
      <c r="AA65">
        <v>64</v>
      </c>
      <c r="AB65" t="str">
        <f>IF(ISERROR(Lists!AK65), ".", Lists!AK65)</f>
        <v>.</v>
      </c>
      <c r="AC65" t="str">
        <f>IF(AB65&lt;&gt;".",INDEX('4b'!$B$11:$B$241,MATCH('D-4b-Consolidated (Pivot)'!$AB65,'4b'!$D$11:$D$241,FALSE),1), ".")</f>
        <v>.</v>
      </c>
      <c r="AD65" t="str">
        <f>IF(AC65&lt;&gt;".",INDEX('4b'!$C$11:$C$241,MATCH('D-4b-Consolidated (Pivot)'!$AB65,'4b'!$D$11:$D$241,FALSE),1), ".")</f>
        <v>.</v>
      </c>
      <c r="AE65" t="str">
        <f>IF(AD65&lt;&gt;".",INDEX('4b'!E$11:E$241,MATCH('D-4b-Consolidated (Pivot)'!$AB65,'4b'!$D$11:$D$241,FALSE),1), ".")</f>
        <v>.</v>
      </c>
      <c r="AF65" t="str">
        <f>IF(AE65&lt;&gt;".",INDEX('4b'!F$11:F$241,MATCH('D-4b-Consolidated (Pivot)'!$AB65,'4b'!$D$11:$D$241,FALSE),1), ".")</f>
        <v>.</v>
      </c>
      <c r="AG65" t="str">
        <f>IF(AF65&lt;&gt;".",INDEX('4b'!G$11:G$241,MATCH('D-4b-Consolidated (Pivot)'!$AB65,'4b'!$D$11:$D$241,FALSE),1), ".")</f>
        <v>.</v>
      </c>
      <c r="AH65" t="str">
        <f>IF(AG65&lt;&gt;".",INDEX('4b'!H$11:H$241,MATCH('D-4b-Consolidated (Pivot)'!$AB65,'4b'!$D$11:$D$241,FALSE),1), ".")</f>
        <v>.</v>
      </c>
      <c r="AI65" t="str">
        <f>IF(AH65&lt;&gt;".",INDEX('4b'!I$11:I$241,MATCH('D-4b-Consolidated (Pivot)'!$AB65,'4b'!$D$11:$D$241,FALSE),1), ".")</f>
        <v>.</v>
      </c>
      <c r="AJ65" t="str">
        <f>IF(AI65&lt;&gt;".",INDEX('4b'!J$11:J$241,MATCH('D-4b-Consolidated (Pivot)'!$AB65,'4b'!$D$11:$D$241,FALSE),1), ".")</f>
        <v>.</v>
      </c>
      <c r="AK65" t="str">
        <f>IF(OR(AF65=0, AF65="."),".",COUNTIF('D-5 (Pivot)'!$AH$2:$AH$26,'D-4b-Consolidated (Pivot)'!AF65))</f>
        <v>.</v>
      </c>
      <c r="AL65" t="str">
        <f>IF(OR(AG65=0, AG65="."),".",COUNTIF('D-5 (Pivot)'!$AH$2:$AH$26,'D-4b-Consolidated (Pivot)'!AG65))</f>
        <v>.</v>
      </c>
      <c r="AM65" t="str">
        <f>IF(OR(AH65=0, AH65="."),".",COUNTIF('D-5 (Pivot)'!$AH$2:$AH$26,'D-4b-Consolidated (Pivot)'!AH65))</f>
        <v>.</v>
      </c>
      <c r="AN65" t="str">
        <f>IF(OR(AI65=0, AI65="."),".",COUNTIF('D-5 (Pivot)'!$AH$2:$AH$26,'D-4b-Consolidated (Pivot)'!AI65))</f>
        <v>.</v>
      </c>
      <c r="AO65" t="str">
        <f>IF(OR(AJ65=0, AJ65="."),".",COUNTIF('D-5 (Pivot)'!$AH$2:$AH$26,'D-4b-Consolidated (Pivot)'!AJ65))</f>
        <v>.</v>
      </c>
    </row>
    <row r="66" spans="1:41" x14ac:dyDescent="0.25">
      <c r="A66">
        <f t="shared" ref="A66:A76" si="34">Q_RP_B_DSSCAGE_01</f>
        <v>0</v>
      </c>
      <c r="B66">
        <f t="shared" ref="B66:B76" si="35">Q1a_A_LocationName</f>
        <v>0</v>
      </c>
      <c r="C66">
        <f t="shared" ref="C66:C76" si="36">Q1a_A_LocOrgName</f>
        <v>0</v>
      </c>
      <c r="D66">
        <f t="shared" ref="D66:D76" si="37">Q1a_B_Parent1_Name</f>
        <v>0</v>
      </c>
      <c r="E66">
        <f t="shared" ref="E66:E76" si="38">Q_RP_A_MultiResponse</f>
        <v>0</v>
      </c>
      <c r="F66">
        <f>'D-RepLevel'!$F$2</f>
        <v>0</v>
      </c>
      <c r="G66">
        <f>'D-RepLevel'!$G$2</f>
        <v>0</v>
      </c>
      <c r="H66">
        <f t="shared" ref="H66:H76" si="39">Q1a_A_OnlyLoc_YN</f>
        <v>0</v>
      </c>
      <c r="I66" t="str">
        <f>IF(ISERROR(INDEX('1b'!$C$5:$C$21, MATCH("Primary Business Line", '1b'!$H$5:$H$21, FALSE), 1)), "None Selected", INDEX('1b'!$C$5:$C$21, MATCH("Primary Business Line", '1b'!$H$5:$H$21, FALSE), 1))</f>
        <v>None Selected</v>
      </c>
      <c r="J66">
        <f>'D-3'!$J$2</f>
        <v>0</v>
      </c>
      <c r="K66">
        <f>COUNTIF('4a'!$E$6:$E$29, "Direct")+COUNTIF('4a'!$E$6:$E$29, "Indirect")+COUNTIF('4a'!$E$6:$E$29, "Both")</f>
        <v>0</v>
      </c>
      <c r="L66">
        <f t="shared" ref="L66:L76" si="40">Q4b_A_NumUSGPrograms</f>
        <v>0</v>
      </c>
      <c r="M66">
        <f t="shared" ref="M66:M76" si="41">Q6_A_Employees_Year3</f>
        <v>0</v>
      </c>
      <c r="N66">
        <f t="shared" ref="N66:N76" si="42">Q6_B_Employee_H1B_Total+Q6_B_Employee_H2B_Total+Q6_B_Employee_F1_Total+Q6_B_Employee_GreenCard_Total+Q6_B_Employee_Other_Total</f>
        <v>0</v>
      </c>
      <c r="O66">
        <f t="shared" ref="O66:O76" si="43">Year3</f>
        <v>2015</v>
      </c>
      <c r="P66">
        <f t="shared" ref="P66:P76" si="44">Q7_A_TotalSales_US_Year3+Q7_A_TotalSales_NonUS_Year3</f>
        <v>0</v>
      </c>
      <c r="Q66">
        <f t="shared" ref="Q66:Q76" si="45">Q7_B_DefSales_US_Year3_Pct*Q7_A_TotalSales_US_Year3+Q7_B_DefSales_NonUS_Year3_Pct*Q7_A_TotalSales_NonUS_Year3</f>
        <v>0</v>
      </c>
      <c r="R66">
        <f t="shared" ref="R66:R76" si="46">Q9a_B_Physical_Year3</f>
        <v>0</v>
      </c>
      <c r="S66">
        <f t="shared" ref="S66:S76" si="47">Q9a_B_Cyber_Year3</f>
        <v>0</v>
      </c>
      <c r="T66">
        <f>COUNTIF('9a'!$K$22:$K$32, "Yes")+COUNTIF('9a'!$O$22:$O$32, "Yes")</f>
        <v>0</v>
      </c>
      <c r="U66" t="str">
        <f t="shared" ref="U66:U76" si="48">IF(Q12_OpEx_Year3=0, "No Expenditures", Q9b_A_PhysicalSpending_Year3/(Q12_OpEx_Year3))</f>
        <v>No Expenditures</v>
      </c>
      <c r="V66" t="str">
        <f t="shared" ref="V66:V76" si="49">IF(Q12_OpEx_Year3=0, "No Expenditures", Q9b_A_CyberSpending_Year3/(Q12_OpEx_Year3))</f>
        <v>No Expenditures</v>
      </c>
      <c r="W66">
        <f t="shared" ref="W66:W76" si="50">Q9b_C_Pct_CSI_External</f>
        <v>0</v>
      </c>
      <c r="X66" t="str">
        <f>'D-Risk'!$AO$25</f>
        <v>Insufficient Data</v>
      </c>
      <c r="Y66" t="str">
        <f>'D-Risk'!$AO$26</f>
        <v>Insufficient Data</v>
      </c>
      <c r="Z66" t="str">
        <f>'D-Risk'!$AO$27</f>
        <v>Uncalculated</v>
      </c>
      <c r="AA66">
        <v>65</v>
      </c>
      <c r="AB66" t="str">
        <f>IF(ISERROR(Lists!AK66), ".", Lists!AK66)</f>
        <v>.</v>
      </c>
      <c r="AC66" t="str">
        <f>IF(AB66&lt;&gt;".",INDEX('4b'!$B$11:$B$241,MATCH('D-4b-Consolidated (Pivot)'!$AB66,'4b'!$D$11:$D$241,FALSE),1), ".")</f>
        <v>.</v>
      </c>
      <c r="AD66" t="str">
        <f>IF(AC66&lt;&gt;".",INDEX('4b'!$C$11:$C$241,MATCH('D-4b-Consolidated (Pivot)'!$AB66,'4b'!$D$11:$D$241,FALSE),1), ".")</f>
        <v>.</v>
      </c>
      <c r="AE66" t="str">
        <f>IF(AD66&lt;&gt;".",INDEX('4b'!E$11:E$241,MATCH('D-4b-Consolidated (Pivot)'!$AB66,'4b'!$D$11:$D$241,FALSE),1), ".")</f>
        <v>.</v>
      </c>
      <c r="AF66" t="str">
        <f>IF(AE66&lt;&gt;".",INDEX('4b'!F$11:F$241,MATCH('D-4b-Consolidated (Pivot)'!$AB66,'4b'!$D$11:$D$241,FALSE),1), ".")</f>
        <v>.</v>
      </c>
      <c r="AG66" t="str">
        <f>IF(AF66&lt;&gt;".",INDEX('4b'!G$11:G$241,MATCH('D-4b-Consolidated (Pivot)'!$AB66,'4b'!$D$11:$D$241,FALSE),1), ".")</f>
        <v>.</v>
      </c>
      <c r="AH66" t="str">
        <f>IF(AG66&lt;&gt;".",INDEX('4b'!H$11:H$241,MATCH('D-4b-Consolidated (Pivot)'!$AB66,'4b'!$D$11:$D$241,FALSE),1), ".")</f>
        <v>.</v>
      </c>
      <c r="AI66" t="str">
        <f>IF(AH66&lt;&gt;".",INDEX('4b'!I$11:I$241,MATCH('D-4b-Consolidated (Pivot)'!$AB66,'4b'!$D$11:$D$241,FALSE),1), ".")</f>
        <v>.</v>
      </c>
      <c r="AJ66" t="str">
        <f>IF(AI66&lt;&gt;".",INDEX('4b'!J$11:J$241,MATCH('D-4b-Consolidated (Pivot)'!$AB66,'4b'!$D$11:$D$241,FALSE),1), ".")</f>
        <v>.</v>
      </c>
      <c r="AK66" t="str">
        <f>IF(OR(AF66=0, AF66="."),".",COUNTIF('D-5 (Pivot)'!$AH$2:$AH$26,'D-4b-Consolidated (Pivot)'!AF66))</f>
        <v>.</v>
      </c>
      <c r="AL66" t="str">
        <f>IF(OR(AG66=0, AG66="."),".",COUNTIF('D-5 (Pivot)'!$AH$2:$AH$26,'D-4b-Consolidated (Pivot)'!AG66))</f>
        <v>.</v>
      </c>
      <c r="AM66" t="str">
        <f>IF(OR(AH66=0, AH66="."),".",COUNTIF('D-5 (Pivot)'!$AH$2:$AH$26,'D-4b-Consolidated (Pivot)'!AH66))</f>
        <v>.</v>
      </c>
      <c r="AN66" t="str">
        <f>IF(OR(AI66=0, AI66="."),".",COUNTIF('D-5 (Pivot)'!$AH$2:$AH$26,'D-4b-Consolidated (Pivot)'!AI66))</f>
        <v>.</v>
      </c>
      <c r="AO66" t="str">
        <f>IF(OR(AJ66=0, AJ66="."),".",COUNTIF('D-5 (Pivot)'!$AH$2:$AH$26,'D-4b-Consolidated (Pivot)'!AJ66))</f>
        <v>.</v>
      </c>
    </row>
    <row r="67" spans="1:41" x14ac:dyDescent="0.25">
      <c r="A67">
        <f t="shared" si="34"/>
        <v>0</v>
      </c>
      <c r="B67">
        <f t="shared" si="35"/>
        <v>0</v>
      </c>
      <c r="C67">
        <f t="shared" si="36"/>
        <v>0</v>
      </c>
      <c r="D67">
        <f t="shared" si="37"/>
        <v>0</v>
      </c>
      <c r="E67">
        <f t="shared" si="38"/>
        <v>0</v>
      </c>
      <c r="F67">
        <f>'D-RepLevel'!$F$2</f>
        <v>0</v>
      </c>
      <c r="G67">
        <f>'D-RepLevel'!$G$2</f>
        <v>0</v>
      </c>
      <c r="H67">
        <f t="shared" si="39"/>
        <v>0</v>
      </c>
      <c r="I67" t="str">
        <f>IF(ISERROR(INDEX('1b'!$C$5:$C$21, MATCH("Primary Business Line", '1b'!$H$5:$H$21, FALSE), 1)), "None Selected", INDEX('1b'!$C$5:$C$21, MATCH("Primary Business Line", '1b'!$H$5:$H$21, FALSE), 1))</f>
        <v>None Selected</v>
      </c>
      <c r="J67">
        <f>'D-3'!$J$2</f>
        <v>0</v>
      </c>
      <c r="K67">
        <f>COUNTIF('4a'!$E$6:$E$29, "Direct")+COUNTIF('4a'!$E$6:$E$29, "Indirect")+COUNTIF('4a'!$E$6:$E$29, "Both")</f>
        <v>0</v>
      </c>
      <c r="L67">
        <f t="shared" si="40"/>
        <v>0</v>
      </c>
      <c r="M67">
        <f t="shared" si="41"/>
        <v>0</v>
      </c>
      <c r="N67">
        <f t="shared" si="42"/>
        <v>0</v>
      </c>
      <c r="O67">
        <f t="shared" si="43"/>
        <v>2015</v>
      </c>
      <c r="P67">
        <f t="shared" si="44"/>
        <v>0</v>
      </c>
      <c r="Q67">
        <f t="shared" si="45"/>
        <v>0</v>
      </c>
      <c r="R67">
        <f t="shared" si="46"/>
        <v>0</v>
      </c>
      <c r="S67">
        <f t="shared" si="47"/>
        <v>0</v>
      </c>
      <c r="T67">
        <f>COUNTIF('9a'!$K$22:$K$32, "Yes")+COUNTIF('9a'!$O$22:$O$32, "Yes")</f>
        <v>0</v>
      </c>
      <c r="U67" t="str">
        <f t="shared" si="48"/>
        <v>No Expenditures</v>
      </c>
      <c r="V67" t="str">
        <f t="shared" si="49"/>
        <v>No Expenditures</v>
      </c>
      <c r="W67">
        <f t="shared" si="50"/>
        <v>0</v>
      </c>
      <c r="X67" t="str">
        <f>'D-Risk'!$AO$25</f>
        <v>Insufficient Data</v>
      </c>
      <c r="Y67" t="str">
        <f>'D-Risk'!$AO$26</f>
        <v>Insufficient Data</v>
      </c>
      <c r="Z67" t="str">
        <f>'D-Risk'!$AO$27</f>
        <v>Uncalculated</v>
      </c>
      <c r="AA67">
        <v>66</v>
      </c>
      <c r="AB67" t="str">
        <f>IF(ISERROR(Lists!AK67), ".", Lists!AK67)</f>
        <v>.</v>
      </c>
      <c r="AC67" t="str">
        <f>IF(AB67&lt;&gt;".",INDEX('4b'!$B$11:$B$241,MATCH('D-4b-Consolidated (Pivot)'!$AB67,'4b'!$D$11:$D$241,FALSE),1), ".")</f>
        <v>.</v>
      </c>
      <c r="AD67" t="str">
        <f>IF(AC67&lt;&gt;".",INDEX('4b'!$C$11:$C$241,MATCH('D-4b-Consolidated (Pivot)'!$AB67,'4b'!$D$11:$D$241,FALSE),1), ".")</f>
        <v>.</v>
      </c>
      <c r="AE67" t="str">
        <f>IF(AD67&lt;&gt;".",INDEX('4b'!E$11:E$241,MATCH('D-4b-Consolidated (Pivot)'!$AB67,'4b'!$D$11:$D$241,FALSE),1), ".")</f>
        <v>.</v>
      </c>
      <c r="AF67" t="str">
        <f>IF(AE67&lt;&gt;".",INDEX('4b'!F$11:F$241,MATCH('D-4b-Consolidated (Pivot)'!$AB67,'4b'!$D$11:$D$241,FALSE),1), ".")</f>
        <v>.</v>
      </c>
      <c r="AG67" t="str">
        <f>IF(AF67&lt;&gt;".",INDEX('4b'!G$11:G$241,MATCH('D-4b-Consolidated (Pivot)'!$AB67,'4b'!$D$11:$D$241,FALSE),1), ".")</f>
        <v>.</v>
      </c>
      <c r="AH67" t="str">
        <f>IF(AG67&lt;&gt;".",INDEX('4b'!H$11:H$241,MATCH('D-4b-Consolidated (Pivot)'!$AB67,'4b'!$D$11:$D$241,FALSE),1), ".")</f>
        <v>.</v>
      </c>
      <c r="AI67" t="str">
        <f>IF(AH67&lt;&gt;".",INDEX('4b'!I$11:I$241,MATCH('D-4b-Consolidated (Pivot)'!$AB67,'4b'!$D$11:$D$241,FALSE),1), ".")</f>
        <v>.</v>
      </c>
      <c r="AJ67" t="str">
        <f>IF(AI67&lt;&gt;".",INDEX('4b'!J$11:J$241,MATCH('D-4b-Consolidated (Pivot)'!$AB67,'4b'!$D$11:$D$241,FALSE),1), ".")</f>
        <v>.</v>
      </c>
      <c r="AK67" t="str">
        <f>IF(OR(AF67=0, AF67="."),".",COUNTIF('D-5 (Pivot)'!$AH$2:$AH$26,'D-4b-Consolidated (Pivot)'!AF67))</f>
        <v>.</v>
      </c>
      <c r="AL67" t="str">
        <f>IF(OR(AG67=0, AG67="."),".",COUNTIF('D-5 (Pivot)'!$AH$2:$AH$26,'D-4b-Consolidated (Pivot)'!AG67))</f>
        <v>.</v>
      </c>
      <c r="AM67" t="str">
        <f>IF(OR(AH67=0, AH67="."),".",COUNTIF('D-5 (Pivot)'!$AH$2:$AH$26,'D-4b-Consolidated (Pivot)'!AH67))</f>
        <v>.</v>
      </c>
      <c r="AN67" t="str">
        <f>IF(OR(AI67=0, AI67="."),".",COUNTIF('D-5 (Pivot)'!$AH$2:$AH$26,'D-4b-Consolidated (Pivot)'!AI67))</f>
        <v>.</v>
      </c>
      <c r="AO67" t="str">
        <f>IF(OR(AJ67=0, AJ67="."),".",COUNTIF('D-5 (Pivot)'!$AH$2:$AH$26,'D-4b-Consolidated (Pivot)'!AJ67))</f>
        <v>.</v>
      </c>
    </row>
    <row r="68" spans="1:41" x14ac:dyDescent="0.25">
      <c r="A68">
        <f t="shared" si="34"/>
        <v>0</v>
      </c>
      <c r="B68">
        <f t="shared" si="35"/>
        <v>0</v>
      </c>
      <c r="C68">
        <f t="shared" si="36"/>
        <v>0</v>
      </c>
      <c r="D68">
        <f t="shared" si="37"/>
        <v>0</v>
      </c>
      <c r="E68">
        <f t="shared" si="38"/>
        <v>0</v>
      </c>
      <c r="F68">
        <f>'D-RepLevel'!$F$2</f>
        <v>0</v>
      </c>
      <c r="G68">
        <f>'D-RepLevel'!$G$2</f>
        <v>0</v>
      </c>
      <c r="H68">
        <f t="shared" si="39"/>
        <v>0</v>
      </c>
      <c r="I68" t="str">
        <f>IF(ISERROR(INDEX('1b'!$C$5:$C$21, MATCH("Primary Business Line", '1b'!$H$5:$H$21, FALSE), 1)), "None Selected", INDEX('1b'!$C$5:$C$21, MATCH("Primary Business Line", '1b'!$H$5:$H$21, FALSE), 1))</f>
        <v>None Selected</v>
      </c>
      <c r="J68">
        <f>'D-3'!$J$2</f>
        <v>0</v>
      </c>
      <c r="K68">
        <f>COUNTIF('4a'!$E$6:$E$29, "Direct")+COUNTIF('4a'!$E$6:$E$29, "Indirect")+COUNTIF('4a'!$E$6:$E$29, "Both")</f>
        <v>0</v>
      </c>
      <c r="L68">
        <f t="shared" si="40"/>
        <v>0</v>
      </c>
      <c r="M68">
        <f t="shared" si="41"/>
        <v>0</v>
      </c>
      <c r="N68">
        <f t="shared" si="42"/>
        <v>0</v>
      </c>
      <c r="O68">
        <f t="shared" si="43"/>
        <v>2015</v>
      </c>
      <c r="P68">
        <f t="shared" si="44"/>
        <v>0</v>
      </c>
      <c r="Q68">
        <f t="shared" si="45"/>
        <v>0</v>
      </c>
      <c r="R68">
        <f t="shared" si="46"/>
        <v>0</v>
      </c>
      <c r="S68">
        <f t="shared" si="47"/>
        <v>0</v>
      </c>
      <c r="T68">
        <f>COUNTIF('9a'!$K$22:$K$32, "Yes")+COUNTIF('9a'!$O$22:$O$32, "Yes")</f>
        <v>0</v>
      </c>
      <c r="U68" t="str">
        <f t="shared" si="48"/>
        <v>No Expenditures</v>
      </c>
      <c r="V68" t="str">
        <f t="shared" si="49"/>
        <v>No Expenditures</v>
      </c>
      <c r="W68">
        <f t="shared" si="50"/>
        <v>0</v>
      </c>
      <c r="X68" t="str">
        <f>'D-Risk'!$AO$25</f>
        <v>Insufficient Data</v>
      </c>
      <c r="Y68" t="str">
        <f>'D-Risk'!$AO$26</f>
        <v>Insufficient Data</v>
      </c>
      <c r="Z68" t="str">
        <f>'D-Risk'!$AO$27</f>
        <v>Uncalculated</v>
      </c>
      <c r="AA68">
        <v>67</v>
      </c>
      <c r="AB68" t="str">
        <f>IF(ISERROR(Lists!AK68), ".", Lists!AK68)</f>
        <v>.</v>
      </c>
      <c r="AC68" t="str">
        <f>IF(AB68&lt;&gt;".",INDEX('4b'!$B$11:$B$241,MATCH('D-4b-Consolidated (Pivot)'!$AB68,'4b'!$D$11:$D$241,FALSE),1), ".")</f>
        <v>.</v>
      </c>
      <c r="AD68" t="str">
        <f>IF(AC68&lt;&gt;".",INDEX('4b'!$C$11:$C$241,MATCH('D-4b-Consolidated (Pivot)'!$AB68,'4b'!$D$11:$D$241,FALSE),1), ".")</f>
        <v>.</v>
      </c>
      <c r="AE68" t="str">
        <f>IF(AD68&lt;&gt;".",INDEX('4b'!E$11:E$241,MATCH('D-4b-Consolidated (Pivot)'!$AB68,'4b'!$D$11:$D$241,FALSE),1), ".")</f>
        <v>.</v>
      </c>
      <c r="AF68" t="str">
        <f>IF(AE68&lt;&gt;".",INDEX('4b'!F$11:F$241,MATCH('D-4b-Consolidated (Pivot)'!$AB68,'4b'!$D$11:$D$241,FALSE),1), ".")</f>
        <v>.</v>
      </c>
      <c r="AG68" t="str">
        <f>IF(AF68&lt;&gt;".",INDEX('4b'!G$11:G$241,MATCH('D-4b-Consolidated (Pivot)'!$AB68,'4b'!$D$11:$D$241,FALSE),1), ".")</f>
        <v>.</v>
      </c>
      <c r="AH68" t="str">
        <f>IF(AG68&lt;&gt;".",INDEX('4b'!H$11:H$241,MATCH('D-4b-Consolidated (Pivot)'!$AB68,'4b'!$D$11:$D$241,FALSE),1), ".")</f>
        <v>.</v>
      </c>
      <c r="AI68" t="str">
        <f>IF(AH68&lt;&gt;".",INDEX('4b'!I$11:I$241,MATCH('D-4b-Consolidated (Pivot)'!$AB68,'4b'!$D$11:$D$241,FALSE),1), ".")</f>
        <v>.</v>
      </c>
      <c r="AJ68" t="str">
        <f>IF(AI68&lt;&gt;".",INDEX('4b'!J$11:J$241,MATCH('D-4b-Consolidated (Pivot)'!$AB68,'4b'!$D$11:$D$241,FALSE),1), ".")</f>
        <v>.</v>
      </c>
      <c r="AK68" t="str">
        <f>IF(OR(AF68=0, AF68="."),".",COUNTIF('D-5 (Pivot)'!$AH$2:$AH$26,'D-4b-Consolidated (Pivot)'!AF68))</f>
        <v>.</v>
      </c>
      <c r="AL68" t="str">
        <f>IF(OR(AG68=0, AG68="."),".",COUNTIF('D-5 (Pivot)'!$AH$2:$AH$26,'D-4b-Consolidated (Pivot)'!AG68))</f>
        <v>.</v>
      </c>
      <c r="AM68" t="str">
        <f>IF(OR(AH68=0, AH68="."),".",COUNTIF('D-5 (Pivot)'!$AH$2:$AH$26,'D-4b-Consolidated (Pivot)'!AH68))</f>
        <v>.</v>
      </c>
      <c r="AN68" t="str">
        <f>IF(OR(AI68=0, AI68="."),".",COUNTIF('D-5 (Pivot)'!$AH$2:$AH$26,'D-4b-Consolidated (Pivot)'!AI68))</f>
        <v>.</v>
      </c>
      <c r="AO68" t="str">
        <f>IF(OR(AJ68=0, AJ68="."),".",COUNTIF('D-5 (Pivot)'!$AH$2:$AH$26,'D-4b-Consolidated (Pivot)'!AJ68))</f>
        <v>.</v>
      </c>
    </row>
    <row r="69" spans="1:41" x14ac:dyDescent="0.25">
      <c r="A69">
        <f t="shared" si="34"/>
        <v>0</v>
      </c>
      <c r="B69">
        <f t="shared" si="35"/>
        <v>0</v>
      </c>
      <c r="C69">
        <f t="shared" si="36"/>
        <v>0</v>
      </c>
      <c r="D69">
        <f t="shared" si="37"/>
        <v>0</v>
      </c>
      <c r="E69">
        <f t="shared" si="38"/>
        <v>0</v>
      </c>
      <c r="F69">
        <f>'D-RepLevel'!$F$2</f>
        <v>0</v>
      </c>
      <c r="G69">
        <f>'D-RepLevel'!$G$2</f>
        <v>0</v>
      </c>
      <c r="H69">
        <f t="shared" si="39"/>
        <v>0</v>
      </c>
      <c r="I69" t="str">
        <f>IF(ISERROR(INDEX('1b'!$C$5:$C$21, MATCH("Primary Business Line", '1b'!$H$5:$H$21, FALSE), 1)), "None Selected", INDEX('1b'!$C$5:$C$21, MATCH("Primary Business Line", '1b'!$H$5:$H$21, FALSE), 1))</f>
        <v>None Selected</v>
      </c>
      <c r="J69">
        <f>'D-3'!$J$2</f>
        <v>0</v>
      </c>
      <c r="K69">
        <f>COUNTIF('4a'!$E$6:$E$29, "Direct")+COUNTIF('4a'!$E$6:$E$29, "Indirect")+COUNTIF('4a'!$E$6:$E$29, "Both")</f>
        <v>0</v>
      </c>
      <c r="L69">
        <f t="shared" si="40"/>
        <v>0</v>
      </c>
      <c r="M69">
        <f t="shared" si="41"/>
        <v>0</v>
      </c>
      <c r="N69">
        <f t="shared" si="42"/>
        <v>0</v>
      </c>
      <c r="O69">
        <f t="shared" si="43"/>
        <v>2015</v>
      </c>
      <c r="P69">
        <f t="shared" si="44"/>
        <v>0</v>
      </c>
      <c r="Q69">
        <f t="shared" si="45"/>
        <v>0</v>
      </c>
      <c r="R69">
        <f t="shared" si="46"/>
        <v>0</v>
      </c>
      <c r="S69">
        <f t="shared" si="47"/>
        <v>0</v>
      </c>
      <c r="T69">
        <f>COUNTIF('9a'!$K$22:$K$32, "Yes")+COUNTIF('9a'!$O$22:$O$32, "Yes")</f>
        <v>0</v>
      </c>
      <c r="U69" t="str">
        <f t="shared" si="48"/>
        <v>No Expenditures</v>
      </c>
      <c r="V69" t="str">
        <f t="shared" si="49"/>
        <v>No Expenditures</v>
      </c>
      <c r="W69">
        <f t="shared" si="50"/>
        <v>0</v>
      </c>
      <c r="X69" t="str">
        <f>'D-Risk'!$AO$25</f>
        <v>Insufficient Data</v>
      </c>
      <c r="Y69" t="str">
        <f>'D-Risk'!$AO$26</f>
        <v>Insufficient Data</v>
      </c>
      <c r="Z69" t="str">
        <f>'D-Risk'!$AO$27</f>
        <v>Uncalculated</v>
      </c>
      <c r="AA69">
        <v>68</v>
      </c>
      <c r="AB69" t="str">
        <f>IF(ISERROR(Lists!AK69), ".", Lists!AK69)</f>
        <v>.</v>
      </c>
      <c r="AC69" t="str">
        <f>IF(AB69&lt;&gt;".",INDEX('4b'!$B$11:$B$241,MATCH('D-4b-Consolidated (Pivot)'!$AB69,'4b'!$D$11:$D$241,FALSE),1), ".")</f>
        <v>.</v>
      </c>
      <c r="AD69" t="str">
        <f>IF(AC69&lt;&gt;".",INDEX('4b'!$C$11:$C$241,MATCH('D-4b-Consolidated (Pivot)'!$AB69,'4b'!$D$11:$D$241,FALSE),1), ".")</f>
        <v>.</v>
      </c>
      <c r="AE69" t="str">
        <f>IF(AD69&lt;&gt;".",INDEX('4b'!E$11:E$241,MATCH('D-4b-Consolidated (Pivot)'!$AB69,'4b'!$D$11:$D$241,FALSE),1), ".")</f>
        <v>.</v>
      </c>
      <c r="AF69" t="str">
        <f>IF(AE69&lt;&gt;".",INDEX('4b'!F$11:F$241,MATCH('D-4b-Consolidated (Pivot)'!$AB69,'4b'!$D$11:$D$241,FALSE),1), ".")</f>
        <v>.</v>
      </c>
      <c r="AG69" t="str">
        <f>IF(AF69&lt;&gt;".",INDEX('4b'!G$11:G$241,MATCH('D-4b-Consolidated (Pivot)'!$AB69,'4b'!$D$11:$D$241,FALSE),1), ".")</f>
        <v>.</v>
      </c>
      <c r="AH69" t="str">
        <f>IF(AG69&lt;&gt;".",INDEX('4b'!H$11:H$241,MATCH('D-4b-Consolidated (Pivot)'!$AB69,'4b'!$D$11:$D$241,FALSE),1), ".")</f>
        <v>.</v>
      </c>
      <c r="AI69" t="str">
        <f>IF(AH69&lt;&gt;".",INDEX('4b'!I$11:I$241,MATCH('D-4b-Consolidated (Pivot)'!$AB69,'4b'!$D$11:$D$241,FALSE),1), ".")</f>
        <v>.</v>
      </c>
      <c r="AJ69" t="str">
        <f>IF(AI69&lt;&gt;".",INDEX('4b'!J$11:J$241,MATCH('D-4b-Consolidated (Pivot)'!$AB69,'4b'!$D$11:$D$241,FALSE),1), ".")</f>
        <v>.</v>
      </c>
      <c r="AK69" t="str">
        <f>IF(OR(AF69=0, AF69="."),".",COUNTIF('D-5 (Pivot)'!$AH$2:$AH$26,'D-4b-Consolidated (Pivot)'!AF69))</f>
        <v>.</v>
      </c>
      <c r="AL69" t="str">
        <f>IF(OR(AG69=0, AG69="."),".",COUNTIF('D-5 (Pivot)'!$AH$2:$AH$26,'D-4b-Consolidated (Pivot)'!AG69))</f>
        <v>.</v>
      </c>
      <c r="AM69" t="str">
        <f>IF(OR(AH69=0, AH69="."),".",COUNTIF('D-5 (Pivot)'!$AH$2:$AH$26,'D-4b-Consolidated (Pivot)'!AH69))</f>
        <v>.</v>
      </c>
      <c r="AN69" t="str">
        <f>IF(OR(AI69=0, AI69="."),".",COUNTIF('D-5 (Pivot)'!$AH$2:$AH$26,'D-4b-Consolidated (Pivot)'!AI69))</f>
        <v>.</v>
      </c>
      <c r="AO69" t="str">
        <f>IF(OR(AJ69=0, AJ69="."),".",COUNTIF('D-5 (Pivot)'!$AH$2:$AH$26,'D-4b-Consolidated (Pivot)'!AJ69))</f>
        <v>.</v>
      </c>
    </row>
    <row r="70" spans="1:41" x14ac:dyDescent="0.25">
      <c r="A70">
        <f t="shared" si="34"/>
        <v>0</v>
      </c>
      <c r="B70">
        <f t="shared" si="35"/>
        <v>0</v>
      </c>
      <c r="C70">
        <f t="shared" si="36"/>
        <v>0</v>
      </c>
      <c r="D70">
        <f t="shared" si="37"/>
        <v>0</v>
      </c>
      <c r="E70">
        <f t="shared" si="38"/>
        <v>0</v>
      </c>
      <c r="F70">
        <f>'D-RepLevel'!$F$2</f>
        <v>0</v>
      </c>
      <c r="G70">
        <f>'D-RepLevel'!$G$2</f>
        <v>0</v>
      </c>
      <c r="H70">
        <f t="shared" si="39"/>
        <v>0</v>
      </c>
      <c r="I70" t="str">
        <f>IF(ISERROR(INDEX('1b'!$C$5:$C$21, MATCH("Primary Business Line", '1b'!$H$5:$H$21, FALSE), 1)), "None Selected", INDEX('1b'!$C$5:$C$21, MATCH("Primary Business Line", '1b'!$H$5:$H$21, FALSE), 1))</f>
        <v>None Selected</v>
      </c>
      <c r="J70">
        <f>'D-3'!$J$2</f>
        <v>0</v>
      </c>
      <c r="K70">
        <f>COUNTIF('4a'!$E$6:$E$29, "Direct")+COUNTIF('4a'!$E$6:$E$29, "Indirect")+COUNTIF('4a'!$E$6:$E$29, "Both")</f>
        <v>0</v>
      </c>
      <c r="L70">
        <f t="shared" si="40"/>
        <v>0</v>
      </c>
      <c r="M70">
        <f t="shared" si="41"/>
        <v>0</v>
      </c>
      <c r="N70">
        <f t="shared" si="42"/>
        <v>0</v>
      </c>
      <c r="O70">
        <f t="shared" si="43"/>
        <v>2015</v>
      </c>
      <c r="P70">
        <f t="shared" si="44"/>
        <v>0</v>
      </c>
      <c r="Q70">
        <f t="shared" si="45"/>
        <v>0</v>
      </c>
      <c r="R70">
        <f t="shared" si="46"/>
        <v>0</v>
      </c>
      <c r="S70">
        <f t="shared" si="47"/>
        <v>0</v>
      </c>
      <c r="T70">
        <f>COUNTIF('9a'!$K$22:$K$32, "Yes")+COUNTIF('9a'!$O$22:$O$32, "Yes")</f>
        <v>0</v>
      </c>
      <c r="U70" t="str">
        <f t="shared" si="48"/>
        <v>No Expenditures</v>
      </c>
      <c r="V70" t="str">
        <f t="shared" si="49"/>
        <v>No Expenditures</v>
      </c>
      <c r="W70">
        <f t="shared" si="50"/>
        <v>0</v>
      </c>
      <c r="X70" t="str">
        <f>'D-Risk'!$AO$25</f>
        <v>Insufficient Data</v>
      </c>
      <c r="Y70" t="str">
        <f>'D-Risk'!$AO$26</f>
        <v>Insufficient Data</v>
      </c>
      <c r="Z70" t="str">
        <f>'D-Risk'!$AO$27</f>
        <v>Uncalculated</v>
      </c>
      <c r="AA70">
        <v>69</v>
      </c>
      <c r="AB70" t="str">
        <f>IF(ISERROR(Lists!AK70), ".", Lists!AK70)</f>
        <v>.</v>
      </c>
      <c r="AC70" t="str">
        <f>IF(AB70&lt;&gt;".",INDEX('4b'!$B$11:$B$241,MATCH('D-4b-Consolidated (Pivot)'!$AB70,'4b'!$D$11:$D$241,FALSE),1), ".")</f>
        <v>.</v>
      </c>
      <c r="AD70" t="str">
        <f>IF(AC70&lt;&gt;".",INDEX('4b'!$C$11:$C$241,MATCH('D-4b-Consolidated (Pivot)'!$AB70,'4b'!$D$11:$D$241,FALSE),1), ".")</f>
        <v>.</v>
      </c>
      <c r="AE70" t="str">
        <f>IF(AD70&lt;&gt;".",INDEX('4b'!E$11:E$241,MATCH('D-4b-Consolidated (Pivot)'!$AB70,'4b'!$D$11:$D$241,FALSE),1), ".")</f>
        <v>.</v>
      </c>
      <c r="AF70" t="str">
        <f>IF(AE70&lt;&gt;".",INDEX('4b'!F$11:F$241,MATCH('D-4b-Consolidated (Pivot)'!$AB70,'4b'!$D$11:$D$241,FALSE),1), ".")</f>
        <v>.</v>
      </c>
      <c r="AG70" t="str">
        <f>IF(AF70&lt;&gt;".",INDEX('4b'!G$11:G$241,MATCH('D-4b-Consolidated (Pivot)'!$AB70,'4b'!$D$11:$D$241,FALSE),1), ".")</f>
        <v>.</v>
      </c>
      <c r="AH70" t="str">
        <f>IF(AG70&lt;&gt;".",INDEX('4b'!H$11:H$241,MATCH('D-4b-Consolidated (Pivot)'!$AB70,'4b'!$D$11:$D$241,FALSE),1), ".")</f>
        <v>.</v>
      </c>
      <c r="AI70" t="str">
        <f>IF(AH70&lt;&gt;".",INDEX('4b'!I$11:I$241,MATCH('D-4b-Consolidated (Pivot)'!$AB70,'4b'!$D$11:$D$241,FALSE),1), ".")</f>
        <v>.</v>
      </c>
      <c r="AJ70" t="str">
        <f>IF(AI70&lt;&gt;".",INDEX('4b'!J$11:J$241,MATCH('D-4b-Consolidated (Pivot)'!$AB70,'4b'!$D$11:$D$241,FALSE),1), ".")</f>
        <v>.</v>
      </c>
      <c r="AK70" t="str">
        <f>IF(OR(AF70=0, AF70="."),".",COUNTIF('D-5 (Pivot)'!$AH$2:$AH$26,'D-4b-Consolidated (Pivot)'!AF70))</f>
        <v>.</v>
      </c>
      <c r="AL70" t="str">
        <f>IF(OR(AG70=0, AG70="."),".",COUNTIF('D-5 (Pivot)'!$AH$2:$AH$26,'D-4b-Consolidated (Pivot)'!AG70))</f>
        <v>.</v>
      </c>
      <c r="AM70" t="str">
        <f>IF(OR(AH70=0, AH70="."),".",COUNTIF('D-5 (Pivot)'!$AH$2:$AH$26,'D-4b-Consolidated (Pivot)'!AH70))</f>
        <v>.</v>
      </c>
      <c r="AN70" t="str">
        <f>IF(OR(AI70=0, AI70="."),".",COUNTIF('D-5 (Pivot)'!$AH$2:$AH$26,'D-4b-Consolidated (Pivot)'!AI70))</f>
        <v>.</v>
      </c>
      <c r="AO70" t="str">
        <f>IF(OR(AJ70=0, AJ70="."),".",COUNTIF('D-5 (Pivot)'!$AH$2:$AH$26,'D-4b-Consolidated (Pivot)'!AJ70))</f>
        <v>.</v>
      </c>
    </row>
    <row r="71" spans="1:41" x14ac:dyDescent="0.25">
      <c r="A71">
        <f t="shared" si="34"/>
        <v>0</v>
      </c>
      <c r="B71">
        <f t="shared" si="35"/>
        <v>0</v>
      </c>
      <c r="C71">
        <f t="shared" si="36"/>
        <v>0</v>
      </c>
      <c r="D71">
        <f t="shared" si="37"/>
        <v>0</v>
      </c>
      <c r="E71">
        <f t="shared" si="38"/>
        <v>0</v>
      </c>
      <c r="F71">
        <f>'D-RepLevel'!$F$2</f>
        <v>0</v>
      </c>
      <c r="G71">
        <f>'D-RepLevel'!$G$2</f>
        <v>0</v>
      </c>
      <c r="H71">
        <f t="shared" si="39"/>
        <v>0</v>
      </c>
      <c r="I71" t="str">
        <f>IF(ISERROR(INDEX('1b'!$C$5:$C$21, MATCH("Primary Business Line", '1b'!$H$5:$H$21, FALSE), 1)), "None Selected", INDEX('1b'!$C$5:$C$21, MATCH("Primary Business Line", '1b'!$H$5:$H$21, FALSE), 1))</f>
        <v>None Selected</v>
      </c>
      <c r="J71">
        <f>'D-3'!$J$2</f>
        <v>0</v>
      </c>
      <c r="K71">
        <f>COUNTIF('4a'!$E$6:$E$29, "Direct")+COUNTIF('4a'!$E$6:$E$29, "Indirect")+COUNTIF('4a'!$E$6:$E$29, "Both")</f>
        <v>0</v>
      </c>
      <c r="L71">
        <f t="shared" si="40"/>
        <v>0</v>
      </c>
      <c r="M71">
        <f t="shared" si="41"/>
        <v>0</v>
      </c>
      <c r="N71">
        <f t="shared" si="42"/>
        <v>0</v>
      </c>
      <c r="O71">
        <f t="shared" si="43"/>
        <v>2015</v>
      </c>
      <c r="P71">
        <f t="shared" si="44"/>
        <v>0</v>
      </c>
      <c r="Q71">
        <f t="shared" si="45"/>
        <v>0</v>
      </c>
      <c r="R71">
        <f t="shared" si="46"/>
        <v>0</v>
      </c>
      <c r="S71">
        <f t="shared" si="47"/>
        <v>0</v>
      </c>
      <c r="T71">
        <f>COUNTIF('9a'!$K$22:$K$32, "Yes")+COUNTIF('9a'!$O$22:$O$32, "Yes")</f>
        <v>0</v>
      </c>
      <c r="U71" t="str">
        <f t="shared" si="48"/>
        <v>No Expenditures</v>
      </c>
      <c r="V71" t="str">
        <f t="shared" si="49"/>
        <v>No Expenditures</v>
      </c>
      <c r="W71">
        <f t="shared" si="50"/>
        <v>0</v>
      </c>
      <c r="X71" t="str">
        <f>'D-Risk'!$AO$25</f>
        <v>Insufficient Data</v>
      </c>
      <c r="Y71" t="str">
        <f>'D-Risk'!$AO$26</f>
        <v>Insufficient Data</v>
      </c>
      <c r="Z71" t="str">
        <f>'D-Risk'!$AO$27</f>
        <v>Uncalculated</v>
      </c>
      <c r="AA71">
        <v>70</v>
      </c>
      <c r="AB71" t="str">
        <f>IF(ISERROR(Lists!AK71), ".", Lists!AK71)</f>
        <v>.</v>
      </c>
      <c r="AC71" t="str">
        <f>IF(AB71&lt;&gt;".",INDEX('4b'!$B$11:$B$241,MATCH('D-4b-Consolidated (Pivot)'!$AB71,'4b'!$D$11:$D$241,FALSE),1), ".")</f>
        <v>.</v>
      </c>
      <c r="AD71" t="str">
        <f>IF(AC71&lt;&gt;".",INDEX('4b'!$C$11:$C$241,MATCH('D-4b-Consolidated (Pivot)'!$AB71,'4b'!$D$11:$D$241,FALSE),1), ".")</f>
        <v>.</v>
      </c>
      <c r="AE71" t="str">
        <f>IF(AD71&lt;&gt;".",INDEX('4b'!E$11:E$241,MATCH('D-4b-Consolidated (Pivot)'!$AB71,'4b'!$D$11:$D$241,FALSE),1), ".")</f>
        <v>.</v>
      </c>
      <c r="AF71" t="str">
        <f>IF(AE71&lt;&gt;".",INDEX('4b'!F$11:F$241,MATCH('D-4b-Consolidated (Pivot)'!$AB71,'4b'!$D$11:$D$241,FALSE),1), ".")</f>
        <v>.</v>
      </c>
      <c r="AG71" t="str">
        <f>IF(AF71&lt;&gt;".",INDEX('4b'!G$11:G$241,MATCH('D-4b-Consolidated (Pivot)'!$AB71,'4b'!$D$11:$D$241,FALSE),1), ".")</f>
        <v>.</v>
      </c>
      <c r="AH71" t="str">
        <f>IF(AG71&lt;&gt;".",INDEX('4b'!H$11:H$241,MATCH('D-4b-Consolidated (Pivot)'!$AB71,'4b'!$D$11:$D$241,FALSE),1), ".")</f>
        <v>.</v>
      </c>
      <c r="AI71" t="str">
        <f>IF(AH71&lt;&gt;".",INDEX('4b'!I$11:I$241,MATCH('D-4b-Consolidated (Pivot)'!$AB71,'4b'!$D$11:$D$241,FALSE),1), ".")</f>
        <v>.</v>
      </c>
      <c r="AJ71" t="str">
        <f>IF(AI71&lt;&gt;".",INDEX('4b'!J$11:J$241,MATCH('D-4b-Consolidated (Pivot)'!$AB71,'4b'!$D$11:$D$241,FALSE),1), ".")</f>
        <v>.</v>
      </c>
      <c r="AK71" t="str">
        <f>IF(OR(AF71=0, AF71="."),".",COUNTIF('D-5 (Pivot)'!$AH$2:$AH$26,'D-4b-Consolidated (Pivot)'!AF71))</f>
        <v>.</v>
      </c>
      <c r="AL71" t="str">
        <f>IF(OR(AG71=0, AG71="."),".",COUNTIF('D-5 (Pivot)'!$AH$2:$AH$26,'D-4b-Consolidated (Pivot)'!AG71))</f>
        <v>.</v>
      </c>
      <c r="AM71" t="str">
        <f>IF(OR(AH71=0, AH71="."),".",COUNTIF('D-5 (Pivot)'!$AH$2:$AH$26,'D-4b-Consolidated (Pivot)'!AH71))</f>
        <v>.</v>
      </c>
      <c r="AN71" t="str">
        <f>IF(OR(AI71=0, AI71="."),".",COUNTIF('D-5 (Pivot)'!$AH$2:$AH$26,'D-4b-Consolidated (Pivot)'!AI71))</f>
        <v>.</v>
      </c>
      <c r="AO71" t="str">
        <f>IF(OR(AJ71=0, AJ71="."),".",COUNTIF('D-5 (Pivot)'!$AH$2:$AH$26,'D-4b-Consolidated (Pivot)'!AJ71))</f>
        <v>.</v>
      </c>
    </row>
    <row r="72" spans="1:41" x14ac:dyDescent="0.25">
      <c r="A72">
        <f t="shared" si="34"/>
        <v>0</v>
      </c>
      <c r="B72">
        <f t="shared" si="35"/>
        <v>0</v>
      </c>
      <c r="C72">
        <f t="shared" si="36"/>
        <v>0</v>
      </c>
      <c r="D72">
        <f t="shared" si="37"/>
        <v>0</v>
      </c>
      <c r="E72">
        <f t="shared" si="38"/>
        <v>0</v>
      </c>
      <c r="F72">
        <f>'D-RepLevel'!$F$2</f>
        <v>0</v>
      </c>
      <c r="G72">
        <f>'D-RepLevel'!$G$2</f>
        <v>0</v>
      </c>
      <c r="H72">
        <f t="shared" si="39"/>
        <v>0</v>
      </c>
      <c r="I72" t="str">
        <f>IF(ISERROR(INDEX('1b'!$C$5:$C$21, MATCH("Primary Business Line", '1b'!$H$5:$H$21, FALSE), 1)), "None Selected", INDEX('1b'!$C$5:$C$21, MATCH("Primary Business Line", '1b'!$H$5:$H$21, FALSE), 1))</f>
        <v>None Selected</v>
      </c>
      <c r="J72">
        <f>'D-3'!$J$2</f>
        <v>0</v>
      </c>
      <c r="K72">
        <f>COUNTIF('4a'!$E$6:$E$29, "Direct")+COUNTIF('4a'!$E$6:$E$29, "Indirect")+COUNTIF('4a'!$E$6:$E$29, "Both")</f>
        <v>0</v>
      </c>
      <c r="L72">
        <f t="shared" si="40"/>
        <v>0</v>
      </c>
      <c r="M72">
        <f t="shared" si="41"/>
        <v>0</v>
      </c>
      <c r="N72">
        <f t="shared" si="42"/>
        <v>0</v>
      </c>
      <c r="O72">
        <f t="shared" si="43"/>
        <v>2015</v>
      </c>
      <c r="P72">
        <f t="shared" si="44"/>
        <v>0</v>
      </c>
      <c r="Q72">
        <f t="shared" si="45"/>
        <v>0</v>
      </c>
      <c r="R72">
        <f t="shared" si="46"/>
        <v>0</v>
      </c>
      <c r="S72">
        <f t="shared" si="47"/>
        <v>0</v>
      </c>
      <c r="T72">
        <f>COUNTIF('9a'!$K$22:$K$32, "Yes")+COUNTIF('9a'!$O$22:$O$32, "Yes")</f>
        <v>0</v>
      </c>
      <c r="U72" t="str">
        <f t="shared" si="48"/>
        <v>No Expenditures</v>
      </c>
      <c r="V72" t="str">
        <f t="shared" si="49"/>
        <v>No Expenditures</v>
      </c>
      <c r="W72">
        <f t="shared" si="50"/>
        <v>0</v>
      </c>
      <c r="X72" t="str">
        <f>'D-Risk'!$AO$25</f>
        <v>Insufficient Data</v>
      </c>
      <c r="Y72" t="str">
        <f>'D-Risk'!$AO$26</f>
        <v>Insufficient Data</v>
      </c>
      <c r="Z72" t="str">
        <f>'D-Risk'!$AO$27</f>
        <v>Uncalculated</v>
      </c>
      <c r="AA72">
        <v>71</v>
      </c>
      <c r="AB72" t="str">
        <f>IF(ISERROR(Lists!AK72), ".", Lists!AK72)</f>
        <v>.</v>
      </c>
      <c r="AC72" t="str">
        <f>IF(AB72&lt;&gt;".",INDEX('4b'!$B$11:$B$241,MATCH('D-4b-Consolidated (Pivot)'!$AB72,'4b'!$D$11:$D$241,FALSE),1), ".")</f>
        <v>.</v>
      </c>
      <c r="AD72" t="str">
        <f>IF(AC72&lt;&gt;".",INDEX('4b'!$C$11:$C$241,MATCH('D-4b-Consolidated (Pivot)'!$AB72,'4b'!$D$11:$D$241,FALSE),1), ".")</f>
        <v>.</v>
      </c>
      <c r="AE72" t="str">
        <f>IF(AD72&lt;&gt;".",INDEX('4b'!E$11:E$241,MATCH('D-4b-Consolidated (Pivot)'!$AB72,'4b'!$D$11:$D$241,FALSE),1), ".")</f>
        <v>.</v>
      </c>
      <c r="AF72" t="str">
        <f>IF(AE72&lt;&gt;".",INDEX('4b'!F$11:F$241,MATCH('D-4b-Consolidated (Pivot)'!$AB72,'4b'!$D$11:$D$241,FALSE),1), ".")</f>
        <v>.</v>
      </c>
      <c r="AG72" t="str">
        <f>IF(AF72&lt;&gt;".",INDEX('4b'!G$11:G$241,MATCH('D-4b-Consolidated (Pivot)'!$AB72,'4b'!$D$11:$D$241,FALSE),1), ".")</f>
        <v>.</v>
      </c>
      <c r="AH72" t="str">
        <f>IF(AG72&lt;&gt;".",INDEX('4b'!H$11:H$241,MATCH('D-4b-Consolidated (Pivot)'!$AB72,'4b'!$D$11:$D$241,FALSE),1), ".")</f>
        <v>.</v>
      </c>
      <c r="AI72" t="str">
        <f>IF(AH72&lt;&gt;".",INDEX('4b'!I$11:I$241,MATCH('D-4b-Consolidated (Pivot)'!$AB72,'4b'!$D$11:$D$241,FALSE),1), ".")</f>
        <v>.</v>
      </c>
      <c r="AJ72" t="str">
        <f>IF(AI72&lt;&gt;".",INDEX('4b'!J$11:J$241,MATCH('D-4b-Consolidated (Pivot)'!$AB72,'4b'!$D$11:$D$241,FALSE),1), ".")</f>
        <v>.</v>
      </c>
      <c r="AK72" t="str">
        <f>IF(OR(AF72=0, AF72="."),".",COUNTIF('D-5 (Pivot)'!$AH$2:$AH$26,'D-4b-Consolidated (Pivot)'!AF72))</f>
        <v>.</v>
      </c>
      <c r="AL72" t="str">
        <f>IF(OR(AG72=0, AG72="."),".",COUNTIF('D-5 (Pivot)'!$AH$2:$AH$26,'D-4b-Consolidated (Pivot)'!AG72))</f>
        <v>.</v>
      </c>
      <c r="AM72" t="str">
        <f>IF(OR(AH72=0, AH72="."),".",COUNTIF('D-5 (Pivot)'!$AH$2:$AH$26,'D-4b-Consolidated (Pivot)'!AH72))</f>
        <v>.</v>
      </c>
      <c r="AN72" t="str">
        <f>IF(OR(AI72=0, AI72="."),".",COUNTIF('D-5 (Pivot)'!$AH$2:$AH$26,'D-4b-Consolidated (Pivot)'!AI72))</f>
        <v>.</v>
      </c>
      <c r="AO72" t="str">
        <f>IF(OR(AJ72=0, AJ72="."),".",COUNTIF('D-5 (Pivot)'!$AH$2:$AH$26,'D-4b-Consolidated (Pivot)'!AJ72))</f>
        <v>.</v>
      </c>
    </row>
    <row r="73" spans="1:41" x14ac:dyDescent="0.25">
      <c r="A73">
        <f t="shared" si="34"/>
        <v>0</v>
      </c>
      <c r="B73">
        <f t="shared" si="35"/>
        <v>0</v>
      </c>
      <c r="C73">
        <f t="shared" si="36"/>
        <v>0</v>
      </c>
      <c r="D73">
        <f t="shared" si="37"/>
        <v>0</v>
      </c>
      <c r="E73">
        <f t="shared" si="38"/>
        <v>0</v>
      </c>
      <c r="F73">
        <f>'D-RepLevel'!$F$2</f>
        <v>0</v>
      </c>
      <c r="G73">
        <f>'D-RepLevel'!$G$2</f>
        <v>0</v>
      </c>
      <c r="H73">
        <f t="shared" si="39"/>
        <v>0</v>
      </c>
      <c r="I73" t="str">
        <f>IF(ISERROR(INDEX('1b'!$C$5:$C$21, MATCH("Primary Business Line", '1b'!$H$5:$H$21, FALSE), 1)), "None Selected", INDEX('1b'!$C$5:$C$21, MATCH("Primary Business Line", '1b'!$H$5:$H$21, FALSE), 1))</f>
        <v>None Selected</v>
      </c>
      <c r="J73">
        <f>'D-3'!$J$2</f>
        <v>0</v>
      </c>
      <c r="K73">
        <f>COUNTIF('4a'!$E$6:$E$29, "Direct")+COUNTIF('4a'!$E$6:$E$29, "Indirect")+COUNTIF('4a'!$E$6:$E$29, "Both")</f>
        <v>0</v>
      </c>
      <c r="L73">
        <f t="shared" si="40"/>
        <v>0</v>
      </c>
      <c r="M73">
        <f t="shared" si="41"/>
        <v>0</v>
      </c>
      <c r="N73">
        <f t="shared" si="42"/>
        <v>0</v>
      </c>
      <c r="O73">
        <f t="shared" si="43"/>
        <v>2015</v>
      </c>
      <c r="P73">
        <f t="shared" si="44"/>
        <v>0</v>
      </c>
      <c r="Q73">
        <f t="shared" si="45"/>
        <v>0</v>
      </c>
      <c r="R73">
        <f t="shared" si="46"/>
        <v>0</v>
      </c>
      <c r="S73">
        <f t="shared" si="47"/>
        <v>0</v>
      </c>
      <c r="T73">
        <f>COUNTIF('9a'!$K$22:$K$32, "Yes")+COUNTIF('9a'!$O$22:$O$32, "Yes")</f>
        <v>0</v>
      </c>
      <c r="U73" t="str">
        <f t="shared" si="48"/>
        <v>No Expenditures</v>
      </c>
      <c r="V73" t="str">
        <f t="shared" si="49"/>
        <v>No Expenditures</v>
      </c>
      <c r="W73">
        <f t="shared" si="50"/>
        <v>0</v>
      </c>
      <c r="X73" t="str">
        <f>'D-Risk'!$AO$25</f>
        <v>Insufficient Data</v>
      </c>
      <c r="Y73" t="str">
        <f>'D-Risk'!$AO$26</f>
        <v>Insufficient Data</v>
      </c>
      <c r="Z73" t="str">
        <f>'D-Risk'!$AO$27</f>
        <v>Uncalculated</v>
      </c>
      <c r="AA73">
        <v>72</v>
      </c>
      <c r="AB73" t="str">
        <f>IF(ISERROR(Lists!AK73), ".", Lists!AK73)</f>
        <v>.</v>
      </c>
      <c r="AC73" t="str">
        <f>IF(AB73&lt;&gt;".",INDEX('4b'!$B$11:$B$241,MATCH('D-4b-Consolidated (Pivot)'!$AB73,'4b'!$D$11:$D$241,FALSE),1), ".")</f>
        <v>.</v>
      </c>
      <c r="AD73" t="str">
        <f>IF(AC73&lt;&gt;".",INDEX('4b'!$C$11:$C$241,MATCH('D-4b-Consolidated (Pivot)'!$AB73,'4b'!$D$11:$D$241,FALSE),1), ".")</f>
        <v>.</v>
      </c>
      <c r="AE73" t="str">
        <f>IF(AD73&lt;&gt;".",INDEX('4b'!E$11:E$241,MATCH('D-4b-Consolidated (Pivot)'!$AB73,'4b'!$D$11:$D$241,FALSE),1), ".")</f>
        <v>.</v>
      </c>
      <c r="AF73" t="str">
        <f>IF(AE73&lt;&gt;".",INDEX('4b'!F$11:F$241,MATCH('D-4b-Consolidated (Pivot)'!$AB73,'4b'!$D$11:$D$241,FALSE),1), ".")</f>
        <v>.</v>
      </c>
      <c r="AG73" t="str">
        <f>IF(AF73&lt;&gt;".",INDEX('4b'!G$11:G$241,MATCH('D-4b-Consolidated (Pivot)'!$AB73,'4b'!$D$11:$D$241,FALSE),1), ".")</f>
        <v>.</v>
      </c>
      <c r="AH73" t="str">
        <f>IF(AG73&lt;&gt;".",INDEX('4b'!H$11:H$241,MATCH('D-4b-Consolidated (Pivot)'!$AB73,'4b'!$D$11:$D$241,FALSE),1), ".")</f>
        <v>.</v>
      </c>
      <c r="AI73" t="str">
        <f>IF(AH73&lt;&gt;".",INDEX('4b'!I$11:I$241,MATCH('D-4b-Consolidated (Pivot)'!$AB73,'4b'!$D$11:$D$241,FALSE),1), ".")</f>
        <v>.</v>
      </c>
      <c r="AJ73" t="str">
        <f>IF(AI73&lt;&gt;".",INDEX('4b'!J$11:J$241,MATCH('D-4b-Consolidated (Pivot)'!$AB73,'4b'!$D$11:$D$241,FALSE),1), ".")</f>
        <v>.</v>
      </c>
      <c r="AK73" t="str">
        <f>IF(OR(AF73=0, AF73="."),".",COUNTIF('D-5 (Pivot)'!$AH$2:$AH$26,'D-4b-Consolidated (Pivot)'!AF73))</f>
        <v>.</v>
      </c>
      <c r="AL73" t="str">
        <f>IF(OR(AG73=0, AG73="."),".",COUNTIF('D-5 (Pivot)'!$AH$2:$AH$26,'D-4b-Consolidated (Pivot)'!AG73))</f>
        <v>.</v>
      </c>
      <c r="AM73" t="str">
        <f>IF(OR(AH73=0, AH73="."),".",COUNTIF('D-5 (Pivot)'!$AH$2:$AH$26,'D-4b-Consolidated (Pivot)'!AH73))</f>
        <v>.</v>
      </c>
      <c r="AN73" t="str">
        <f>IF(OR(AI73=0, AI73="."),".",COUNTIF('D-5 (Pivot)'!$AH$2:$AH$26,'D-4b-Consolidated (Pivot)'!AI73))</f>
        <v>.</v>
      </c>
      <c r="AO73" t="str">
        <f>IF(OR(AJ73=0, AJ73="."),".",COUNTIF('D-5 (Pivot)'!$AH$2:$AH$26,'D-4b-Consolidated (Pivot)'!AJ73))</f>
        <v>.</v>
      </c>
    </row>
    <row r="74" spans="1:41" x14ac:dyDescent="0.25">
      <c r="A74">
        <f t="shared" si="34"/>
        <v>0</v>
      </c>
      <c r="B74">
        <f t="shared" si="35"/>
        <v>0</v>
      </c>
      <c r="C74">
        <f t="shared" si="36"/>
        <v>0</v>
      </c>
      <c r="D74">
        <f t="shared" si="37"/>
        <v>0</v>
      </c>
      <c r="E74">
        <f t="shared" si="38"/>
        <v>0</v>
      </c>
      <c r="F74">
        <f>'D-RepLevel'!$F$2</f>
        <v>0</v>
      </c>
      <c r="G74">
        <f>'D-RepLevel'!$G$2</f>
        <v>0</v>
      </c>
      <c r="H74">
        <f t="shared" si="39"/>
        <v>0</v>
      </c>
      <c r="I74" t="str">
        <f>IF(ISERROR(INDEX('1b'!$C$5:$C$21, MATCH("Primary Business Line", '1b'!$H$5:$H$21, FALSE), 1)), "None Selected", INDEX('1b'!$C$5:$C$21, MATCH("Primary Business Line", '1b'!$H$5:$H$21, FALSE), 1))</f>
        <v>None Selected</v>
      </c>
      <c r="J74">
        <f>'D-3'!$J$2</f>
        <v>0</v>
      </c>
      <c r="K74">
        <f>COUNTIF('4a'!$E$6:$E$29, "Direct")+COUNTIF('4a'!$E$6:$E$29, "Indirect")+COUNTIF('4a'!$E$6:$E$29, "Both")</f>
        <v>0</v>
      </c>
      <c r="L74">
        <f t="shared" si="40"/>
        <v>0</v>
      </c>
      <c r="M74">
        <f t="shared" si="41"/>
        <v>0</v>
      </c>
      <c r="N74">
        <f t="shared" si="42"/>
        <v>0</v>
      </c>
      <c r="O74">
        <f t="shared" si="43"/>
        <v>2015</v>
      </c>
      <c r="P74">
        <f t="shared" si="44"/>
        <v>0</v>
      </c>
      <c r="Q74">
        <f t="shared" si="45"/>
        <v>0</v>
      </c>
      <c r="R74">
        <f t="shared" si="46"/>
        <v>0</v>
      </c>
      <c r="S74">
        <f t="shared" si="47"/>
        <v>0</v>
      </c>
      <c r="T74">
        <f>COUNTIF('9a'!$K$22:$K$32, "Yes")+COUNTIF('9a'!$O$22:$O$32, "Yes")</f>
        <v>0</v>
      </c>
      <c r="U74" t="str">
        <f t="shared" si="48"/>
        <v>No Expenditures</v>
      </c>
      <c r="V74" t="str">
        <f t="shared" si="49"/>
        <v>No Expenditures</v>
      </c>
      <c r="W74">
        <f t="shared" si="50"/>
        <v>0</v>
      </c>
      <c r="X74" t="str">
        <f>'D-Risk'!$AO$25</f>
        <v>Insufficient Data</v>
      </c>
      <c r="Y74" t="str">
        <f>'D-Risk'!$AO$26</f>
        <v>Insufficient Data</v>
      </c>
      <c r="Z74" t="str">
        <f>'D-Risk'!$AO$27</f>
        <v>Uncalculated</v>
      </c>
      <c r="AA74">
        <v>73</v>
      </c>
      <c r="AB74" t="str">
        <f>IF(ISERROR(Lists!AK74), ".", Lists!AK74)</f>
        <v>.</v>
      </c>
      <c r="AC74" t="str">
        <f>IF(AB74&lt;&gt;".",INDEX('4b'!$B$11:$B$241,MATCH('D-4b-Consolidated (Pivot)'!$AB74,'4b'!$D$11:$D$241,FALSE),1), ".")</f>
        <v>.</v>
      </c>
      <c r="AD74" t="str">
        <f>IF(AC74&lt;&gt;".",INDEX('4b'!$C$11:$C$241,MATCH('D-4b-Consolidated (Pivot)'!$AB74,'4b'!$D$11:$D$241,FALSE),1), ".")</f>
        <v>.</v>
      </c>
      <c r="AE74" t="str">
        <f>IF(AD74&lt;&gt;".",INDEX('4b'!E$11:E$241,MATCH('D-4b-Consolidated (Pivot)'!$AB74,'4b'!$D$11:$D$241,FALSE),1), ".")</f>
        <v>.</v>
      </c>
      <c r="AF74" t="str">
        <f>IF(AE74&lt;&gt;".",INDEX('4b'!F$11:F$241,MATCH('D-4b-Consolidated (Pivot)'!$AB74,'4b'!$D$11:$D$241,FALSE),1), ".")</f>
        <v>.</v>
      </c>
      <c r="AG74" t="str">
        <f>IF(AF74&lt;&gt;".",INDEX('4b'!G$11:G$241,MATCH('D-4b-Consolidated (Pivot)'!$AB74,'4b'!$D$11:$D$241,FALSE),1), ".")</f>
        <v>.</v>
      </c>
      <c r="AH74" t="str">
        <f>IF(AG74&lt;&gt;".",INDEX('4b'!H$11:H$241,MATCH('D-4b-Consolidated (Pivot)'!$AB74,'4b'!$D$11:$D$241,FALSE),1), ".")</f>
        <v>.</v>
      </c>
      <c r="AI74" t="str">
        <f>IF(AH74&lt;&gt;".",INDEX('4b'!I$11:I$241,MATCH('D-4b-Consolidated (Pivot)'!$AB74,'4b'!$D$11:$D$241,FALSE),1), ".")</f>
        <v>.</v>
      </c>
      <c r="AJ74" t="str">
        <f>IF(AI74&lt;&gt;".",INDEX('4b'!J$11:J$241,MATCH('D-4b-Consolidated (Pivot)'!$AB74,'4b'!$D$11:$D$241,FALSE),1), ".")</f>
        <v>.</v>
      </c>
      <c r="AK74" t="str">
        <f>IF(OR(AF74=0, AF74="."),".",COUNTIF('D-5 (Pivot)'!$AH$2:$AH$26,'D-4b-Consolidated (Pivot)'!AF74))</f>
        <v>.</v>
      </c>
      <c r="AL74" t="str">
        <f>IF(OR(AG74=0, AG74="."),".",COUNTIF('D-5 (Pivot)'!$AH$2:$AH$26,'D-4b-Consolidated (Pivot)'!AG74))</f>
        <v>.</v>
      </c>
      <c r="AM74" t="str">
        <f>IF(OR(AH74=0, AH74="."),".",COUNTIF('D-5 (Pivot)'!$AH$2:$AH$26,'D-4b-Consolidated (Pivot)'!AH74))</f>
        <v>.</v>
      </c>
      <c r="AN74" t="str">
        <f>IF(OR(AI74=0, AI74="."),".",COUNTIF('D-5 (Pivot)'!$AH$2:$AH$26,'D-4b-Consolidated (Pivot)'!AI74))</f>
        <v>.</v>
      </c>
      <c r="AO74" t="str">
        <f>IF(OR(AJ74=0, AJ74="."),".",COUNTIF('D-5 (Pivot)'!$AH$2:$AH$26,'D-4b-Consolidated (Pivot)'!AJ74))</f>
        <v>.</v>
      </c>
    </row>
    <row r="75" spans="1:41" x14ac:dyDescent="0.25">
      <c r="A75">
        <f t="shared" si="34"/>
        <v>0</v>
      </c>
      <c r="B75">
        <f t="shared" si="35"/>
        <v>0</v>
      </c>
      <c r="C75">
        <f t="shared" si="36"/>
        <v>0</v>
      </c>
      <c r="D75">
        <f t="shared" si="37"/>
        <v>0</v>
      </c>
      <c r="E75">
        <f t="shared" si="38"/>
        <v>0</v>
      </c>
      <c r="F75">
        <f>'D-RepLevel'!$F$2</f>
        <v>0</v>
      </c>
      <c r="G75">
        <f>'D-RepLevel'!$G$2</f>
        <v>0</v>
      </c>
      <c r="H75">
        <f t="shared" si="39"/>
        <v>0</v>
      </c>
      <c r="I75" t="str">
        <f>IF(ISERROR(INDEX('1b'!$C$5:$C$21, MATCH("Primary Business Line", '1b'!$H$5:$H$21, FALSE), 1)), "None Selected", INDEX('1b'!$C$5:$C$21, MATCH("Primary Business Line", '1b'!$H$5:$H$21, FALSE), 1))</f>
        <v>None Selected</v>
      </c>
      <c r="J75">
        <f>'D-3'!$J$2</f>
        <v>0</v>
      </c>
      <c r="K75">
        <f>COUNTIF('4a'!$E$6:$E$29, "Direct")+COUNTIF('4a'!$E$6:$E$29, "Indirect")+COUNTIF('4a'!$E$6:$E$29, "Both")</f>
        <v>0</v>
      </c>
      <c r="L75">
        <f t="shared" si="40"/>
        <v>0</v>
      </c>
      <c r="M75">
        <f t="shared" si="41"/>
        <v>0</v>
      </c>
      <c r="N75">
        <f t="shared" si="42"/>
        <v>0</v>
      </c>
      <c r="O75">
        <f t="shared" si="43"/>
        <v>2015</v>
      </c>
      <c r="P75">
        <f t="shared" si="44"/>
        <v>0</v>
      </c>
      <c r="Q75">
        <f t="shared" si="45"/>
        <v>0</v>
      </c>
      <c r="R75">
        <f t="shared" si="46"/>
        <v>0</v>
      </c>
      <c r="S75">
        <f t="shared" si="47"/>
        <v>0</v>
      </c>
      <c r="T75">
        <f>COUNTIF('9a'!$K$22:$K$32, "Yes")+COUNTIF('9a'!$O$22:$O$32, "Yes")</f>
        <v>0</v>
      </c>
      <c r="U75" t="str">
        <f t="shared" si="48"/>
        <v>No Expenditures</v>
      </c>
      <c r="V75" t="str">
        <f t="shared" si="49"/>
        <v>No Expenditures</v>
      </c>
      <c r="W75">
        <f t="shared" si="50"/>
        <v>0</v>
      </c>
      <c r="X75" t="str">
        <f>'D-Risk'!$AO$25</f>
        <v>Insufficient Data</v>
      </c>
      <c r="Y75" t="str">
        <f>'D-Risk'!$AO$26</f>
        <v>Insufficient Data</v>
      </c>
      <c r="Z75" t="str">
        <f>'D-Risk'!$AO$27</f>
        <v>Uncalculated</v>
      </c>
      <c r="AA75">
        <v>74</v>
      </c>
      <c r="AB75" t="str">
        <f>IF(ISERROR(Lists!AK75), ".", Lists!AK75)</f>
        <v>.</v>
      </c>
      <c r="AC75" t="str">
        <f>IF(AB75&lt;&gt;".",INDEX('4b'!$B$11:$B$241,MATCH('D-4b-Consolidated (Pivot)'!$AB75,'4b'!$D$11:$D$241,FALSE),1), ".")</f>
        <v>.</v>
      </c>
      <c r="AD75" t="str">
        <f>IF(AC75&lt;&gt;".",INDEX('4b'!$C$11:$C$241,MATCH('D-4b-Consolidated (Pivot)'!$AB75,'4b'!$D$11:$D$241,FALSE),1), ".")</f>
        <v>.</v>
      </c>
      <c r="AE75" t="str">
        <f>IF(AD75&lt;&gt;".",INDEX('4b'!E$11:E$241,MATCH('D-4b-Consolidated (Pivot)'!$AB75,'4b'!$D$11:$D$241,FALSE),1), ".")</f>
        <v>.</v>
      </c>
      <c r="AF75" t="str">
        <f>IF(AE75&lt;&gt;".",INDEX('4b'!F$11:F$241,MATCH('D-4b-Consolidated (Pivot)'!$AB75,'4b'!$D$11:$D$241,FALSE),1), ".")</f>
        <v>.</v>
      </c>
      <c r="AG75" t="str">
        <f>IF(AF75&lt;&gt;".",INDEX('4b'!G$11:G$241,MATCH('D-4b-Consolidated (Pivot)'!$AB75,'4b'!$D$11:$D$241,FALSE),1), ".")</f>
        <v>.</v>
      </c>
      <c r="AH75" t="str">
        <f>IF(AG75&lt;&gt;".",INDEX('4b'!H$11:H$241,MATCH('D-4b-Consolidated (Pivot)'!$AB75,'4b'!$D$11:$D$241,FALSE),1), ".")</f>
        <v>.</v>
      </c>
      <c r="AI75" t="str">
        <f>IF(AH75&lt;&gt;".",INDEX('4b'!I$11:I$241,MATCH('D-4b-Consolidated (Pivot)'!$AB75,'4b'!$D$11:$D$241,FALSE),1), ".")</f>
        <v>.</v>
      </c>
      <c r="AJ75" t="str">
        <f>IF(AI75&lt;&gt;".",INDEX('4b'!J$11:J$241,MATCH('D-4b-Consolidated (Pivot)'!$AB75,'4b'!$D$11:$D$241,FALSE),1), ".")</f>
        <v>.</v>
      </c>
      <c r="AK75" t="str">
        <f>IF(OR(AF75=0, AF75="."),".",COUNTIF('D-5 (Pivot)'!$AH$2:$AH$26,'D-4b-Consolidated (Pivot)'!AF75))</f>
        <v>.</v>
      </c>
      <c r="AL75" t="str">
        <f>IF(OR(AG75=0, AG75="."),".",COUNTIF('D-5 (Pivot)'!$AH$2:$AH$26,'D-4b-Consolidated (Pivot)'!AG75))</f>
        <v>.</v>
      </c>
      <c r="AM75" t="str">
        <f>IF(OR(AH75=0, AH75="."),".",COUNTIF('D-5 (Pivot)'!$AH$2:$AH$26,'D-4b-Consolidated (Pivot)'!AH75))</f>
        <v>.</v>
      </c>
      <c r="AN75" t="str">
        <f>IF(OR(AI75=0, AI75="."),".",COUNTIF('D-5 (Pivot)'!$AH$2:$AH$26,'D-4b-Consolidated (Pivot)'!AI75))</f>
        <v>.</v>
      </c>
      <c r="AO75" t="str">
        <f>IF(OR(AJ75=0, AJ75="."),".",COUNTIF('D-5 (Pivot)'!$AH$2:$AH$26,'D-4b-Consolidated (Pivot)'!AJ75))</f>
        <v>.</v>
      </c>
    </row>
    <row r="76" spans="1:41" x14ac:dyDescent="0.25">
      <c r="A76">
        <f t="shared" si="34"/>
        <v>0</v>
      </c>
      <c r="B76">
        <f t="shared" si="35"/>
        <v>0</v>
      </c>
      <c r="C76">
        <f t="shared" si="36"/>
        <v>0</v>
      </c>
      <c r="D76">
        <f t="shared" si="37"/>
        <v>0</v>
      </c>
      <c r="E76">
        <f t="shared" si="38"/>
        <v>0</v>
      </c>
      <c r="F76">
        <f>'D-RepLevel'!$F$2</f>
        <v>0</v>
      </c>
      <c r="G76">
        <f>'D-RepLevel'!$G$2</f>
        <v>0</v>
      </c>
      <c r="H76">
        <f t="shared" si="39"/>
        <v>0</v>
      </c>
      <c r="I76" t="str">
        <f>IF(ISERROR(INDEX('1b'!$C$5:$C$21, MATCH("Primary Business Line", '1b'!$H$5:$H$21, FALSE), 1)), "None Selected", INDEX('1b'!$C$5:$C$21, MATCH("Primary Business Line", '1b'!$H$5:$H$21, FALSE), 1))</f>
        <v>None Selected</v>
      </c>
      <c r="J76">
        <f>'D-3'!$J$2</f>
        <v>0</v>
      </c>
      <c r="K76">
        <f>COUNTIF('4a'!$E$6:$E$29, "Direct")+COUNTIF('4a'!$E$6:$E$29, "Indirect")+COUNTIF('4a'!$E$6:$E$29, "Both")</f>
        <v>0</v>
      </c>
      <c r="L76">
        <f t="shared" si="40"/>
        <v>0</v>
      </c>
      <c r="M76">
        <f t="shared" si="41"/>
        <v>0</v>
      </c>
      <c r="N76">
        <f t="shared" si="42"/>
        <v>0</v>
      </c>
      <c r="O76">
        <f t="shared" si="43"/>
        <v>2015</v>
      </c>
      <c r="P76">
        <f t="shared" si="44"/>
        <v>0</v>
      </c>
      <c r="Q76">
        <f t="shared" si="45"/>
        <v>0</v>
      </c>
      <c r="R76">
        <f t="shared" si="46"/>
        <v>0</v>
      </c>
      <c r="S76">
        <f t="shared" si="47"/>
        <v>0</v>
      </c>
      <c r="T76">
        <f>COUNTIF('9a'!$K$22:$K$32, "Yes")+COUNTIF('9a'!$O$22:$O$32, "Yes")</f>
        <v>0</v>
      </c>
      <c r="U76" t="str">
        <f t="shared" si="48"/>
        <v>No Expenditures</v>
      </c>
      <c r="V76" t="str">
        <f t="shared" si="49"/>
        <v>No Expenditures</v>
      </c>
      <c r="W76">
        <f t="shared" si="50"/>
        <v>0</v>
      </c>
      <c r="X76" t="str">
        <f>'D-Risk'!$AO$25</f>
        <v>Insufficient Data</v>
      </c>
      <c r="Y76" t="str">
        <f>'D-Risk'!$AO$26</f>
        <v>Insufficient Data</v>
      </c>
      <c r="Z76" t="str">
        <f>'D-Risk'!$AO$27</f>
        <v>Uncalculated</v>
      </c>
      <c r="AA76">
        <v>75</v>
      </c>
      <c r="AB76" t="str">
        <f>IF(ISERROR(Lists!AK76), ".", Lists!AK76)</f>
        <v>.</v>
      </c>
      <c r="AC76" t="str">
        <f>IF(AB76&lt;&gt;".",INDEX('4b'!$B$11:$B$241,MATCH('D-4b-Consolidated (Pivot)'!$AB76,'4b'!$D$11:$D$241,FALSE),1), ".")</f>
        <v>.</v>
      </c>
      <c r="AD76" t="str">
        <f>IF(AC76&lt;&gt;".",INDEX('4b'!$C$11:$C$241,MATCH('D-4b-Consolidated (Pivot)'!$AB76,'4b'!$D$11:$D$241,FALSE),1), ".")</f>
        <v>.</v>
      </c>
      <c r="AE76" t="str">
        <f>IF(AD76&lt;&gt;".",INDEX('4b'!E$11:E$241,MATCH('D-4b-Consolidated (Pivot)'!$AB76,'4b'!$D$11:$D$241,FALSE),1), ".")</f>
        <v>.</v>
      </c>
      <c r="AF76" t="str">
        <f>IF(AE76&lt;&gt;".",INDEX('4b'!F$11:F$241,MATCH('D-4b-Consolidated (Pivot)'!$AB76,'4b'!$D$11:$D$241,FALSE),1), ".")</f>
        <v>.</v>
      </c>
      <c r="AG76" t="str">
        <f>IF(AF76&lt;&gt;".",INDEX('4b'!G$11:G$241,MATCH('D-4b-Consolidated (Pivot)'!$AB76,'4b'!$D$11:$D$241,FALSE),1), ".")</f>
        <v>.</v>
      </c>
      <c r="AH76" t="str">
        <f>IF(AG76&lt;&gt;".",INDEX('4b'!H$11:H$241,MATCH('D-4b-Consolidated (Pivot)'!$AB76,'4b'!$D$11:$D$241,FALSE),1), ".")</f>
        <v>.</v>
      </c>
      <c r="AI76" t="str">
        <f>IF(AH76&lt;&gt;".",INDEX('4b'!I$11:I$241,MATCH('D-4b-Consolidated (Pivot)'!$AB76,'4b'!$D$11:$D$241,FALSE),1), ".")</f>
        <v>.</v>
      </c>
      <c r="AJ76" t="str">
        <f>IF(AI76&lt;&gt;".",INDEX('4b'!J$11:J$241,MATCH('D-4b-Consolidated (Pivot)'!$AB76,'4b'!$D$11:$D$241,FALSE),1), ".")</f>
        <v>.</v>
      </c>
      <c r="AK76" t="str">
        <f>IF(OR(AF76=0, AF76="."),".",COUNTIF('D-5 (Pivot)'!$AH$2:$AH$26,'D-4b-Consolidated (Pivot)'!AF76))</f>
        <v>.</v>
      </c>
      <c r="AL76" t="str">
        <f>IF(OR(AG76=0, AG76="."),".",COUNTIF('D-5 (Pivot)'!$AH$2:$AH$26,'D-4b-Consolidated (Pivot)'!AG76))</f>
        <v>.</v>
      </c>
      <c r="AM76" t="str">
        <f>IF(OR(AH76=0, AH76="."),".",COUNTIF('D-5 (Pivot)'!$AH$2:$AH$26,'D-4b-Consolidated (Pivot)'!AH76))</f>
        <v>.</v>
      </c>
      <c r="AN76" t="str">
        <f>IF(OR(AI76=0, AI76="."),".",COUNTIF('D-5 (Pivot)'!$AH$2:$AH$26,'D-4b-Consolidated (Pivot)'!AI76))</f>
        <v>.</v>
      </c>
      <c r="AO76" t="str">
        <f>IF(OR(AJ76=0, AJ76="."),".",COUNTIF('D-5 (Pivot)'!$AH$2:$AH$26,'D-4b-Consolidated (Pivot)'!AJ76))</f>
        <v>.</v>
      </c>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26"/>
  <sheetViews>
    <sheetView zoomScale="70" zoomScaleNormal="70" workbookViewId="0">
      <selection activeCell="C7" sqref="C7:D7"/>
    </sheetView>
  </sheetViews>
  <sheetFormatPr defaultRowHeight="15" x14ac:dyDescent="0.25"/>
  <sheetData>
    <row r="1" spans="1:41"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2269</v>
      </c>
      <c r="AB1" t="s">
        <v>2270</v>
      </c>
      <c r="AC1" t="s">
        <v>2271</v>
      </c>
      <c r="AD1" t="s">
        <v>2272</v>
      </c>
      <c r="AE1" t="s">
        <v>2273</v>
      </c>
      <c r="AF1" t="s">
        <v>2274</v>
      </c>
      <c r="AG1" t="s">
        <v>2275</v>
      </c>
      <c r="AH1" t="s">
        <v>2276</v>
      </c>
      <c r="AI1" t="s">
        <v>2277</v>
      </c>
      <c r="AJ1" t="s">
        <v>2278</v>
      </c>
      <c r="AK1" t="s">
        <v>2279</v>
      </c>
      <c r="AL1" t="s">
        <v>2280</v>
      </c>
      <c r="AM1" t="s">
        <v>2281</v>
      </c>
      <c r="AN1" t="s">
        <v>2282</v>
      </c>
      <c r="AO1" t="s">
        <v>2283</v>
      </c>
    </row>
    <row r="2" spans="1:41" x14ac:dyDescent="0.25">
      <c r="A2">
        <f t="shared" ref="A2:A26" si="0">Q_RP_B_DSSCAGE_01</f>
        <v>0</v>
      </c>
      <c r="B2">
        <f t="shared" ref="B2:B26" si="1">Q1a_A_LocationName</f>
        <v>0</v>
      </c>
      <c r="C2">
        <f t="shared" ref="C2:C26" si="2">Q1a_A_LocOrgName</f>
        <v>0</v>
      </c>
      <c r="D2">
        <f t="shared" ref="D2:D26" si="3">Q1a_B_Parent1_Name</f>
        <v>0</v>
      </c>
      <c r="E2">
        <f t="shared" ref="E2:E26" si="4">Q_RP_A_MultiResponse</f>
        <v>0</v>
      </c>
      <c r="F2">
        <f>'D-RepLevel'!$F$2</f>
        <v>0</v>
      </c>
      <c r="G2">
        <f>'D-RepLevel'!$G$2</f>
        <v>0</v>
      </c>
      <c r="H2">
        <f t="shared" ref="H2:H26"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26" si="6">Q4b_A_NumUSGPrograms</f>
        <v>0</v>
      </c>
      <c r="M2">
        <f t="shared" ref="M2:M26" si="7">Q6_A_Employees_Year3</f>
        <v>0</v>
      </c>
      <c r="N2">
        <f t="shared" ref="N2:N26" si="8">Q6_B_Employee_H1B_Total+Q6_B_Employee_H2B_Total+Q6_B_Employee_F1_Total+Q6_B_Employee_GreenCard_Total+Q6_B_Employee_Other_Total</f>
        <v>0</v>
      </c>
      <c r="O2">
        <f t="shared" ref="O2:O26" si="9">Year3</f>
        <v>2015</v>
      </c>
      <c r="P2">
        <f t="shared" ref="P2:P26" si="10">Q7_A_TotalSales_US_Year3+Q7_A_TotalSales_NonUS_Year3</f>
        <v>0</v>
      </c>
      <c r="Q2">
        <f t="shared" ref="Q2:Q26" si="11">Q7_B_DefSales_US_Year3_Pct*Q7_A_TotalSales_US_Year3+Q7_B_DefSales_NonUS_Year3_Pct*Q7_A_TotalSales_NonUS_Year3</f>
        <v>0</v>
      </c>
      <c r="R2">
        <f t="shared" ref="R2:R26" si="12">Q9a_B_Physical_Year3</f>
        <v>0</v>
      </c>
      <c r="S2">
        <f t="shared" ref="S2:S26" si="13">Q9a_B_Cyber_Year3</f>
        <v>0</v>
      </c>
      <c r="T2">
        <f>COUNTIF('9a'!$K$22:$K$32, "Yes")+COUNTIF('9a'!$O$22:$O$32, "Yes")</f>
        <v>0</v>
      </c>
      <c r="U2" t="str">
        <f t="shared" ref="U2:U26" si="14">IF(Q12_OpEx_Year3=0, "No Expenditures", Q9b_A_PhysicalSpending_Year3/(Q12_OpEx_Year3))</f>
        <v>No Expenditures</v>
      </c>
      <c r="V2" t="str">
        <f t="shared" ref="V2:V26" si="15">IF(Q12_OpEx_Year3=0, "No Expenditures", Q9b_A_CyberSpending_Year3/(Q12_OpEx_Year3))</f>
        <v>No Expenditures</v>
      </c>
      <c r="W2">
        <f t="shared" ref="W2:W26" si="16">Q9b_C_Pct_CSI_External</f>
        <v>0</v>
      </c>
      <c r="X2" t="str">
        <f>'D-Risk'!$AO$25</f>
        <v>Insufficient Data</v>
      </c>
      <c r="Y2" t="str">
        <f>'D-Risk'!$AO$26</f>
        <v>Insufficient Data</v>
      </c>
      <c r="Z2" t="str">
        <f>'D-Risk'!$AO$27</f>
        <v>Uncalculated</v>
      </c>
      <c r="AA2">
        <v>1</v>
      </c>
      <c r="AB2">
        <f>'5'!C10</f>
        <v>0</v>
      </c>
      <c r="AC2">
        <f>'5'!D10</f>
        <v>0</v>
      </c>
      <c r="AD2">
        <f>'5'!E10</f>
        <v>0</v>
      </c>
      <c r="AE2">
        <f>'5'!F10</f>
        <v>0</v>
      </c>
      <c r="AF2">
        <f>'5'!G10</f>
        <v>0</v>
      </c>
      <c r="AG2">
        <f>'5'!H10</f>
        <v>0</v>
      </c>
      <c r="AH2">
        <f>'5'!I10</f>
        <v>0</v>
      </c>
      <c r="AI2">
        <f>'5'!J10</f>
        <v>0</v>
      </c>
      <c r="AJ2">
        <f>'5'!K10</f>
        <v>0</v>
      </c>
      <c r="AK2">
        <f>'5'!L10</f>
        <v>0</v>
      </c>
      <c r="AL2">
        <f>'5'!M10</f>
        <v>0</v>
      </c>
      <c r="AM2">
        <f>'5'!N10</f>
        <v>0</v>
      </c>
      <c r="AN2" t="str">
        <f>'5'!O10</f>
        <v>(specify)</v>
      </c>
      <c r="AO2">
        <f>IF($AH2&lt;&gt;0, COUNTIF('D-4b-Consolidated (Pivot)'!$AF$2:$AJ$76, 'D-5 (Pivot)'!$AH2), 0)</f>
        <v>0</v>
      </c>
    </row>
    <row r="3" spans="1:41"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v>2</v>
      </c>
      <c r="AB3">
        <f>'5'!C11</f>
        <v>0</v>
      </c>
      <c r="AC3">
        <f>'5'!D11</f>
        <v>0</v>
      </c>
      <c r="AD3">
        <f>'5'!E11</f>
        <v>0</v>
      </c>
      <c r="AE3">
        <f>'5'!F11</f>
        <v>0</v>
      </c>
      <c r="AF3">
        <f>'5'!G11</f>
        <v>0</v>
      </c>
      <c r="AG3">
        <f>'5'!H11</f>
        <v>0</v>
      </c>
      <c r="AH3">
        <f>'5'!I11</f>
        <v>0</v>
      </c>
      <c r="AI3">
        <f>'5'!J11</f>
        <v>0</v>
      </c>
      <c r="AJ3">
        <f>'5'!K11</f>
        <v>0</v>
      </c>
      <c r="AK3">
        <f>'5'!L11</f>
        <v>0</v>
      </c>
      <c r="AL3">
        <f>'5'!M11</f>
        <v>0</v>
      </c>
      <c r="AM3">
        <f>'5'!N11</f>
        <v>0</v>
      </c>
      <c r="AN3" t="str">
        <f>'5'!O11</f>
        <v>(specify)</v>
      </c>
      <c r="AO3">
        <f>IF($AH3&lt;&gt;0, COUNTIF('D-4b-Consolidated (Pivot)'!$AF$2:$AJ$76, 'D-5 (Pivot)'!$AH3), 0)</f>
        <v>0</v>
      </c>
    </row>
    <row r="4" spans="1:41"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v>3</v>
      </c>
      <c r="AB4">
        <f>'5'!C12</f>
        <v>0</v>
      </c>
      <c r="AC4">
        <f>'5'!D12</f>
        <v>0</v>
      </c>
      <c r="AD4">
        <f>'5'!E12</f>
        <v>0</v>
      </c>
      <c r="AE4">
        <f>'5'!F12</f>
        <v>0</v>
      </c>
      <c r="AF4">
        <f>'5'!G12</f>
        <v>0</v>
      </c>
      <c r="AG4">
        <f>'5'!H12</f>
        <v>0</v>
      </c>
      <c r="AH4">
        <f>'5'!I12</f>
        <v>0</v>
      </c>
      <c r="AI4">
        <f>'5'!J12</f>
        <v>0</v>
      </c>
      <c r="AJ4">
        <f>'5'!K12</f>
        <v>0</v>
      </c>
      <c r="AK4">
        <f>'5'!L12</f>
        <v>0</v>
      </c>
      <c r="AL4">
        <f>'5'!M12</f>
        <v>0</v>
      </c>
      <c r="AM4">
        <f>'5'!N12</f>
        <v>0</v>
      </c>
      <c r="AN4" t="str">
        <f>'5'!O12</f>
        <v>(specify)</v>
      </c>
      <c r="AO4">
        <f>IF($AH4&lt;&gt;0, COUNTIF('D-4b-Consolidated (Pivot)'!$AF$2:$AJ$76, 'D-5 (Pivot)'!$AH4), 0)</f>
        <v>0</v>
      </c>
    </row>
    <row r="5" spans="1:41"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v>4</v>
      </c>
      <c r="AB5">
        <f>'5'!C13</f>
        <v>0</v>
      </c>
      <c r="AC5">
        <f>'5'!D13</f>
        <v>0</v>
      </c>
      <c r="AD5">
        <f>'5'!E13</f>
        <v>0</v>
      </c>
      <c r="AE5">
        <f>'5'!F13</f>
        <v>0</v>
      </c>
      <c r="AF5">
        <f>'5'!G13</f>
        <v>0</v>
      </c>
      <c r="AG5">
        <f>'5'!H13</f>
        <v>0</v>
      </c>
      <c r="AH5">
        <f>'5'!I13</f>
        <v>0</v>
      </c>
      <c r="AI5">
        <f>'5'!J13</f>
        <v>0</v>
      </c>
      <c r="AJ5">
        <f>'5'!K13</f>
        <v>0</v>
      </c>
      <c r="AK5">
        <f>'5'!L13</f>
        <v>0</v>
      </c>
      <c r="AL5">
        <f>'5'!M13</f>
        <v>0</v>
      </c>
      <c r="AM5">
        <f>'5'!N13</f>
        <v>0</v>
      </c>
      <c r="AN5" t="str">
        <f>'5'!O13</f>
        <v>(specify)</v>
      </c>
      <c r="AO5">
        <f>IF($AH5&lt;&gt;0, COUNTIF('D-4b-Consolidated (Pivot)'!$AF$2:$AJ$76, 'D-5 (Pivot)'!$AH5), 0)</f>
        <v>0</v>
      </c>
    </row>
    <row r="6" spans="1:41"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v>5</v>
      </c>
      <c r="AB6">
        <f>'5'!C14</f>
        <v>0</v>
      </c>
      <c r="AC6">
        <f>'5'!D14</f>
        <v>0</v>
      </c>
      <c r="AD6">
        <f>'5'!E14</f>
        <v>0</v>
      </c>
      <c r="AE6">
        <f>'5'!F14</f>
        <v>0</v>
      </c>
      <c r="AF6">
        <f>'5'!G14</f>
        <v>0</v>
      </c>
      <c r="AG6">
        <f>'5'!H14</f>
        <v>0</v>
      </c>
      <c r="AH6">
        <f>'5'!I14</f>
        <v>0</v>
      </c>
      <c r="AI6">
        <f>'5'!J14</f>
        <v>0</v>
      </c>
      <c r="AJ6">
        <f>'5'!K14</f>
        <v>0</v>
      </c>
      <c r="AK6">
        <f>'5'!L14</f>
        <v>0</v>
      </c>
      <c r="AL6">
        <f>'5'!M14</f>
        <v>0</v>
      </c>
      <c r="AM6">
        <f>'5'!N14</f>
        <v>0</v>
      </c>
      <c r="AN6" t="str">
        <f>'5'!O14</f>
        <v>(specify)</v>
      </c>
      <c r="AO6">
        <f>IF($AH6&lt;&gt;0, COUNTIF('D-4b-Consolidated (Pivot)'!$AF$2:$AJ$76, 'D-5 (Pivot)'!$AH6), 0)</f>
        <v>0</v>
      </c>
    </row>
    <row r="7" spans="1:41"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v>6</v>
      </c>
      <c r="AB7">
        <f>'5'!C15</f>
        <v>0</v>
      </c>
      <c r="AC7">
        <f>'5'!D15</f>
        <v>0</v>
      </c>
      <c r="AD7">
        <f>'5'!E15</f>
        <v>0</v>
      </c>
      <c r="AE7">
        <f>'5'!F15</f>
        <v>0</v>
      </c>
      <c r="AF7">
        <f>'5'!G15</f>
        <v>0</v>
      </c>
      <c r="AG7">
        <f>'5'!H15</f>
        <v>0</v>
      </c>
      <c r="AH7">
        <f>'5'!I15</f>
        <v>0</v>
      </c>
      <c r="AI7">
        <f>'5'!J15</f>
        <v>0</v>
      </c>
      <c r="AJ7">
        <f>'5'!K15</f>
        <v>0</v>
      </c>
      <c r="AK7">
        <f>'5'!L15</f>
        <v>0</v>
      </c>
      <c r="AL7">
        <f>'5'!M15</f>
        <v>0</v>
      </c>
      <c r="AM7">
        <f>'5'!N15</f>
        <v>0</v>
      </c>
      <c r="AN7" t="str">
        <f>'5'!O15</f>
        <v>(specify)</v>
      </c>
      <c r="AO7">
        <f>IF($AH7&lt;&gt;0, COUNTIF('D-4b-Consolidated (Pivot)'!$AF$2:$AJ$76, 'D-5 (Pivot)'!$AH7), 0)</f>
        <v>0</v>
      </c>
    </row>
    <row r="8" spans="1:41"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v>7</v>
      </c>
      <c r="AB8">
        <f>'5'!C16</f>
        <v>0</v>
      </c>
      <c r="AC8">
        <f>'5'!D16</f>
        <v>0</v>
      </c>
      <c r="AD8">
        <f>'5'!E16</f>
        <v>0</v>
      </c>
      <c r="AE8">
        <f>'5'!F16</f>
        <v>0</v>
      </c>
      <c r="AF8">
        <f>'5'!G16</f>
        <v>0</v>
      </c>
      <c r="AG8">
        <f>'5'!H16</f>
        <v>0</v>
      </c>
      <c r="AH8">
        <f>'5'!I16</f>
        <v>0</v>
      </c>
      <c r="AI8">
        <f>'5'!J16</f>
        <v>0</v>
      </c>
      <c r="AJ8">
        <f>'5'!K16</f>
        <v>0</v>
      </c>
      <c r="AK8">
        <f>'5'!L16</f>
        <v>0</v>
      </c>
      <c r="AL8">
        <f>'5'!M16</f>
        <v>0</v>
      </c>
      <c r="AM8">
        <f>'5'!N16</f>
        <v>0</v>
      </c>
      <c r="AN8" t="str">
        <f>'5'!O16</f>
        <v>(specify)</v>
      </c>
      <c r="AO8">
        <f>IF($AH8&lt;&gt;0, COUNTIF('D-4b-Consolidated (Pivot)'!$AF$2:$AJ$76, 'D-5 (Pivot)'!$AH8), 0)</f>
        <v>0</v>
      </c>
    </row>
    <row r="9" spans="1:41"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v>8</v>
      </c>
      <c r="AB9">
        <f>'5'!C17</f>
        <v>0</v>
      </c>
      <c r="AC9">
        <f>'5'!D17</f>
        <v>0</v>
      </c>
      <c r="AD9">
        <f>'5'!E17</f>
        <v>0</v>
      </c>
      <c r="AE9">
        <f>'5'!F17</f>
        <v>0</v>
      </c>
      <c r="AF9">
        <f>'5'!G17</f>
        <v>0</v>
      </c>
      <c r="AG9">
        <f>'5'!H17</f>
        <v>0</v>
      </c>
      <c r="AH9">
        <f>'5'!I17</f>
        <v>0</v>
      </c>
      <c r="AI9">
        <f>'5'!J17</f>
        <v>0</v>
      </c>
      <c r="AJ9">
        <f>'5'!K17</f>
        <v>0</v>
      </c>
      <c r="AK9">
        <f>'5'!L17</f>
        <v>0</v>
      </c>
      <c r="AL9">
        <f>'5'!M17</f>
        <v>0</v>
      </c>
      <c r="AM9">
        <f>'5'!N17</f>
        <v>0</v>
      </c>
      <c r="AN9" t="str">
        <f>'5'!O17</f>
        <v>(specify)</v>
      </c>
      <c r="AO9">
        <f>IF($AH9&lt;&gt;0, COUNTIF('D-4b-Consolidated (Pivot)'!$AF$2:$AJ$76, 'D-5 (Pivot)'!$AH9), 0)</f>
        <v>0</v>
      </c>
    </row>
    <row r="10" spans="1:41"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v>9</v>
      </c>
      <c r="AB10">
        <f>'5'!C18</f>
        <v>0</v>
      </c>
      <c r="AC10">
        <f>'5'!D18</f>
        <v>0</v>
      </c>
      <c r="AD10">
        <f>'5'!E18</f>
        <v>0</v>
      </c>
      <c r="AE10">
        <f>'5'!F18</f>
        <v>0</v>
      </c>
      <c r="AF10">
        <f>'5'!G18</f>
        <v>0</v>
      </c>
      <c r="AG10">
        <f>'5'!H18</f>
        <v>0</v>
      </c>
      <c r="AH10">
        <f>'5'!I18</f>
        <v>0</v>
      </c>
      <c r="AI10">
        <f>'5'!J18</f>
        <v>0</v>
      </c>
      <c r="AJ10">
        <f>'5'!K18</f>
        <v>0</v>
      </c>
      <c r="AK10">
        <f>'5'!L18</f>
        <v>0</v>
      </c>
      <c r="AL10">
        <f>'5'!M18</f>
        <v>0</v>
      </c>
      <c r="AM10">
        <f>'5'!N18</f>
        <v>0</v>
      </c>
      <c r="AN10" t="str">
        <f>'5'!O18</f>
        <v>(specify)</v>
      </c>
      <c r="AO10">
        <f>IF($AH10&lt;&gt;0, COUNTIF('D-4b-Consolidated (Pivot)'!$AF$2:$AJ$76, 'D-5 (Pivot)'!$AH10), 0)</f>
        <v>0</v>
      </c>
    </row>
    <row r="11" spans="1:41"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v>10</v>
      </c>
      <c r="AB11">
        <f>'5'!C19</f>
        <v>0</v>
      </c>
      <c r="AC11">
        <f>'5'!D19</f>
        <v>0</v>
      </c>
      <c r="AD11">
        <f>'5'!E19</f>
        <v>0</v>
      </c>
      <c r="AE11">
        <f>'5'!F19</f>
        <v>0</v>
      </c>
      <c r="AF11">
        <f>'5'!G19</f>
        <v>0</v>
      </c>
      <c r="AG11">
        <f>'5'!H19</f>
        <v>0</v>
      </c>
      <c r="AH11">
        <f>'5'!I19</f>
        <v>0</v>
      </c>
      <c r="AI11">
        <f>'5'!J19</f>
        <v>0</v>
      </c>
      <c r="AJ11">
        <f>'5'!K19</f>
        <v>0</v>
      </c>
      <c r="AK11">
        <f>'5'!L19</f>
        <v>0</v>
      </c>
      <c r="AL11">
        <f>'5'!M19</f>
        <v>0</v>
      </c>
      <c r="AM11">
        <f>'5'!N19</f>
        <v>0</v>
      </c>
      <c r="AN11" t="str">
        <f>'5'!O19</f>
        <v>(specify)</v>
      </c>
      <c r="AO11">
        <f>IF($AH11&lt;&gt;0, COUNTIF('D-4b-Consolidated (Pivot)'!$AF$2:$AJ$76, 'D-5 (Pivot)'!$AH11), 0)</f>
        <v>0</v>
      </c>
    </row>
    <row r="12" spans="1:41"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v>11</v>
      </c>
      <c r="AB12">
        <f>'5'!C20</f>
        <v>0</v>
      </c>
      <c r="AC12">
        <f>'5'!D20</f>
        <v>0</v>
      </c>
      <c r="AD12">
        <f>'5'!E20</f>
        <v>0</v>
      </c>
      <c r="AE12">
        <f>'5'!F20</f>
        <v>0</v>
      </c>
      <c r="AF12">
        <f>'5'!G20</f>
        <v>0</v>
      </c>
      <c r="AG12">
        <f>'5'!H20</f>
        <v>0</v>
      </c>
      <c r="AH12">
        <f>'5'!I20</f>
        <v>0</v>
      </c>
      <c r="AI12">
        <f>'5'!J20</f>
        <v>0</v>
      </c>
      <c r="AJ12">
        <f>'5'!K20</f>
        <v>0</v>
      </c>
      <c r="AK12">
        <f>'5'!L20</f>
        <v>0</v>
      </c>
      <c r="AL12">
        <f>'5'!M20</f>
        <v>0</v>
      </c>
      <c r="AM12">
        <f>'5'!N20</f>
        <v>0</v>
      </c>
      <c r="AN12" t="str">
        <f>'5'!O20</f>
        <v>(specify)</v>
      </c>
      <c r="AO12">
        <f>IF($AH12&lt;&gt;0, COUNTIF('D-4b-Consolidated (Pivot)'!$AF$2:$AJ$76, 'D-5 (Pivot)'!$AH12), 0)</f>
        <v>0</v>
      </c>
    </row>
    <row r="13" spans="1:41"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v>12</v>
      </c>
      <c r="AB13">
        <f>'5'!C21</f>
        <v>0</v>
      </c>
      <c r="AC13">
        <f>'5'!D21</f>
        <v>0</v>
      </c>
      <c r="AD13">
        <f>'5'!E21</f>
        <v>0</v>
      </c>
      <c r="AE13">
        <f>'5'!F21</f>
        <v>0</v>
      </c>
      <c r="AF13">
        <f>'5'!G21</f>
        <v>0</v>
      </c>
      <c r="AG13">
        <f>'5'!H21</f>
        <v>0</v>
      </c>
      <c r="AH13">
        <f>'5'!I21</f>
        <v>0</v>
      </c>
      <c r="AI13">
        <f>'5'!J21</f>
        <v>0</v>
      </c>
      <c r="AJ13">
        <f>'5'!K21</f>
        <v>0</v>
      </c>
      <c r="AK13">
        <f>'5'!L21</f>
        <v>0</v>
      </c>
      <c r="AL13">
        <f>'5'!M21</f>
        <v>0</v>
      </c>
      <c r="AM13">
        <f>'5'!N21</f>
        <v>0</v>
      </c>
      <c r="AN13" t="str">
        <f>'5'!O21</f>
        <v>(specify)</v>
      </c>
      <c r="AO13">
        <f>IF($AH13&lt;&gt;0, COUNTIF('D-4b-Consolidated (Pivot)'!$AF$2:$AJ$76, 'D-5 (Pivot)'!$AH13), 0)</f>
        <v>0</v>
      </c>
    </row>
    <row r="14" spans="1:41"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v>13</v>
      </c>
      <c r="AB14">
        <f>'5'!C22</f>
        <v>0</v>
      </c>
      <c r="AC14">
        <f>'5'!D22</f>
        <v>0</v>
      </c>
      <c r="AD14">
        <f>'5'!E22</f>
        <v>0</v>
      </c>
      <c r="AE14">
        <f>'5'!F22</f>
        <v>0</v>
      </c>
      <c r="AF14">
        <f>'5'!G22</f>
        <v>0</v>
      </c>
      <c r="AG14">
        <f>'5'!H22</f>
        <v>0</v>
      </c>
      <c r="AH14">
        <f>'5'!I22</f>
        <v>0</v>
      </c>
      <c r="AI14">
        <f>'5'!J22</f>
        <v>0</v>
      </c>
      <c r="AJ14">
        <f>'5'!K22</f>
        <v>0</v>
      </c>
      <c r="AK14">
        <f>'5'!L22</f>
        <v>0</v>
      </c>
      <c r="AL14">
        <f>'5'!M22</f>
        <v>0</v>
      </c>
      <c r="AM14">
        <f>'5'!N22</f>
        <v>0</v>
      </c>
      <c r="AN14" t="str">
        <f>'5'!O22</f>
        <v>(specify)</v>
      </c>
      <c r="AO14">
        <f>IF($AH14&lt;&gt;0, COUNTIF('D-4b-Consolidated (Pivot)'!$AF$2:$AJ$76, 'D-5 (Pivot)'!$AH14), 0)</f>
        <v>0</v>
      </c>
    </row>
    <row r="15" spans="1:41"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v>14</v>
      </c>
      <c r="AB15">
        <f>'5'!C23</f>
        <v>0</v>
      </c>
      <c r="AC15">
        <f>'5'!D23</f>
        <v>0</v>
      </c>
      <c r="AD15">
        <f>'5'!E23</f>
        <v>0</v>
      </c>
      <c r="AE15">
        <f>'5'!F23</f>
        <v>0</v>
      </c>
      <c r="AF15">
        <f>'5'!G23</f>
        <v>0</v>
      </c>
      <c r="AG15">
        <f>'5'!H23</f>
        <v>0</v>
      </c>
      <c r="AH15">
        <f>'5'!I23</f>
        <v>0</v>
      </c>
      <c r="AI15">
        <f>'5'!J23</f>
        <v>0</v>
      </c>
      <c r="AJ15">
        <f>'5'!K23</f>
        <v>0</v>
      </c>
      <c r="AK15">
        <f>'5'!L23</f>
        <v>0</v>
      </c>
      <c r="AL15">
        <f>'5'!M23</f>
        <v>0</v>
      </c>
      <c r="AM15">
        <f>'5'!N23</f>
        <v>0</v>
      </c>
      <c r="AN15" t="str">
        <f>'5'!O23</f>
        <v>(specify)</v>
      </c>
      <c r="AO15">
        <f>IF($AH15&lt;&gt;0, COUNTIF('D-4b-Consolidated (Pivot)'!$AF$2:$AJ$76, 'D-5 (Pivot)'!$AH15), 0)</f>
        <v>0</v>
      </c>
    </row>
    <row r="16" spans="1:41"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v>15</v>
      </c>
      <c r="AB16">
        <f>'5'!C24</f>
        <v>0</v>
      </c>
      <c r="AC16">
        <f>'5'!D24</f>
        <v>0</v>
      </c>
      <c r="AD16">
        <f>'5'!E24</f>
        <v>0</v>
      </c>
      <c r="AE16">
        <f>'5'!F24</f>
        <v>0</v>
      </c>
      <c r="AF16">
        <f>'5'!G24</f>
        <v>0</v>
      </c>
      <c r="AG16">
        <f>'5'!H24</f>
        <v>0</v>
      </c>
      <c r="AH16">
        <f>'5'!I24</f>
        <v>0</v>
      </c>
      <c r="AI16">
        <f>'5'!J24</f>
        <v>0</v>
      </c>
      <c r="AJ16">
        <f>'5'!K24</f>
        <v>0</v>
      </c>
      <c r="AK16">
        <f>'5'!L24</f>
        <v>0</v>
      </c>
      <c r="AL16">
        <f>'5'!M24</f>
        <v>0</v>
      </c>
      <c r="AM16">
        <f>'5'!N24</f>
        <v>0</v>
      </c>
      <c r="AN16" t="str">
        <f>'5'!O24</f>
        <v>(specify)</v>
      </c>
      <c r="AO16">
        <f>IF($AH16&lt;&gt;0, COUNTIF('D-4b-Consolidated (Pivot)'!$AF$2:$AJ$76, 'D-5 (Pivot)'!$AH16), 0)</f>
        <v>0</v>
      </c>
    </row>
    <row r="17" spans="1:41"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v>16</v>
      </c>
      <c r="AB17">
        <f>'5'!C25</f>
        <v>0</v>
      </c>
      <c r="AC17">
        <f>'5'!D25</f>
        <v>0</v>
      </c>
      <c r="AD17">
        <f>'5'!E25</f>
        <v>0</v>
      </c>
      <c r="AE17">
        <f>'5'!F25</f>
        <v>0</v>
      </c>
      <c r="AF17">
        <f>'5'!G25</f>
        <v>0</v>
      </c>
      <c r="AG17">
        <f>'5'!H25</f>
        <v>0</v>
      </c>
      <c r="AH17">
        <f>'5'!I25</f>
        <v>0</v>
      </c>
      <c r="AI17">
        <f>'5'!J25</f>
        <v>0</v>
      </c>
      <c r="AJ17">
        <f>'5'!K25</f>
        <v>0</v>
      </c>
      <c r="AK17">
        <f>'5'!L25</f>
        <v>0</v>
      </c>
      <c r="AL17">
        <f>'5'!M25</f>
        <v>0</v>
      </c>
      <c r="AM17">
        <f>'5'!N25</f>
        <v>0</v>
      </c>
      <c r="AN17" t="str">
        <f>'5'!O25</f>
        <v>(specify)</v>
      </c>
      <c r="AO17">
        <f>IF($AH17&lt;&gt;0, COUNTIF('D-4b-Consolidated (Pivot)'!$AF$2:$AJ$76, 'D-5 (Pivot)'!$AH17), 0)</f>
        <v>0</v>
      </c>
    </row>
    <row r="18" spans="1:41"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v>17</v>
      </c>
      <c r="AB18">
        <f>'5'!C26</f>
        <v>0</v>
      </c>
      <c r="AC18">
        <f>'5'!D26</f>
        <v>0</v>
      </c>
      <c r="AD18">
        <f>'5'!E26</f>
        <v>0</v>
      </c>
      <c r="AE18">
        <f>'5'!F26</f>
        <v>0</v>
      </c>
      <c r="AF18">
        <f>'5'!G26</f>
        <v>0</v>
      </c>
      <c r="AG18">
        <f>'5'!H26</f>
        <v>0</v>
      </c>
      <c r="AH18">
        <f>'5'!I26</f>
        <v>0</v>
      </c>
      <c r="AI18">
        <f>'5'!J26</f>
        <v>0</v>
      </c>
      <c r="AJ18">
        <f>'5'!K26</f>
        <v>0</v>
      </c>
      <c r="AK18">
        <f>'5'!L26</f>
        <v>0</v>
      </c>
      <c r="AL18">
        <f>'5'!M26</f>
        <v>0</v>
      </c>
      <c r="AM18">
        <f>'5'!N26</f>
        <v>0</v>
      </c>
      <c r="AN18" t="str">
        <f>'5'!O26</f>
        <v>(specify)</v>
      </c>
      <c r="AO18">
        <f>IF($AH18&lt;&gt;0, COUNTIF('D-4b-Consolidated (Pivot)'!$AF$2:$AJ$76, 'D-5 (Pivot)'!$AH18), 0)</f>
        <v>0</v>
      </c>
    </row>
    <row r="19" spans="1:41"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v>18</v>
      </c>
      <c r="AB19">
        <f>'5'!C27</f>
        <v>0</v>
      </c>
      <c r="AC19">
        <f>'5'!D27</f>
        <v>0</v>
      </c>
      <c r="AD19">
        <f>'5'!E27</f>
        <v>0</v>
      </c>
      <c r="AE19">
        <f>'5'!F27</f>
        <v>0</v>
      </c>
      <c r="AF19">
        <f>'5'!G27</f>
        <v>0</v>
      </c>
      <c r="AG19">
        <f>'5'!H27</f>
        <v>0</v>
      </c>
      <c r="AH19">
        <f>'5'!I27</f>
        <v>0</v>
      </c>
      <c r="AI19">
        <f>'5'!J27</f>
        <v>0</v>
      </c>
      <c r="AJ19">
        <f>'5'!K27</f>
        <v>0</v>
      </c>
      <c r="AK19">
        <f>'5'!L27</f>
        <v>0</v>
      </c>
      <c r="AL19">
        <f>'5'!M27</f>
        <v>0</v>
      </c>
      <c r="AM19">
        <f>'5'!N27</f>
        <v>0</v>
      </c>
      <c r="AN19" t="str">
        <f>'5'!O27</f>
        <v>(specify)</v>
      </c>
      <c r="AO19">
        <f>IF($AH19&lt;&gt;0, COUNTIF('D-4b-Consolidated (Pivot)'!$AF$2:$AJ$76, 'D-5 (Pivot)'!$AH19), 0)</f>
        <v>0</v>
      </c>
    </row>
    <row r="20" spans="1:41"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v>19</v>
      </c>
      <c r="AB20">
        <f>'5'!C28</f>
        <v>0</v>
      </c>
      <c r="AC20">
        <f>'5'!D28</f>
        <v>0</v>
      </c>
      <c r="AD20">
        <f>'5'!E28</f>
        <v>0</v>
      </c>
      <c r="AE20">
        <f>'5'!F28</f>
        <v>0</v>
      </c>
      <c r="AF20">
        <f>'5'!G28</f>
        <v>0</v>
      </c>
      <c r="AG20">
        <f>'5'!H28</f>
        <v>0</v>
      </c>
      <c r="AH20">
        <f>'5'!I28</f>
        <v>0</v>
      </c>
      <c r="AI20">
        <f>'5'!J28</f>
        <v>0</v>
      </c>
      <c r="AJ20">
        <f>'5'!K28</f>
        <v>0</v>
      </c>
      <c r="AK20">
        <f>'5'!L28</f>
        <v>0</v>
      </c>
      <c r="AL20">
        <f>'5'!M28</f>
        <v>0</v>
      </c>
      <c r="AM20">
        <f>'5'!N28</f>
        <v>0</v>
      </c>
      <c r="AN20" t="str">
        <f>'5'!O28</f>
        <v>(specify)</v>
      </c>
      <c r="AO20">
        <f>IF($AH20&lt;&gt;0, COUNTIF('D-4b-Consolidated (Pivot)'!$AF$2:$AJ$76, 'D-5 (Pivot)'!$AH20), 0)</f>
        <v>0</v>
      </c>
    </row>
    <row r="21" spans="1:41"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v>20</v>
      </c>
      <c r="AB21">
        <f>'5'!C29</f>
        <v>0</v>
      </c>
      <c r="AC21">
        <f>'5'!D29</f>
        <v>0</v>
      </c>
      <c r="AD21">
        <f>'5'!E29</f>
        <v>0</v>
      </c>
      <c r="AE21">
        <f>'5'!F29</f>
        <v>0</v>
      </c>
      <c r="AF21">
        <f>'5'!G29</f>
        <v>0</v>
      </c>
      <c r="AG21">
        <f>'5'!H29</f>
        <v>0</v>
      </c>
      <c r="AH21">
        <f>'5'!I29</f>
        <v>0</v>
      </c>
      <c r="AI21">
        <f>'5'!J29</f>
        <v>0</v>
      </c>
      <c r="AJ21">
        <f>'5'!K29</f>
        <v>0</v>
      </c>
      <c r="AK21">
        <f>'5'!L29</f>
        <v>0</v>
      </c>
      <c r="AL21">
        <f>'5'!M29</f>
        <v>0</v>
      </c>
      <c r="AM21">
        <f>'5'!N29</f>
        <v>0</v>
      </c>
      <c r="AN21" t="str">
        <f>'5'!O29</f>
        <v>(specify)</v>
      </c>
      <c r="AO21">
        <f>IF($AH21&lt;&gt;0, COUNTIF('D-4b-Consolidated (Pivot)'!$AF$2:$AJ$76, 'D-5 (Pivot)'!$AH21), 0)</f>
        <v>0</v>
      </c>
    </row>
    <row r="22" spans="1:41"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v>21</v>
      </c>
      <c r="AB22">
        <f>'5'!C30</f>
        <v>0</v>
      </c>
      <c r="AC22">
        <f>'5'!D30</f>
        <v>0</v>
      </c>
      <c r="AD22">
        <f>'5'!E30</f>
        <v>0</v>
      </c>
      <c r="AE22">
        <f>'5'!F30</f>
        <v>0</v>
      </c>
      <c r="AF22">
        <f>'5'!G30</f>
        <v>0</v>
      </c>
      <c r="AG22">
        <f>'5'!H30</f>
        <v>0</v>
      </c>
      <c r="AH22">
        <f>'5'!I30</f>
        <v>0</v>
      </c>
      <c r="AI22">
        <f>'5'!J30</f>
        <v>0</v>
      </c>
      <c r="AJ22">
        <f>'5'!K30</f>
        <v>0</v>
      </c>
      <c r="AK22">
        <f>'5'!L30</f>
        <v>0</v>
      </c>
      <c r="AL22">
        <f>'5'!M30</f>
        <v>0</v>
      </c>
      <c r="AM22">
        <f>'5'!N30</f>
        <v>0</v>
      </c>
      <c r="AN22" t="str">
        <f>'5'!O30</f>
        <v>(specify)</v>
      </c>
      <c r="AO22">
        <f>IF($AH22&lt;&gt;0, COUNTIF('D-4b-Consolidated (Pivot)'!$AF$2:$AJ$76, 'D-5 (Pivot)'!$AH22), 0)</f>
        <v>0</v>
      </c>
    </row>
    <row r="23" spans="1:41"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v>22</v>
      </c>
      <c r="AB23">
        <f>'5'!C31</f>
        <v>0</v>
      </c>
      <c r="AC23">
        <f>'5'!D31</f>
        <v>0</v>
      </c>
      <c r="AD23">
        <f>'5'!E31</f>
        <v>0</v>
      </c>
      <c r="AE23">
        <f>'5'!F31</f>
        <v>0</v>
      </c>
      <c r="AF23">
        <f>'5'!G31</f>
        <v>0</v>
      </c>
      <c r="AG23">
        <f>'5'!H31</f>
        <v>0</v>
      </c>
      <c r="AH23">
        <f>'5'!I31</f>
        <v>0</v>
      </c>
      <c r="AI23">
        <f>'5'!J31</f>
        <v>0</v>
      </c>
      <c r="AJ23">
        <f>'5'!K31</f>
        <v>0</v>
      </c>
      <c r="AK23">
        <f>'5'!L31</f>
        <v>0</v>
      </c>
      <c r="AL23">
        <f>'5'!M31</f>
        <v>0</v>
      </c>
      <c r="AM23">
        <f>'5'!N31</f>
        <v>0</v>
      </c>
      <c r="AN23" t="str">
        <f>'5'!O31</f>
        <v>(specify)</v>
      </c>
      <c r="AO23">
        <f>IF($AH23&lt;&gt;0, COUNTIF('D-4b-Consolidated (Pivot)'!$AF$2:$AJ$76, 'D-5 (Pivot)'!$AH23), 0)</f>
        <v>0</v>
      </c>
    </row>
    <row r="24" spans="1:41"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v>23</v>
      </c>
      <c r="AB24">
        <f>'5'!C32</f>
        <v>0</v>
      </c>
      <c r="AC24">
        <f>'5'!D32</f>
        <v>0</v>
      </c>
      <c r="AD24">
        <f>'5'!E32</f>
        <v>0</v>
      </c>
      <c r="AE24">
        <f>'5'!F32</f>
        <v>0</v>
      </c>
      <c r="AF24">
        <f>'5'!G32</f>
        <v>0</v>
      </c>
      <c r="AG24">
        <f>'5'!H32</f>
        <v>0</v>
      </c>
      <c r="AH24">
        <f>'5'!I32</f>
        <v>0</v>
      </c>
      <c r="AI24">
        <f>'5'!J32</f>
        <v>0</v>
      </c>
      <c r="AJ24">
        <f>'5'!K32</f>
        <v>0</v>
      </c>
      <c r="AK24">
        <f>'5'!L32</f>
        <v>0</v>
      </c>
      <c r="AL24">
        <f>'5'!M32</f>
        <v>0</v>
      </c>
      <c r="AM24">
        <f>'5'!N32</f>
        <v>0</v>
      </c>
      <c r="AN24" t="str">
        <f>'5'!O32</f>
        <v>(specify)</v>
      </c>
      <c r="AO24">
        <f>IF($AH24&lt;&gt;0, COUNTIF('D-4b-Consolidated (Pivot)'!$AF$2:$AJ$76, 'D-5 (Pivot)'!$AH24), 0)</f>
        <v>0</v>
      </c>
    </row>
    <row r="25" spans="1:41"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v>24</v>
      </c>
      <c r="AB25">
        <f>'5'!C33</f>
        <v>0</v>
      </c>
      <c r="AC25">
        <f>'5'!D33</f>
        <v>0</v>
      </c>
      <c r="AD25">
        <f>'5'!E33</f>
        <v>0</v>
      </c>
      <c r="AE25">
        <f>'5'!F33</f>
        <v>0</v>
      </c>
      <c r="AF25">
        <f>'5'!G33</f>
        <v>0</v>
      </c>
      <c r="AG25">
        <f>'5'!H33</f>
        <v>0</v>
      </c>
      <c r="AH25">
        <f>'5'!I33</f>
        <v>0</v>
      </c>
      <c r="AI25">
        <f>'5'!J33</f>
        <v>0</v>
      </c>
      <c r="AJ25">
        <f>'5'!K33</f>
        <v>0</v>
      </c>
      <c r="AK25">
        <f>'5'!L33</f>
        <v>0</v>
      </c>
      <c r="AL25">
        <f>'5'!M33</f>
        <v>0</v>
      </c>
      <c r="AM25">
        <f>'5'!N33</f>
        <v>0</v>
      </c>
      <c r="AN25" t="str">
        <f>'5'!O33</f>
        <v>(specify)</v>
      </c>
      <c r="AO25">
        <f>IF($AH25&lt;&gt;0, COUNTIF('D-4b-Consolidated (Pivot)'!$AF$2:$AJ$76, 'D-5 (Pivot)'!$AH25), 0)</f>
        <v>0</v>
      </c>
    </row>
    <row r="26" spans="1:41"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v>25</v>
      </c>
      <c r="AB26">
        <f>'5'!C34</f>
        <v>0</v>
      </c>
      <c r="AC26">
        <f>'5'!D34</f>
        <v>0</v>
      </c>
      <c r="AD26">
        <f>'5'!E34</f>
        <v>0</v>
      </c>
      <c r="AE26">
        <f>'5'!F34</f>
        <v>0</v>
      </c>
      <c r="AF26">
        <f>'5'!G34</f>
        <v>0</v>
      </c>
      <c r="AG26">
        <f>'5'!H34</f>
        <v>0</v>
      </c>
      <c r="AH26">
        <f>'5'!I34</f>
        <v>0</v>
      </c>
      <c r="AI26">
        <f>'5'!J34</f>
        <v>0</v>
      </c>
      <c r="AJ26">
        <f>'5'!K34</f>
        <v>0</v>
      </c>
      <c r="AK26">
        <f>'5'!L34</f>
        <v>0</v>
      </c>
      <c r="AL26">
        <f>'5'!M34</f>
        <v>0</v>
      </c>
      <c r="AM26">
        <f>'5'!N34</f>
        <v>0</v>
      </c>
      <c r="AN26" t="str">
        <f>'5'!O34</f>
        <v>(specify)</v>
      </c>
      <c r="AO26">
        <f>IF($AH26&lt;&gt;0, COUNTIF('D-4b-Consolidated (Pivot)'!$AF$2:$AJ$76, 'D-5 (Pivot)'!$AH26), 0)</f>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26"/>
  <sheetViews>
    <sheetView showGridLines="0" showRowColHeaders="0" workbookViewId="0"/>
  </sheetViews>
  <sheetFormatPr defaultRowHeight="12.75" x14ac:dyDescent="0.25"/>
  <cols>
    <col min="1" max="1" width="9.140625" style="19"/>
    <col min="2" max="2" width="3.42578125" style="19" customWidth="1"/>
    <col min="3" max="3" width="11.42578125" style="19" customWidth="1"/>
    <col min="4" max="4" width="29.42578125" style="19" customWidth="1"/>
    <col min="5" max="5" width="0.7109375" style="19" customWidth="1"/>
    <col min="6" max="6" width="27.28515625" style="19" customWidth="1"/>
    <col min="7" max="7" width="0.7109375" style="19" customWidth="1"/>
    <col min="8" max="8" width="27.7109375" style="19" customWidth="1"/>
    <col min="9" max="9" width="12.85546875" style="19" customWidth="1"/>
    <col min="10" max="16384" width="9.140625" style="19"/>
  </cols>
  <sheetData>
    <row r="1" spans="2:9" ht="13.5" thickBot="1" x14ac:dyDescent="0.3"/>
    <row r="2" spans="2:9" ht="15" customHeight="1" x14ac:dyDescent="0.25">
      <c r="B2" s="23" t="s">
        <v>10</v>
      </c>
      <c r="C2" s="21"/>
      <c r="D2" s="21"/>
      <c r="E2" s="405" t="s">
        <v>11</v>
      </c>
      <c r="F2" s="405"/>
      <c r="G2" s="21"/>
      <c r="H2" s="21"/>
      <c r="I2" s="26" t="s">
        <v>0</v>
      </c>
    </row>
    <row r="3" spans="2:9" ht="13.5" thickBot="1" x14ac:dyDescent="0.3">
      <c r="B3" s="52" t="s">
        <v>89</v>
      </c>
      <c r="C3" s="57"/>
      <c r="D3" s="57"/>
      <c r="E3" s="57"/>
      <c r="F3" s="57"/>
      <c r="G3" s="57"/>
      <c r="H3" s="57"/>
      <c r="I3" s="58"/>
    </row>
    <row r="4" spans="2:9" ht="49.5" customHeight="1" thickBot="1" x14ac:dyDescent="0.3">
      <c r="B4" s="431" t="s">
        <v>2606</v>
      </c>
      <c r="C4" s="432"/>
      <c r="D4" s="432"/>
      <c r="E4" s="432"/>
      <c r="F4" s="432"/>
      <c r="G4" s="432"/>
      <c r="H4" s="432"/>
      <c r="I4" s="433"/>
    </row>
    <row r="5" spans="2:9" ht="48.75" customHeight="1" thickBot="1" x14ac:dyDescent="0.3">
      <c r="B5" s="62" t="s">
        <v>34</v>
      </c>
      <c r="C5" s="434" t="s">
        <v>90</v>
      </c>
      <c r="D5" s="435"/>
      <c r="E5" s="435"/>
      <c r="F5" s="435"/>
      <c r="G5" s="436"/>
      <c r="H5" s="443"/>
      <c r="I5" s="444"/>
    </row>
    <row r="6" spans="2:9" ht="27" customHeight="1" thickBot="1" x14ac:dyDescent="0.3">
      <c r="B6" s="440" t="s">
        <v>35</v>
      </c>
      <c r="C6" s="429" t="s">
        <v>91</v>
      </c>
      <c r="D6" s="429"/>
      <c r="E6" s="429"/>
      <c r="F6" s="429"/>
      <c r="G6" s="429"/>
      <c r="H6" s="429"/>
      <c r="I6" s="430"/>
    </row>
    <row r="7" spans="2:9" ht="27" customHeight="1" x14ac:dyDescent="0.25">
      <c r="B7" s="441"/>
      <c r="C7" s="59"/>
      <c r="D7" s="66" t="s">
        <v>92</v>
      </c>
      <c r="E7" s="59"/>
      <c r="F7" s="437" t="s">
        <v>93</v>
      </c>
      <c r="G7" s="438"/>
      <c r="H7" s="439"/>
      <c r="I7" s="61"/>
    </row>
    <row r="8" spans="2:9" x14ac:dyDescent="0.25">
      <c r="B8" s="441"/>
      <c r="C8" s="59"/>
      <c r="D8" s="301"/>
      <c r="E8" s="320"/>
      <c r="F8" s="306"/>
      <c r="G8" s="222"/>
      <c r="H8" s="310"/>
      <c r="I8" s="61"/>
    </row>
    <row r="9" spans="2:9" x14ac:dyDescent="0.25">
      <c r="B9" s="441"/>
      <c r="C9" s="59"/>
      <c r="D9" s="302"/>
      <c r="E9" s="320"/>
      <c r="F9" s="306"/>
      <c r="G9" s="222"/>
      <c r="H9" s="311"/>
      <c r="I9" s="61"/>
    </row>
    <row r="10" spans="2:9" x14ac:dyDescent="0.25">
      <c r="B10" s="441"/>
      <c r="C10" s="59"/>
      <c r="D10" s="303"/>
      <c r="E10" s="320"/>
      <c r="F10" s="307"/>
      <c r="G10" s="222"/>
      <c r="H10" s="311"/>
      <c r="I10" s="61"/>
    </row>
    <row r="11" spans="2:9" x14ac:dyDescent="0.25">
      <c r="B11" s="441"/>
      <c r="C11" s="59"/>
      <c r="D11" s="302"/>
      <c r="E11" s="320"/>
      <c r="F11" s="306"/>
      <c r="G11" s="222"/>
      <c r="H11" s="312"/>
      <c r="I11" s="61"/>
    </row>
    <row r="12" spans="2:9" x14ac:dyDescent="0.25">
      <c r="B12" s="441"/>
      <c r="C12" s="59"/>
      <c r="D12" s="302"/>
      <c r="E12" s="320"/>
      <c r="F12" s="307"/>
      <c r="G12" s="222"/>
      <c r="H12" s="313"/>
      <c r="I12" s="61"/>
    </row>
    <row r="13" spans="2:9" x14ac:dyDescent="0.25">
      <c r="B13" s="441"/>
      <c r="C13" s="59"/>
      <c r="D13" s="303"/>
      <c r="E13" s="320"/>
      <c r="F13" s="306"/>
      <c r="G13" s="222"/>
      <c r="H13" s="311"/>
      <c r="I13" s="61"/>
    </row>
    <row r="14" spans="2:9" x14ac:dyDescent="0.25">
      <c r="B14" s="441"/>
      <c r="C14" s="59"/>
      <c r="D14" s="304"/>
      <c r="E14" s="320"/>
      <c r="F14" s="307"/>
      <c r="G14" s="222"/>
      <c r="H14" s="311"/>
      <c r="I14" s="61"/>
    </row>
    <row r="15" spans="2:9" x14ac:dyDescent="0.25">
      <c r="B15" s="441"/>
      <c r="C15" s="59"/>
      <c r="D15" s="304"/>
      <c r="E15" s="320"/>
      <c r="F15" s="308"/>
      <c r="G15" s="222"/>
      <c r="H15" s="311"/>
      <c r="I15" s="61"/>
    </row>
    <row r="16" spans="2:9" x14ac:dyDescent="0.25">
      <c r="B16" s="441"/>
      <c r="C16" s="59"/>
      <c r="D16" s="304"/>
      <c r="E16" s="320"/>
      <c r="F16" s="306"/>
      <c r="G16" s="222"/>
      <c r="H16" s="311"/>
      <c r="I16" s="61"/>
    </row>
    <row r="17" spans="2:9" x14ac:dyDescent="0.25">
      <c r="B17" s="441"/>
      <c r="C17" s="59"/>
      <c r="D17" s="304"/>
      <c r="E17" s="320"/>
      <c r="F17" s="306"/>
      <c r="G17" s="222"/>
      <c r="H17" s="311"/>
      <c r="I17" s="61"/>
    </row>
    <row r="18" spans="2:9" x14ac:dyDescent="0.25">
      <c r="B18" s="441"/>
      <c r="C18" s="59"/>
      <c r="D18" s="304"/>
      <c r="E18" s="320"/>
      <c r="F18" s="306"/>
      <c r="G18" s="222"/>
      <c r="H18" s="311"/>
      <c r="I18" s="61"/>
    </row>
    <row r="19" spans="2:9" x14ac:dyDescent="0.25">
      <c r="B19" s="441"/>
      <c r="C19" s="59"/>
      <c r="D19" s="304"/>
      <c r="E19" s="320"/>
      <c r="F19" s="306"/>
      <c r="G19" s="222"/>
      <c r="H19" s="311"/>
      <c r="I19" s="61"/>
    </row>
    <row r="20" spans="2:9" x14ac:dyDescent="0.25">
      <c r="B20" s="441"/>
      <c r="C20" s="59"/>
      <c r="D20" s="304"/>
      <c r="E20" s="320"/>
      <c r="F20" s="307"/>
      <c r="G20" s="222"/>
      <c r="H20" s="311"/>
      <c r="I20" s="61"/>
    </row>
    <row r="21" spans="2:9" x14ac:dyDescent="0.25">
      <c r="B21" s="441"/>
      <c r="C21" s="59"/>
      <c r="D21" s="304"/>
      <c r="E21" s="320"/>
      <c r="F21" s="306"/>
      <c r="G21" s="222"/>
      <c r="H21" s="311"/>
      <c r="I21" s="61"/>
    </row>
    <row r="22" spans="2:9" ht="13.5" thickBot="1" x14ac:dyDescent="0.3">
      <c r="B22" s="441"/>
      <c r="C22" s="59"/>
      <c r="D22" s="305"/>
      <c r="E22" s="320"/>
      <c r="F22" s="309"/>
      <c r="G22" s="223"/>
      <c r="H22" s="314"/>
      <c r="I22" s="61"/>
    </row>
    <row r="23" spans="2:9" ht="13.5" thickBot="1" x14ac:dyDescent="0.3">
      <c r="B23" s="442"/>
      <c r="C23" s="63"/>
      <c r="D23" s="63"/>
      <c r="E23" s="63"/>
      <c r="F23" s="63"/>
      <c r="G23" s="63"/>
      <c r="H23" s="63"/>
      <c r="I23" s="65"/>
    </row>
    <row r="24" spans="2:9" ht="52.5" customHeight="1" thickBot="1" x14ac:dyDescent="0.3">
      <c r="B24" s="424" t="s">
        <v>94</v>
      </c>
      <c r="C24" s="425"/>
      <c r="D24" s="426"/>
      <c r="E24" s="427"/>
      <c r="F24" s="427"/>
      <c r="G24" s="427"/>
      <c r="H24" s="427"/>
      <c r="I24" s="428"/>
    </row>
    <row r="25" spans="2:9" x14ac:dyDescent="0.25">
      <c r="B25" s="20"/>
      <c r="C25" s="21"/>
      <c r="D25" s="21"/>
      <c r="E25" s="21"/>
      <c r="F25" s="21"/>
      <c r="G25" s="21"/>
      <c r="H25" s="21"/>
      <c r="I25" s="22"/>
    </row>
    <row r="26" spans="2:9" ht="13.5" thickBot="1" x14ac:dyDescent="0.3">
      <c r="B26" s="390" t="s">
        <v>9</v>
      </c>
      <c r="C26" s="391"/>
      <c r="D26" s="391"/>
      <c r="E26" s="391"/>
      <c r="F26" s="391"/>
      <c r="G26" s="391"/>
      <c r="H26" s="391"/>
      <c r="I26" s="392"/>
    </row>
  </sheetData>
  <sheetProtection password="C288" sheet="1"/>
  <mergeCells count="10">
    <mergeCell ref="B24:C24"/>
    <mergeCell ref="D24:I24"/>
    <mergeCell ref="C6:I6"/>
    <mergeCell ref="B26:I26"/>
    <mergeCell ref="E2:F2"/>
    <mergeCell ref="B4:I4"/>
    <mergeCell ref="C5:G5"/>
    <mergeCell ref="F7:H7"/>
    <mergeCell ref="B6:B23"/>
    <mergeCell ref="H5:I5"/>
  </mergeCells>
  <dataValidations disablePrompts="1" count="1">
    <dataValidation type="list" allowBlank="1" showInputMessage="1" showErrorMessage="1" sqref="H5:I5">
      <formula1>YesNo</formula1>
    </dataValidation>
  </dataValidations>
  <hyperlinks>
    <hyperlink ref="B2" location="'Reporting Level'!A1" display="Previous Page"/>
    <hyperlink ref="E2:F2" location="'Table of Contents'!A1" display="Table of Contents"/>
    <hyperlink ref="I2" location="'1a'!A1" display="Next Page"/>
  </hyperlinks>
  <printOptions horizontalCentered="1"/>
  <pageMargins left="0.25" right="0.25" top="0.75" bottom="0.75" header="0.3" footer="0.3"/>
  <pageSetup orientation="landscape" verticalDpi="12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2"/>
  <sheetViews>
    <sheetView topLeftCell="Y1" zoomScale="70" zoomScaleNormal="70" workbookViewId="0">
      <selection activeCell="C7" sqref="C7:D7"/>
    </sheetView>
  </sheetViews>
  <sheetFormatPr defaultRowHeight="15" x14ac:dyDescent="0.25"/>
  <sheetData>
    <row r="1" spans="1:59"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2284</v>
      </c>
      <c r="AB1" t="s">
        <v>2285</v>
      </c>
      <c r="AC1" t="s">
        <v>1939</v>
      </c>
      <c r="AD1" t="s">
        <v>2286</v>
      </c>
      <c r="AE1" t="s">
        <v>2287</v>
      </c>
      <c r="AF1" t="s">
        <v>2288</v>
      </c>
      <c r="AG1" t="s">
        <v>2289</v>
      </c>
      <c r="AH1" t="s">
        <v>2290</v>
      </c>
      <c r="AI1" t="s">
        <v>2291</v>
      </c>
      <c r="AJ1" t="s">
        <v>2292</v>
      </c>
      <c r="AK1" t="s">
        <v>2293</v>
      </c>
      <c r="AL1" t="s">
        <v>2294</v>
      </c>
      <c r="AM1" t="s">
        <v>2295</v>
      </c>
      <c r="AN1" t="s">
        <v>2296</v>
      </c>
      <c r="AO1" t="s">
        <v>2297</v>
      </c>
      <c r="AP1" t="s">
        <v>2298</v>
      </c>
      <c r="AQ1" t="s">
        <v>2299</v>
      </c>
      <c r="AR1" t="s">
        <v>2300</v>
      </c>
      <c r="AS1" t="s">
        <v>2301</v>
      </c>
      <c r="AT1" t="s">
        <v>2302</v>
      </c>
      <c r="AU1" t="s">
        <v>2303</v>
      </c>
      <c r="AV1" t="s">
        <v>2304</v>
      </c>
      <c r="AW1" t="s">
        <v>2305</v>
      </c>
      <c r="AX1" t="s">
        <v>2306</v>
      </c>
      <c r="AY1" t="s">
        <v>2307</v>
      </c>
      <c r="AZ1" t="s">
        <v>2308</v>
      </c>
      <c r="BA1" t="s">
        <v>2309</v>
      </c>
      <c r="BB1" t="s">
        <v>2310</v>
      </c>
      <c r="BC1" t="s">
        <v>2311</v>
      </c>
      <c r="BD1" t="s">
        <v>2312</v>
      </c>
      <c r="BE1" t="s">
        <v>2313</v>
      </c>
      <c r="BF1" t="s">
        <v>2314</v>
      </c>
      <c r="BG1" t="s">
        <v>2315</v>
      </c>
    </row>
    <row r="2" spans="1:59" x14ac:dyDescent="0.25">
      <c r="A2">
        <f>Q_RP_B_DSSCAGE_01</f>
        <v>0</v>
      </c>
      <c r="B2">
        <f>Q1a_A_LocationName</f>
        <v>0</v>
      </c>
      <c r="C2">
        <f>Q1a_A_LocOrgName</f>
        <v>0</v>
      </c>
      <c r="D2">
        <f>Q1a_B_Parent1_Name</f>
        <v>0</v>
      </c>
      <c r="E2">
        <f>Q_RP_A_MultiResponse</f>
        <v>0</v>
      </c>
      <c r="F2">
        <f>'D-RepLevel'!$F$2</f>
        <v>0</v>
      </c>
      <c r="G2">
        <f>'D-RepLevel'!$G$2</f>
        <v>0</v>
      </c>
      <c r="H2">
        <f>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Q4b_A_NumUSGPrograms</f>
        <v>0</v>
      </c>
      <c r="M2">
        <f>Q6_A_Employees_Year3</f>
        <v>0</v>
      </c>
      <c r="N2">
        <f>Q6_B_Employee_H1B_Total+Q6_B_Employee_H2B_Total+Q6_B_Employee_F1_Total+Q6_B_Employee_GreenCard_Total+Q6_B_Employee_Other_Total</f>
        <v>0</v>
      </c>
      <c r="O2">
        <f>Year3</f>
        <v>2015</v>
      </c>
      <c r="P2">
        <f>Q7_A_TotalSales_US_Year3+Q7_A_TotalSales_NonUS_Year3</f>
        <v>0</v>
      </c>
      <c r="Q2">
        <f>Q7_B_DefSales_US_Year3_Pct*Q7_A_TotalSales_US_Year3+Q7_B_DefSales_NonUS_Year3_Pct*Q7_A_TotalSales_NonUS_Year3</f>
        <v>0</v>
      </c>
      <c r="R2">
        <f>Q9a_B_Physical_Year3</f>
        <v>0</v>
      </c>
      <c r="S2">
        <f>Q9a_B_Cyber_Year3</f>
        <v>0</v>
      </c>
      <c r="T2">
        <f>COUNTIF('9a'!$K$22:$K$32, "Yes")+COUNTIF('9a'!$O$22:$O$32, "Yes")</f>
        <v>0</v>
      </c>
      <c r="U2" t="str">
        <f>IF(Q12_OpEx_Year3=0, "No Expenditures", Q9b_A_PhysicalSpending_Year3/(Q12_OpEx_Year3))</f>
        <v>No Expenditures</v>
      </c>
      <c r="V2" t="str">
        <f>IF(Q12_OpEx_Year3=0, "No Expenditures", Q9b_A_CyberSpending_Year3/(Q12_OpEx_Year3))</f>
        <v>No Expenditures</v>
      </c>
      <c r="W2">
        <f>Q9b_C_Pct_CSI_External</f>
        <v>0</v>
      </c>
      <c r="X2" t="str">
        <f>'D-Risk'!$AO$25</f>
        <v>Insufficient Data</v>
      </c>
      <c r="Y2" t="str">
        <f>'D-Risk'!$AO$26</f>
        <v>Insufficient Data</v>
      </c>
      <c r="Z2" t="str">
        <f>'D-Risk'!$AO$27</f>
        <v>Uncalculated</v>
      </c>
      <c r="AA2">
        <f>Q6_A_Employees_Year1</f>
        <v>0</v>
      </c>
      <c r="AB2">
        <f>Q6_A_Employees_Year2</f>
        <v>0</v>
      </c>
      <c r="AC2">
        <f>Q6_A_Employees_Year3</f>
        <v>0</v>
      </c>
      <c r="AD2">
        <f>Q6_A_Contractors_Year1</f>
        <v>0</v>
      </c>
      <c r="AE2">
        <f>Q6_A_Contractors_Year2</f>
        <v>0</v>
      </c>
      <c r="AF2">
        <f>Q6_A_Contractors_Year3</f>
        <v>0</v>
      </c>
      <c r="AG2" t="str">
        <f>IF(ISBLANK(Q6_B_TotalNonUS), "Blank Entry", Q6_B_TotalNonUS)</f>
        <v>Blank Entry</v>
      </c>
      <c r="AH2">
        <f>Q6_B_Employee_H1B_Total</f>
        <v>0</v>
      </c>
      <c r="AI2">
        <f>Q6_B_Employee_H2B_Total</f>
        <v>0</v>
      </c>
      <c r="AJ2">
        <f>Q6_B_Employee_F1_Total</f>
        <v>0</v>
      </c>
      <c r="AK2">
        <f>Q6_B_Employee_GreenCard_Total</f>
        <v>0</v>
      </c>
      <c r="AL2">
        <f>Q6_B_Employee_Other_Total</f>
        <v>0</v>
      </c>
      <c r="AM2">
        <f>Q6_B_Contractor_H1B_Total</f>
        <v>0</v>
      </c>
      <c r="AN2">
        <f>Q6_B_Contractor_H2B_Total</f>
        <v>0</v>
      </c>
      <c r="AO2">
        <f>Q6_B_Contractor_F1_Total</f>
        <v>0</v>
      </c>
      <c r="AP2">
        <f>Q6_B_Contractor_GreenCard_Total</f>
        <v>0</v>
      </c>
      <c r="AQ2">
        <f>Q6_B_Contractor_Other_Total</f>
        <v>0</v>
      </c>
      <c r="AR2">
        <f>Q6_C_Confidential</f>
        <v>0</v>
      </c>
      <c r="AS2">
        <f>Q6_C_Secret</f>
        <v>0</v>
      </c>
      <c r="AT2">
        <f>Q6_C_TopSecret</f>
        <v>0</v>
      </c>
      <c r="AU2">
        <f>Q6_Comments</f>
        <v>0</v>
      </c>
      <c r="AV2">
        <f>Q6D_Difficulty_YN</f>
        <v>0</v>
      </c>
      <c r="AW2">
        <f>Q6D_Engineer_Difficulty_Type</f>
        <v>0</v>
      </c>
      <c r="AX2">
        <f>Q6D_Engineer_Difficulty_Explain</f>
        <v>0</v>
      </c>
      <c r="AY2">
        <f>Q6D_IT_Difficulty_Type</f>
        <v>0</v>
      </c>
      <c r="AZ2">
        <f>Q6D_IT_Difficulty_Explain</f>
        <v>0</v>
      </c>
      <c r="BA2">
        <f>Q6D_Production_Difficulty_Type</f>
        <v>0</v>
      </c>
      <c r="BB2">
        <f>Q6D_Production_Difficulty_Explain</f>
        <v>0</v>
      </c>
      <c r="BC2">
        <f>Q6D_Testing_Difficulty_Type</f>
        <v>0</v>
      </c>
      <c r="BD2">
        <f>Q6D_Testing_Difficulty_Explain</f>
        <v>0</v>
      </c>
      <c r="BE2">
        <f>Q6D_Other_Difficulty_Type</f>
        <v>0</v>
      </c>
      <c r="BF2">
        <f>Q6D_Other_Difficulty_Explain</f>
        <v>0</v>
      </c>
      <c r="BG2" t="str">
        <f>Q6D_Other_Difficulty_Specify</f>
        <v>(specify here)</v>
      </c>
    </row>
  </sheetData>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6"/>
  <sheetViews>
    <sheetView zoomScale="70" zoomScaleNormal="70" workbookViewId="0">
      <selection activeCell="C7" sqref="C7:D7"/>
    </sheetView>
  </sheetViews>
  <sheetFormatPr defaultRowHeight="15" x14ac:dyDescent="0.25"/>
  <sheetData>
    <row r="1" spans="1:33"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108</v>
      </c>
      <c r="AB1" t="s">
        <v>2316</v>
      </c>
      <c r="AC1" t="s">
        <v>2317</v>
      </c>
      <c r="AD1" t="s">
        <v>2318</v>
      </c>
      <c r="AE1" t="s">
        <v>1177</v>
      </c>
      <c r="AF1" t="s">
        <v>841</v>
      </c>
      <c r="AG1" t="s">
        <v>2319</v>
      </c>
    </row>
    <row r="2" spans="1:33" x14ac:dyDescent="0.25">
      <c r="A2">
        <f t="shared" ref="A2:A16" si="0">Q_RP_B_DSSCAGE_01</f>
        <v>0</v>
      </c>
      <c r="B2">
        <f t="shared" ref="B2:B16" si="1">Q1a_A_LocationName</f>
        <v>0</v>
      </c>
      <c r="C2">
        <f t="shared" ref="C2:C16" si="2">Q1a_A_LocOrgName</f>
        <v>0</v>
      </c>
      <c r="D2">
        <f t="shared" ref="D2:D16" si="3">Q1a_B_Parent1_Name</f>
        <v>0</v>
      </c>
      <c r="E2">
        <f t="shared" ref="E2:E16" si="4">Q_RP_A_MultiResponse</f>
        <v>0</v>
      </c>
      <c r="F2">
        <f>'D-RepLevel'!$F$2</f>
        <v>0</v>
      </c>
      <c r="G2">
        <f>'D-RepLevel'!$G$2</f>
        <v>0</v>
      </c>
      <c r="H2">
        <f t="shared" ref="H2:H16"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16" si="6">Q4b_A_NumUSGPrograms</f>
        <v>0</v>
      </c>
      <c r="M2">
        <f t="shared" ref="M2:M16" si="7">Q6_A_Employees_Year3</f>
        <v>0</v>
      </c>
      <c r="N2">
        <f t="shared" ref="N2:N16" si="8">Q6_B_Employee_H1B_Total+Q6_B_Employee_H2B_Total+Q6_B_Employee_F1_Total+Q6_B_Employee_GreenCard_Total+Q6_B_Employee_Other_Total</f>
        <v>0</v>
      </c>
      <c r="O2">
        <f t="shared" ref="O2:O16" si="9">Year3</f>
        <v>2015</v>
      </c>
      <c r="P2">
        <f t="shared" ref="P2:P16" si="10">Q7_A_TotalSales_US_Year3+Q7_A_TotalSales_NonUS_Year3</f>
        <v>0</v>
      </c>
      <c r="Q2">
        <f t="shared" ref="Q2:Q16" si="11">Q7_B_DefSales_US_Year3_Pct*Q7_A_TotalSales_US_Year3+Q7_B_DefSales_NonUS_Year3_Pct*Q7_A_TotalSales_NonUS_Year3</f>
        <v>0</v>
      </c>
      <c r="R2">
        <f t="shared" ref="R2:R16" si="12">Q9a_B_Physical_Year3</f>
        <v>0</v>
      </c>
      <c r="S2">
        <f t="shared" ref="S2:S16" si="13">Q9a_B_Cyber_Year3</f>
        <v>0</v>
      </c>
      <c r="T2">
        <f>COUNTIF('9a'!$K$22:$K$32, "Yes")+COUNTIF('9a'!$O$22:$O$32, "Yes")</f>
        <v>0</v>
      </c>
      <c r="U2" t="str">
        <f t="shared" ref="U2:U16" si="14">IF(Q12_OpEx_Year3=0, "No Expenditures", Q9b_A_PhysicalSpending_Year3/(Q12_OpEx_Year3))</f>
        <v>No Expenditures</v>
      </c>
      <c r="V2" t="str">
        <f t="shared" ref="V2:V16" si="15">IF(Q12_OpEx_Year3=0, "No Expenditures", Q9b_A_CyberSpending_Year3/(Q12_OpEx_Year3))</f>
        <v>No Expenditures</v>
      </c>
      <c r="W2">
        <f t="shared" ref="W2:W16" si="16">Q9b_C_Pct_CSI_External</f>
        <v>0</v>
      </c>
      <c r="X2" t="str">
        <f>'D-Risk'!$AO$25</f>
        <v>Insufficient Data</v>
      </c>
      <c r="Y2" t="str">
        <f>'D-Risk'!$AO$26</f>
        <v>Insufficient Data</v>
      </c>
      <c r="Z2" t="str">
        <f>'D-Risk'!$AO$27</f>
        <v>Uncalculated</v>
      </c>
      <c r="AA2">
        <v>1</v>
      </c>
      <c r="AB2">
        <f>'6'!C15</f>
        <v>0</v>
      </c>
      <c r="AC2">
        <f>'6'!D15</f>
        <v>0</v>
      </c>
      <c r="AD2">
        <f>'6'!E15</f>
        <v>0</v>
      </c>
      <c r="AE2">
        <f>'6'!F15</f>
        <v>0</v>
      </c>
      <c r="AF2">
        <f>'6'!G15</f>
        <v>0</v>
      </c>
      <c r="AG2">
        <f>'6'!H15</f>
        <v>0</v>
      </c>
    </row>
    <row r="3" spans="1:33"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v>2</v>
      </c>
      <c r="AB3">
        <f>'6'!C16</f>
        <v>0</v>
      </c>
      <c r="AC3">
        <f>'6'!D16</f>
        <v>0</v>
      </c>
      <c r="AD3">
        <f>'6'!E16</f>
        <v>0</v>
      </c>
      <c r="AE3">
        <f>'6'!F16</f>
        <v>0</v>
      </c>
      <c r="AF3">
        <f>'6'!G16</f>
        <v>0</v>
      </c>
      <c r="AG3">
        <f>'6'!H16</f>
        <v>0</v>
      </c>
    </row>
    <row r="4" spans="1:33"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v>3</v>
      </c>
      <c r="AB4">
        <f>'6'!C17</f>
        <v>0</v>
      </c>
      <c r="AC4">
        <f>'6'!D17</f>
        <v>0</v>
      </c>
      <c r="AD4">
        <f>'6'!E17</f>
        <v>0</v>
      </c>
      <c r="AE4">
        <f>'6'!F17</f>
        <v>0</v>
      </c>
      <c r="AF4">
        <f>'6'!G17</f>
        <v>0</v>
      </c>
      <c r="AG4">
        <f>'6'!H17</f>
        <v>0</v>
      </c>
    </row>
    <row r="5" spans="1:33"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v>4</v>
      </c>
      <c r="AB5">
        <f>'6'!C18</f>
        <v>0</v>
      </c>
      <c r="AC5">
        <f>'6'!D18</f>
        <v>0</v>
      </c>
      <c r="AD5">
        <f>'6'!E18</f>
        <v>0</v>
      </c>
      <c r="AE5">
        <f>'6'!F18</f>
        <v>0</v>
      </c>
      <c r="AF5">
        <f>'6'!G18</f>
        <v>0</v>
      </c>
      <c r="AG5">
        <f>'6'!H18</f>
        <v>0</v>
      </c>
    </row>
    <row r="6" spans="1:33"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v>5</v>
      </c>
      <c r="AB6">
        <f>'6'!C19</f>
        <v>0</v>
      </c>
      <c r="AC6">
        <f>'6'!D19</f>
        <v>0</v>
      </c>
      <c r="AD6">
        <f>'6'!E19</f>
        <v>0</v>
      </c>
      <c r="AE6">
        <f>'6'!F19</f>
        <v>0</v>
      </c>
      <c r="AF6">
        <f>'6'!G19</f>
        <v>0</v>
      </c>
      <c r="AG6">
        <f>'6'!H19</f>
        <v>0</v>
      </c>
    </row>
    <row r="7" spans="1:33"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v>6</v>
      </c>
      <c r="AB7">
        <f>'6'!C20</f>
        <v>0</v>
      </c>
      <c r="AC7">
        <f>'6'!D20</f>
        <v>0</v>
      </c>
      <c r="AD7">
        <f>'6'!E20</f>
        <v>0</v>
      </c>
      <c r="AE7">
        <f>'6'!F20</f>
        <v>0</v>
      </c>
      <c r="AF7">
        <f>'6'!G20</f>
        <v>0</v>
      </c>
      <c r="AG7">
        <f>'6'!H20</f>
        <v>0</v>
      </c>
    </row>
    <row r="8" spans="1:33"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v>7</v>
      </c>
      <c r="AB8">
        <f>'6'!C21</f>
        <v>0</v>
      </c>
      <c r="AC8">
        <f>'6'!D21</f>
        <v>0</v>
      </c>
      <c r="AD8">
        <f>'6'!E21</f>
        <v>0</v>
      </c>
      <c r="AE8">
        <f>'6'!F21</f>
        <v>0</v>
      </c>
      <c r="AF8">
        <f>'6'!G21</f>
        <v>0</v>
      </c>
      <c r="AG8">
        <f>'6'!H21</f>
        <v>0</v>
      </c>
    </row>
    <row r="9" spans="1:33"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v>8</v>
      </c>
      <c r="AB9">
        <f>'6'!C22</f>
        <v>0</v>
      </c>
      <c r="AC9">
        <f>'6'!D22</f>
        <v>0</v>
      </c>
      <c r="AD9">
        <f>'6'!E22</f>
        <v>0</v>
      </c>
      <c r="AE9">
        <f>'6'!F22</f>
        <v>0</v>
      </c>
      <c r="AF9">
        <f>'6'!G22</f>
        <v>0</v>
      </c>
      <c r="AG9">
        <f>'6'!H22</f>
        <v>0</v>
      </c>
    </row>
    <row r="10" spans="1:33"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v>9</v>
      </c>
      <c r="AB10">
        <f>'6'!C23</f>
        <v>0</v>
      </c>
      <c r="AC10">
        <f>'6'!D23</f>
        <v>0</v>
      </c>
      <c r="AD10">
        <f>'6'!E23</f>
        <v>0</v>
      </c>
      <c r="AE10">
        <f>'6'!F23</f>
        <v>0</v>
      </c>
      <c r="AF10">
        <f>'6'!G23</f>
        <v>0</v>
      </c>
      <c r="AG10">
        <f>'6'!H23</f>
        <v>0</v>
      </c>
    </row>
    <row r="11" spans="1:33"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v>10</v>
      </c>
      <c r="AB11">
        <f>'6'!C24</f>
        <v>0</v>
      </c>
      <c r="AC11">
        <f>'6'!D24</f>
        <v>0</v>
      </c>
      <c r="AD11">
        <f>'6'!E24</f>
        <v>0</v>
      </c>
      <c r="AE11">
        <f>'6'!F24</f>
        <v>0</v>
      </c>
      <c r="AF11">
        <f>'6'!G24</f>
        <v>0</v>
      </c>
      <c r="AG11">
        <f>'6'!H24</f>
        <v>0</v>
      </c>
    </row>
    <row r="12" spans="1:33"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v>11</v>
      </c>
      <c r="AB12">
        <f>'6'!C25</f>
        <v>0</v>
      </c>
      <c r="AC12">
        <f>'6'!D25</f>
        <v>0</v>
      </c>
      <c r="AD12">
        <f>'6'!E25</f>
        <v>0</v>
      </c>
      <c r="AE12">
        <f>'6'!F25</f>
        <v>0</v>
      </c>
      <c r="AF12">
        <f>'6'!G25</f>
        <v>0</v>
      </c>
      <c r="AG12">
        <f>'6'!H25</f>
        <v>0</v>
      </c>
    </row>
    <row r="13" spans="1:33"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v>12</v>
      </c>
      <c r="AB13">
        <f>'6'!C26</f>
        <v>0</v>
      </c>
      <c r="AC13">
        <f>'6'!D26</f>
        <v>0</v>
      </c>
      <c r="AD13">
        <f>'6'!E26</f>
        <v>0</v>
      </c>
      <c r="AE13">
        <f>'6'!F26</f>
        <v>0</v>
      </c>
      <c r="AF13">
        <f>'6'!G26</f>
        <v>0</v>
      </c>
      <c r="AG13">
        <f>'6'!H26</f>
        <v>0</v>
      </c>
    </row>
    <row r="14" spans="1:33"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v>13</v>
      </c>
      <c r="AB14">
        <f>'6'!C27</f>
        <v>0</v>
      </c>
      <c r="AC14">
        <f>'6'!D27</f>
        <v>0</v>
      </c>
      <c r="AD14">
        <f>'6'!E27</f>
        <v>0</v>
      </c>
      <c r="AE14">
        <f>'6'!F27</f>
        <v>0</v>
      </c>
      <c r="AF14">
        <f>'6'!G27</f>
        <v>0</v>
      </c>
      <c r="AG14">
        <f>'6'!H27</f>
        <v>0</v>
      </c>
    </row>
    <row r="15" spans="1:33"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v>14</v>
      </c>
      <c r="AB15">
        <f>'6'!C28</f>
        <v>0</v>
      </c>
      <c r="AC15">
        <f>'6'!D28</f>
        <v>0</v>
      </c>
      <c r="AD15">
        <f>'6'!E28</f>
        <v>0</v>
      </c>
      <c r="AE15">
        <f>'6'!F28</f>
        <v>0</v>
      </c>
      <c r="AF15">
        <f>'6'!G28</f>
        <v>0</v>
      </c>
      <c r="AG15">
        <f>'6'!H28</f>
        <v>0</v>
      </c>
    </row>
    <row r="16" spans="1:33"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v>15</v>
      </c>
      <c r="AB16">
        <f>'6'!C29</f>
        <v>0</v>
      </c>
      <c r="AC16">
        <f>'6'!D29</f>
        <v>0</v>
      </c>
      <c r="AD16">
        <f>'6'!E29</f>
        <v>0</v>
      </c>
      <c r="AE16">
        <f>'6'!F29</f>
        <v>0</v>
      </c>
      <c r="AF16">
        <f>'6'!G29</f>
        <v>0</v>
      </c>
      <c r="AG16">
        <f>'6'!H29</f>
        <v>0</v>
      </c>
    </row>
  </sheetData>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7"/>
  <sheetViews>
    <sheetView zoomScale="70" zoomScaleNormal="70" workbookViewId="0">
      <selection activeCell="C7" sqref="C7:D7"/>
    </sheetView>
  </sheetViews>
  <sheetFormatPr defaultRowHeight="15" x14ac:dyDescent="0.25"/>
  <sheetData>
    <row r="1" spans="1:33"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2320</v>
      </c>
      <c r="AB1" t="s">
        <v>2321</v>
      </c>
      <c r="AC1" t="s">
        <v>2322</v>
      </c>
      <c r="AD1" t="s">
        <v>2323</v>
      </c>
      <c r="AE1" t="s">
        <v>156</v>
      </c>
      <c r="AF1" t="s">
        <v>2324</v>
      </c>
      <c r="AG1" t="s">
        <v>2325</v>
      </c>
    </row>
    <row r="2" spans="1:33" x14ac:dyDescent="0.25">
      <c r="A2">
        <f t="shared" ref="A2:A37" si="0">Q_RP_B_DSSCAGE_01</f>
        <v>0</v>
      </c>
      <c r="B2">
        <f t="shared" ref="B2:B37" si="1">Q1a_A_LocationName</f>
        <v>0</v>
      </c>
      <c r="C2">
        <f t="shared" ref="C2:C37" si="2">Q1a_A_LocOrgName</f>
        <v>0</v>
      </c>
      <c r="D2">
        <f t="shared" ref="D2:D37" si="3">Q1a_B_Parent1_Name</f>
        <v>0</v>
      </c>
      <c r="E2">
        <f t="shared" ref="E2:E37" si="4">Q_RP_A_MultiResponse</f>
        <v>0</v>
      </c>
      <c r="F2">
        <f>'D-RepLevel'!$F$2</f>
        <v>0</v>
      </c>
      <c r="G2">
        <f>'D-RepLevel'!$G$2</f>
        <v>0</v>
      </c>
      <c r="H2">
        <f t="shared" ref="H2:H37"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7" si="6">Q4b_A_NumUSGPrograms</f>
        <v>0</v>
      </c>
      <c r="M2">
        <f t="shared" ref="M2:M37" si="7">Q6_A_Employees_Year3</f>
        <v>0</v>
      </c>
      <c r="N2">
        <f t="shared" ref="N2:N37" si="8">Q6_B_Employee_H1B_Total+Q6_B_Employee_H2B_Total+Q6_B_Employee_F1_Total+Q6_B_Employee_GreenCard_Total+Q6_B_Employee_Other_Total</f>
        <v>0</v>
      </c>
      <c r="O2">
        <f t="shared" ref="O2:O37" si="9">Year3</f>
        <v>2015</v>
      </c>
      <c r="P2">
        <f t="shared" ref="P2:P37" si="10">Q7_A_TotalSales_US_Year3+Q7_A_TotalSales_NonUS_Year3</f>
        <v>0</v>
      </c>
      <c r="Q2">
        <f t="shared" ref="Q2:Q37" si="11">Q7_B_DefSales_US_Year3_Pct*Q7_A_TotalSales_US_Year3+Q7_B_DefSales_NonUS_Year3_Pct*Q7_A_TotalSales_NonUS_Year3</f>
        <v>0</v>
      </c>
      <c r="R2">
        <f t="shared" ref="R2:R37" si="12">Q9a_B_Physical_Year3</f>
        <v>0</v>
      </c>
      <c r="S2">
        <f t="shared" ref="S2:S37" si="13">Q9a_B_Cyber_Year3</f>
        <v>0</v>
      </c>
      <c r="T2">
        <f>COUNTIF('9a'!$K$22:$K$32, "Yes")+COUNTIF('9a'!$O$22:$O$32, "Yes")</f>
        <v>0</v>
      </c>
      <c r="U2" t="str">
        <f t="shared" ref="U2:U37" si="14">IF(Q12_OpEx_Year3=0, "No Expenditures", Q9b_A_PhysicalSpending_Year3/(Q12_OpEx_Year3))</f>
        <v>No Expenditures</v>
      </c>
      <c r="V2" t="str">
        <f t="shared" ref="V2:V37" si="15">IF(Q12_OpEx_Year3=0, "No Expenditures", Q9b_A_CyberSpending_Year3/(Q12_OpEx_Year3))</f>
        <v>No Expenditures</v>
      </c>
      <c r="W2">
        <f t="shared" ref="W2:W37" si="16">Q9b_C_Pct_CSI_External</f>
        <v>0</v>
      </c>
      <c r="X2" t="str">
        <f>'D-Risk'!$AO$25</f>
        <v>Insufficient Data</v>
      </c>
      <c r="Y2" t="str">
        <f>'D-Risk'!$AO$26</f>
        <v>Insufficient Data</v>
      </c>
      <c r="Z2" t="str">
        <f>'D-Risk'!$AO$27</f>
        <v>Uncalculated</v>
      </c>
      <c r="AA2">
        <f t="shared" ref="AA2:AA37" si="17">Q7_Schedule</f>
        <v>0</v>
      </c>
      <c r="AB2">
        <f t="shared" ref="AB2:AB37" si="18">Q7_Source</f>
        <v>0</v>
      </c>
      <c r="AC2" t="s">
        <v>861</v>
      </c>
      <c r="AD2" t="s">
        <v>2326</v>
      </c>
      <c r="AE2">
        <f t="shared" ref="AE2:AE13" si="19">Year1</f>
        <v>2013</v>
      </c>
      <c r="AF2" t="str">
        <f>IF(ISBLANK(Q7_A_TotalSales_US_Year1), "No Sales", Q7_A_TotalSales_US_Year1)</f>
        <v>No Sales</v>
      </c>
      <c r="AG2">
        <v>1</v>
      </c>
    </row>
    <row r="3" spans="1:33"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f t="shared" si="17"/>
        <v>0</v>
      </c>
      <c r="AB3">
        <f t="shared" si="18"/>
        <v>0</v>
      </c>
      <c r="AC3" t="s">
        <v>861</v>
      </c>
      <c r="AD3" t="s">
        <v>2327</v>
      </c>
      <c r="AE3">
        <f t="shared" si="19"/>
        <v>2013</v>
      </c>
      <c r="AF3">
        <f>IF(AG3="No Entry", 0, IF(ISBLANK(Q7_A_TotalSales_US_Year1), "No Sales", AF2*AG3))</f>
        <v>0</v>
      </c>
      <c r="AG3" t="str">
        <f>IF(ISBLANK(Q7_B_DefSales_US_Year1_Pct), "No Entry", Q7_B_DefSales_US_Year1_Pct)</f>
        <v>No Entry</v>
      </c>
    </row>
    <row r="4" spans="1:33"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f t="shared" si="17"/>
        <v>0</v>
      </c>
      <c r="AB4">
        <f t="shared" si="18"/>
        <v>0</v>
      </c>
      <c r="AC4" t="s">
        <v>861</v>
      </c>
      <c r="AD4" t="s">
        <v>2328</v>
      </c>
      <c r="AE4">
        <f t="shared" si="19"/>
        <v>2013</v>
      </c>
      <c r="AF4">
        <f>IF(AG4="No Entry", 0, IF(ISBLANK(Q7_A_TotalSales_US_Year1), "No Sales", AF2*AG4))</f>
        <v>0</v>
      </c>
      <c r="AG4" t="str">
        <f>IF(ISBLANK(Q7_B_ClassSales_US_Year1_Pct),"No Entry",Q7_B_ClassSales_US_Year1_Pct)</f>
        <v>No Entry</v>
      </c>
    </row>
    <row r="5" spans="1:33"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f t="shared" si="17"/>
        <v>0</v>
      </c>
      <c r="AB5">
        <f t="shared" si="18"/>
        <v>0</v>
      </c>
      <c r="AC5" t="s">
        <v>861</v>
      </c>
      <c r="AD5" t="s">
        <v>2329</v>
      </c>
      <c r="AE5">
        <f t="shared" si="19"/>
        <v>2013</v>
      </c>
      <c r="AF5">
        <f>IF(AG5="No Entry", 0, IF(ISBLANK(Q7_A_TotalSales_US_Year1), "No Sales", AF2*AG5))</f>
        <v>0</v>
      </c>
      <c r="AG5" t="str">
        <f>IF(ISBLANK(Q7_B_GovSales_US_Year1_Pct), "No Entry", Q7_B_GovSales_US_Year1_Pct)</f>
        <v>No Entry</v>
      </c>
    </row>
    <row r="6" spans="1:33"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f t="shared" si="17"/>
        <v>0</v>
      </c>
      <c r="AB6">
        <f t="shared" si="18"/>
        <v>0</v>
      </c>
      <c r="AC6" t="s">
        <v>862</v>
      </c>
      <c r="AD6" t="s">
        <v>2326</v>
      </c>
      <c r="AE6">
        <f t="shared" si="19"/>
        <v>2013</v>
      </c>
      <c r="AF6" t="str">
        <f>IF(ISBLANK(Q7_A_TotalSales_NonUS_Year1), "No Sales", Q7_A_TotalSales_NonUS_Year1)</f>
        <v>No Sales</v>
      </c>
      <c r="AG6">
        <v>1</v>
      </c>
    </row>
    <row r="7" spans="1:33"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f t="shared" si="17"/>
        <v>0</v>
      </c>
      <c r="AB7">
        <f t="shared" si="18"/>
        <v>0</v>
      </c>
      <c r="AC7" t="s">
        <v>862</v>
      </c>
      <c r="AD7" t="s">
        <v>2327</v>
      </c>
      <c r="AE7">
        <f t="shared" si="19"/>
        <v>2013</v>
      </c>
      <c r="AF7">
        <f>IF(AG7="No Entry", 0, IF(ISBLANK(Q7_A_TotalSales_NonUS_Year1), "No Sales", AF6*AG7))</f>
        <v>0</v>
      </c>
      <c r="AG7" t="str">
        <f>IF(ISBLANK(Q7_B_DefSales_NonUS_Year1_Pct), "No Entry", Q7_B_DefSales_NonUS_Year1_Pct)</f>
        <v>No Entry</v>
      </c>
    </row>
    <row r="8" spans="1:33"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f t="shared" si="17"/>
        <v>0</v>
      </c>
      <c r="AB8">
        <f t="shared" si="18"/>
        <v>0</v>
      </c>
      <c r="AC8" t="s">
        <v>862</v>
      </c>
      <c r="AD8" t="s">
        <v>2328</v>
      </c>
      <c r="AE8">
        <f t="shared" si="19"/>
        <v>2013</v>
      </c>
      <c r="AF8">
        <f>IF(AG8="No Entry", 0, IF(ISBLANK(Q7_A_TotalSales_NonUS_Year1), "No Sales", AF6*AG8))</f>
        <v>0</v>
      </c>
      <c r="AG8" t="str">
        <f>IF(ISBLANK(Q7_B_ClassSales_NonUS_Year1_Pct), "No Entry", Q7_B_ClassSales_NonUS_Year1_Pct)</f>
        <v>No Entry</v>
      </c>
    </row>
    <row r="9" spans="1:33"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f t="shared" si="17"/>
        <v>0</v>
      </c>
      <c r="AB9">
        <f t="shared" si="18"/>
        <v>0</v>
      </c>
      <c r="AC9" t="s">
        <v>862</v>
      </c>
      <c r="AD9" t="s">
        <v>2329</v>
      </c>
      <c r="AE9">
        <f t="shared" si="19"/>
        <v>2013</v>
      </c>
      <c r="AF9">
        <f>IF(AG9="No Entry", 0, IF(ISBLANK(Q7_A_TotalSales_NonUS_Year1), "No Sales", AF6*AG9))</f>
        <v>0</v>
      </c>
      <c r="AG9" t="str">
        <f>IF(ISBLANK(Q7_B_GovSales_NonUS_Year1_Pct), "No Entry", Q7_B_GovSales_NonUS_Year1_Pct)</f>
        <v>No Entry</v>
      </c>
    </row>
    <row r="10" spans="1:33"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f t="shared" si="17"/>
        <v>0</v>
      </c>
      <c r="AB10">
        <f t="shared" si="18"/>
        <v>0</v>
      </c>
      <c r="AC10" t="s">
        <v>2330</v>
      </c>
      <c r="AD10" t="s">
        <v>2326</v>
      </c>
      <c r="AE10">
        <f t="shared" si="19"/>
        <v>2013</v>
      </c>
      <c r="AF10">
        <f>IF(ISERROR(AF2/1), 0, AF2)+IF(ISERROR(AF6/1), 0, AF6)</f>
        <v>0</v>
      </c>
      <c r="AG10">
        <v>1</v>
      </c>
    </row>
    <row r="11" spans="1:33"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f t="shared" si="17"/>
        <v>0</v>
      </c>
      <c r="AB11">
        <f t="shared" si="18"/>
        <v>0</v>
      </c>
      <c r="AC11" t="s">
        <v>2330</v>
      </c>
      <c r="AD11" t="s">
        <v>2327</v>
      </c>
      <c r="AE11">
        <f t="shared" si="19"/>
        <v>2013</v>
      </c>
      <c r="AF11">
        <f>IF(ISERROR(AF3/1), 0, AF3)+IF(ISERROR(AF7/1), 0, AF7)</f>
        <v>0</v>
      </c>
      <c r="AG11" t="str">
        <f>IF(AF10=0, "No Sales", AF11/AF10)</f>
        <v>No Sales</v>
      </c>
    </row>
    <row r="12" spans="1:33"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f t="shared" si="17"/>
        <v>0</v>
      </c>
      <c r="AB12">
        <f t="shared" si="18"/>
        <v>0</v>
      </c>
      <c r="AC12" t="s">
        <v>2330</v>
      </c>
      <c r="AD12" t="s">
        <v>2328</v>
      </c>
      <c r="AE12">
        <f t="shared" si="19"/>
        <v>2013</v>
      </c>
      <c r="AF12">
        <f>IF(ISERROR(AF4/1), 0, AF4)+IF(ISERROR(AF8/1), 0, AF8)</f>
        <v>0</v>
      </c>
      <c r="AG12" t="str">
        <f>IF(AF10=0, "No Sales", AF12/AF10)</f>
        <v>No Sales</v>
      </c>
    </row>
    <row r="13" spans="1:33"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f t="shared" si="17"/>
        <v>0</v>
      </c>
      <c r="AB13">
        <f t="shared" si="18"/>
        <v>0</v>
      </c>
      <c r="AC13" t="s">
        <v>2330</v>
      </c>
      <c r="AD13" t="s">
        <v>2329</v>
      </c>
      <c r="AE13">
        <f t="shared" si="19"/>
        <v>2013</v>
      </c>
      <c r="AF13">
        <f>IF(ISERROR(AF5/1), 0, AF5)+IF(ISERROR(AF9/1), 0, AF9)</f>
        <v>0</v>
      </c>
      <c r="AG13" t="str">
        <f>IF(AF10=0, "No Sales", AF13/AF10)</f>
        <v>No Sales</v>
      </c>
    </row>
    <row r="14" spans="1:33"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f t="shared" si="17"/>
        <v>0</v>
      </c>
      <c r="AB14">
        <f t="shared" si="18"/>
        <v>0</v>
      </c>
      <c r="AC14" t="s">
        <v>861</v>
      </c>
      <c r="AD14" t="s">
        <v>2326</v>
      </c>
      <c r="AE14">
        <f t="shared" ref="AE14:AE25" si="20">Year2</f>
        <v>2014</v>
      </c>
      <c r="AF14">
        <f>Q7_A_TotalSales_US_Year2</f>
        <v>0</v>
      </c>
      <c r="AG14">
        <v>1</v>
      </c>
    </row>
    <row r="15" spans="1:33"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f t="shared" si="17"/>
        <v>0</v>
      </c>
      <c r="AB15">
        <f t="shared" si="18"/>
        <v>0</v>
      </c>
      <c r="AC15" t="s">
        <v>861</v>
      </c>
      <c r="AD15" t="s">
        <v>2327</v>
      </c>
      <c r="AE15">
        <f t="shared" si="20"/>
        <v>2014</v>
      </c>
      <c r="AF15">
        <f>IF(AG15="No Entry", 0, IF(ISBLANK(Q7_A_TotalSales_US_Year1), "No Sales", AF14*AG15))</f>
        <v>0</v>
      </c>
      <c r="AG15" t="str">
        <f>IF(ISBLANK(Q7_B_DefSales_US_Year2_Pct), "No Entry", Q7_B_DefSales_US_Year2_Pct)</f>
        <v>No Entry</v>
      </c>
    </row>
    <row r="16" spans="1:33"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f t="shared" si="17"/>
        <v>0</v>
      </c>
      <c r="AB16">
        <f t="shared" si="18"/>
        <v>0</v>
      </c>
      <c r="AC16" t="s">
        <v>861</v>
      </c>
      <c r="AD16" t="s">
        <v>2328</v>
      </c>
      <c r="AE16">
        <f t="shared" si="20"/>
        <v>2014</v>
      </c>
      <c r="AF16">
        <f>IF(AG16="No Entry", 0, IF(ISBLANK(Q7_A_TotalSales_US_Year1), "No Sales", AF14*AG16))</f>
        <v>0</v>
      </c>
      <c r="AG16" t="str">
        <f>IF(ISBLANK(Q7_B_ClassSales_US_Year2_Pct), "No Entry", Q7_B_ClassSales_US_Year2_Pct)</f>
        <v>No Entry</v>
      </c>
    </row>
    <row r="17" spans="1:33"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f t="shared" si="17"/>
        <v>0</v>
      </c>
      <c r="AB17">
        <f t="shared" si="18"/>
        <v>0</v>
      </c>
      <c r="AC17" t="s">
        <v>861</v>
      </c>
      <c r="AD17" t="s">
        <v>2329</v>
      </c>
      <c r="AE17">
        <f t="shared" si="20"/>
        <v>2014</v>
      </c>
      <c r="AF17">
        <f>IF(AG17="No Entry", 0, IF(ISBLANK(Q7_A_TotalSales_US_Year1), "No Sales", AF14*AG17))</f>
        <v>0</v>
      </c>
      <c r="AG17" t="str">
        <f>IF(ISBLANK(Q7_B_GovSales_US_Year2_Pct), "No Entry", Q7_B_GovSales_US_Year2_Pct)</f>
        <v>No Entry</v>
      </c>
    </row>
    <row r="18" spans="1:33"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f t="shared" si="17"/>
        <v>0</v>
      </c>
      <c r="AB18">
        <f t="shared" si="18"/>
        <v>0</v>
      </c>
      <c r="AC18" t="s">
        <v>862</v>
      </c>
      <c r="AD18" t="s">
        <v>2326</v>
      </c>
      <c r="AE18">
        <f t="shared" si="20"/>
        <v>2014</v>
      </c>
      <c r="AF18">
        <f>Q7_A_TotalSales_NonUS_Year2</f>
        <v>0</v>
      </c>
      <c r="AG18">
        <v>1</v>
      </c>
    </row>
    <row r="19" spans="1:33"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f t="shared" si="17"/>
        <v>0</v>
      </c>
      <c r="AB19">
        <f t="shared" si="18"/>
        <v>0</v>
      </c>
      <c r="AC19" t="s">
        <v>862</v>
      </c>
      <c r="AD19" t="s">
        <v>2327</v>
      </c>
      <c r="AE19">
        <f t="shared" si="20"/>
        <v>2014</v>
      </c>
      <c r="AF19">
        <f>IF(AG19="No Entry", 0, IF(ISBLANK(Q7_A_TotalSales_NonUS_Year1), "No Sales", AF18*AG19))</f>
        <v>0</v>
      </c>
      <c r="AG19" t="str">
        <f>IF(ISBLANK(Q7_B_DefSales_NonUS_Year2_Pct), "No Entry", Q7_B_DefSales_NonUS_Year2_Pct)</f>
        <v>No Entry</v>
      </c>
    </row>
    <row r="20" spans="1:33"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f t="shared" si="17"/>
        <v>0</v>
      </c>
      <c r="AB20">
        <f t="shared" si="18"/>
        <v>0</v>
      </c>
      <c r="AC20" t="s">
        <v>862</v>
      </c>
      <c r="AD20" t="s">
        <v>2328</v>
      </c>
      <c r="AE20">
        <f t="shared" si="20"/>
        <v>2014</v>
      </c>
      <c r="AF20">
        <f>IF(AG20="No Entry", 0, IF(ISBLANK(Q7_A_TotalSales_NonUS_Year1), "No Sales", AF18*AG20))</f>
        <v>0</v>
      </c>
      <c r="AG20" t="str">
        <f>IF(ISBLANK(Q7_B_ClassSales_NonUS_Year2_Pct), "No Entry", Q7_B_ClassSales_NonUS_Year2_Pct)</f>
        <v>No Entry</v>
      </c>
    </row>
    <row r="21" spans="1:33"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f t="shared" si="17"/>
        <v>0</v>
      </c>
      <c r="AB21">
        <f t="shared" si="18"/>
        <v>0</v>
      </c>
      <c r="AC21" t="s">
        <v>862</v>
      </c>
      <c r="AD21" t="s">
        <v>2329</v>
      </c>
      <c r="AE21">
        <f t="shared" si="20"/>
        <v>2014</v>
      </c>
      <c r="AF21">
        <f>IF(AG21="No Entry", 0, IF(ISBLANK(Q7_A_TotalSales_NonUS_Year1), "No Sales", AF18*AG21))</f>
        <v>0</v>
      </c>
      <c r="AG21" t="str">
        <f>IF(ISBLANK(Q7_B_GovSales_NonUS_Year2_Pct), "No Entry", Q7_B_GovSales_NonUS_Year2_Pct)</f>
        <v>No Entry</v>
      </c>
    </row>
    <row r="22" spans="1:33"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f t="shared" si="17"/>
        <v>0</v>
      </c>
      <c r="AB22">
        <f t="shared" si="18"/>
        <v>0</v>
      </c>
      <c r="AC22" t="s">
        <v>2330</v>
      </c>
      <c r="AD22" t="s">
        <v>2326</v>
      </c>
      <c r="AE22">
        <f t="shared" si="20"/>
        <v>2014</v>
      </c>
      <c r="AF22">
        <f>IF(ISERROR(AF14/1), 0, AF14)+IF(ISERROR(AF18/1), 0, AF18)</f>
        <v>0</v>
      </c>
      <c r="AG22">
        <v>1</v>
      </c>
    </row>
    <row r="23" spans="1:33"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f t="shared" si="17"/>
        <v>0</v>
      </c>
      <c r="AB23">
        <f t="shared" si="18"/>
        <v>0</v>
      </c>
      <c r="AC23" t="s">
        <v>2330</v>
      </c>
      <c r="AD23" t="s">
        <v>2327</v>
      </c>
      <c r="AE23">
        <f t="shared" si="20"/>
        <v>2014</v>
      </c>
      <c r="AF23">
        <f>IF(ISERROR(AF15/1), 0, AF15)+IF(ISERROR(AF19/1), 0, AF19)</f>
        <v>0</v>
      </c>
      <c r="AG23" t="str">
        <f>IF(AF22=0, "No Sales", AF23/AF22)</f>
        <v>No Sales</v>
      </c>
    </row>
    <row r="24" spans="1:33"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f t="shared" si="17"/>
        <v>0</v>
      </c>
      <c r="AB24">
        <f t="shared" si="18"/>
        <v>0</v>
      </c>
      <c r="AC24" t="s">
        <v>2330</v>
      </c>
      <c r="AD24" t="s">
        <v>2328</v>
      </c>
      <c r="AE24">
        <f t="shared" si="20"/>
        <v>2014</v>
      </c>
      <c r="AF24">
        <f>IF(ISERROR(AF16/1), 0, AF16)+IF(ISERROR(AF20/1), 0, AF20)</f>
        <v>0</v>
      </c>
      <c r="AG24" t="str">
        <f>IF(AF22=0, "No Sales", AF24/AF22)</f>
        <v>No Sales</v>
      </c>
    </row>
    <row r="25" spans="1:33"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f t="shared" si="17"/>
        <v>0</v>
      </c>
      <c r="AB25">
        <f t="shared" si="18"/>
        <v>0</v>
      </c>
      <c r="AC25" t="s">
        <v>2330</v>
      </c>
      <c r="AD25" t="s">
        <v>2329</v>
      </c>
      <c r="AE25">
        <f t="shared" si="20"/>
        <v>2014</v>
      </c>
      <c r="AF25">
        <f>IF(ISERROR(AF17/1), 0, AF17)+IF(ISERROR(AF21/1), 0, AF21)</f>
        <v>0</v>
      </c>
      <c r="AG25" t="str">
        <f>IF(AF22=0, "No Sales", AF25/AF22)</f>
        <v>No Sales</v>
      </c>
    </row>
    <row r="26" spans="1:33"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f t="shared" si="17"/>
        <v>0</v>
      </c>
      <c r="AB26">
        <f t="shared" si="18"/>
        <v>0</v>
      </c>
      <c r="AC26" t="s">
        <v>861</v>
      </c>
      <c r="AD26" t="s">
        <v>2326</v>
      </c>
      <c r="AE26">
        <f t="shared" ref="AE26:AE37" si="21">Year3</f>
        <v>2015</v>
      </c>
      <c r="AF26">
        <f>Q7_A_TotalSales_US_Year3</f>
        <v>0</v>
      </c>
      <c r="AG26">
        <v>1</v>
      </c>
    </row>
    <row r="27" spans="1:33"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f t="shared" si="17"/>
        <v>0</v>
      </c>
      <c r="AB27">
        <f t="shared" si="18"/>
        <v>0</v>
      </c>
      <c r="AC27" t="s">
        <v>861</v>
      </c>
      <c r="AD27" t="s">
        <v>2327</v>
      </c>
      <c r="AE27">
        <f t="shared" si="21"/>
        <v>2015</v>
      </c>
      <c r="AF27">
        <f>IF(AG27="No Entry", 0, IF(ISBLANK(Q7_A_TotalSales_US_Year1), "No Sales", AF26*AG27))</f>
        <v>0</v>
      </c>
      <c r="AG27" t="str">
        <f>IF(ISBLANK(Q7_B_DefSales_US_Year3_Pct), "No Entry", Q7_B_DefSales_US_Year3_Pct)</f>
        <v>No Entry</v>
      </c>
    </row>
    <row r="28" spans="1:33"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f t="shared" si="17"/>
        <v>0</v>
      </c>
      <c r="AB28">
        <f t="shared" si="18"/>
        <v>0</v>
      </c>
      <c r="AC28" t="s">
        <v>861</v>
      </c>
      <c r="AD28" t="s">
        <v>2328</v>
      </c>
      <c r="AE28">
        <f t="shared" si="21"/>
        <v>2015</v>
      </c>
      <c r="AF28">
        <f>IF(AG28="No Entry", 0, IF(ISBLANK(Q7_A_TotalSales_US_Year1), "No Sales", AF26*AG28))</f>
        <v>0</v>
      </c>
      <c r="AG28" t="str">
        <f>IF(ISBLANK(Q7_B_ClassSales_US_Year3_Pct), "No Entry", Q7_B_ClassSales_US_Year3_Pct)</f>
        <v>No Entry</v>
      </c>
    </row>
    <row r="29" spans="1:33"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f t="shared" si="17"/>
        <v>0</v>
      </c>
      <c r="AB29">
        <f t="shared" si="18"/>
        <v>0</v>
      </c>
      <c r="AC29" t="s">
        <v>861</v>
      </c>
      <c r="AD29" t="s">
        <v>2329</v>
      </c>
      <c r="AE29">
        <f t="shared" si="21"/>
        <v>2015</v>
      </c>
      <c r="AF29">
        <f>IF(AG29="No Entry", 0, IF(ISBLANK(Q7_A_TotalSales_US_Year1), "No Sales", AF26*AG29))</f>
        <v>0</v>
      </c>
      <c r="AG29" t="str">
        <f>IF(ISBLANK(Q7_B_GovSales_US_Year3_Pct), "No Entry", Q7_B_GovSales_US_Year3_Pct)</f>
        <v>No Entry</v>
      </c>
    </row>
    <row r="30" spans="1:33"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f t="shared" si="17"/>
        <v>0</v>
      </c>
      <c r="AB30">
        <f t="shared" si="18"/>
        <v>0</v>
      </c>
      <c r="AC30" t="s">
        <v>862</v>
      </c>
      <c r="AD30" t="s">
        <v>2326</v>
      </c>
      <c r="AE30">
        <f t="shared" si="21"/>
        <v>2015</v>
      </c>
      <c r="AF30">
        <f>Q7_A_TotalSales_NonUS_Year3</f>
        <v>0</v>
      </c>
      <c r="AG30">
        <v>1</v>
      </c>
    </row>
    <row r="31" spans="1:33"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f t="shared" si="17"/>
        <v>0</v>
      </c>
      <c r="AB31">
        <f t="shared" si="18"/>
        <v>0</v>
      </c>
      <c r="AC31" t="s">
        <v>862</v>
      </c>
      <c r="AD31" t="s">
        <v>2327</v>
      </c>
      <c r="AE31">
        <f t="shared" si="21"/>
        <v>2015</v>
      </c>
      <c r="AF31">
        <f>IF(AG31="No Entry", 0, IF(ISBLANK(Q7_A_TotalSales_NonUS_Year1), "No Sales", AF30*AG31))</f>
        <v>0</v>
      </c>
      <c r="AG31" t="str">
        <f>IF(ISBLANK(Q7_B_DefSales_NonUS_Year3_Pct), "No Entry", Q7_B_DefSales_NonUS_Year3_Pct)</f>
        <v>No Entry</v>
      </c>
    </row>
    <row r="32" spans="1:33"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f t="shared" si="17"/>
        <v>0</v>
      </c>
      <c r="AB32">
        <f t="shared" si="18"/>
        <v>0</v>
      </c>
      <c r="AC32" t="s">
        <v>862</v>
      </c>
      <c r="AD32" t="s">
        <v>2328</v>
      </c>
      <c r="AE32">
        <f t="shared" si="21"/>
        <v>2015</v>
      </c>
      <c r="AF32">
        <f>IF(AG32="No Entry", 0, IF(ISBLANK(Q7_A_TotalSales_NonUS_Year1), "No Sales", AF30*AG32))</f>
        <v>0</v>
      </c>
      <c r="AG32" t="str">
        <f>IF(ISBLANK(Q7_B_ClassSales_NonUS_Year3_Pct), "No Entry", Q7_B_ClassSales_NonUS_Year3_Pct)</f>
        <v>No Entry</v>
      </c>
    </row>
    <row r="33" spans="1:33"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f t="shared" si="17"/>
        <v>0</v>
      </c>
      <c r="AB33">
        <f t="shared" si="18"/>
        <v>0</v>
      </c>
      <c r="AC33" t="s">
        <v>862</v>
      </c>
      <c r="AD33" t="s">
        <v>2329</v>
      </c>
      <c r="AE33">
        <f t="shared" si="21"/>
        <v>2015</v>
      </c>
      <c r="AF33">
        <f>IF(AG33="No Entry", 0, IF(ISBLANK(Q7_A_TotalSales_NonUS_Year1), "No Sales", AF30*AG33))</f>
        <v>0</v>
      </c>
      <c r="AG33" t="str">
        <f>IF(ISBLANK(Q7_B_GovSales_NonUS_Year3_Pct), "No Entry", Q7_B_GovSales_NonUS_Year3_Pct)</f>
        <v>No Entry</v>
      </c>
    </row>
    <row r="34" spans="1:33" x14ac:dyDescent="0.25">
      <c r="A34">
        <f t="shared" si="0"/>
        <v>0</v>
      </c>
      <c r="B34">
        <f t="shared" si="1"/>
        <v>0</v>
      </c>
      <c r="C34">
        <f t="shared" si="2"/>
        <v>0</v>
      </c>
      <c r="D34">
        <f t="shared" si="3"/>
        <v>0</v>
      </c>
      <c r="E34">
        <f t="shared" si="4"/>
        <v>0</v>
      </c>
      <c r="F34">
        <f>'D-RepLevel'!$F$2</f>
        <v>0</v>
      </c>
      <c r="G34">
        <f>'D-RepLevel'!$G$2</f>
        <v>0</v>
      </c>
      <c r="H34">
        <f t="shared" si="5"/>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si="6"/>
        <v>0</v>
      </c>
      <c r="M34">
        <f t="shared" si="7"/>
        <v>0</v>
      </c>
      <c r="N34">
        <f t="shared" si="8"/>
        <v>0</v>
      </c>
      <c r="O34">
        <f t="shared" si="9"/>
        <v>2015</v>
      </c>
      <c r="P34">
        <f t="shared" si="10"/>
        <v>0</v>
      </c>
      <c r="Q34">
        <f t="shared" si="11"/>
        <v>0</v>
      </c>
      <c r="R34">
        <f t="shared" si="12"/>
        <v>0</v>
      </c>
      <c r="S34">
        <f t="shared" si="13"/>
        <v>0</v>
      </c>
      <c r="T34">
        <f>COUNTIF('9a'!$K$22:$K$32, "Yes")+COUNTIF('9a'!$O$22:$O$32, "Yes")</f>
        <v>0</v>
      </c>
      <c r="U34" t="str">
        <f t="shared" si="14"/>
        <v>No Expenditures</v>
      </c>
      <c r="V34" t="str">
        <f t="shared" si="15"/>
        <v>No Expenditures</v>
      </c>
      <c r="W34">
        <f t="shared" si="16"/>
        <v>0</v>
      </c>
      <c r="X34" t="str">
        <f>'D-Risk'!$AO$25</f>
        <v>Insufficient Data</v>
      </c>
      <c r="Y34" t="str">
        <f>'D-Risk'!$AO$26</f>
        <v>Insufficient Data</v>
      </c>
      <c r="Z34" t="str">
        <f>'D-Risk'!$AO$27</f>
        <v>Uncalculated</v>
      </c>
      <c r="AA34">
        <f t="shared" si="17"/>
        <v>0</v>
      </c>
      <c r="AB34">
        <f t="shared" si="18"/>
        <v>0</v>
      </c>
      <c r="AC34" t="s">
        <v>2330</v>
      </c>
      <c r="AD34" t="s">
        <v>2326</v>
      </c>
      <c r="AE34">
        <f t="shared" si="21"/>
        <v>2015</v>
      </c>
      <c r="AF34">
        <f>IF(ISERROR(AF26/1), 0, AF26)+IF(ISERROR(AF30/1), 0, AF30)</f>
        <v>0</v>
      </c>
      <c r="AG34">
        <v>1</v>
      </c>
    </row>
    <row r="35" spans="1:33" x14ac:dyDescent="0.25">
      <c r="A35">
        <f t="shared" si="0"/>
        <v>0</v>
      </c>
      <c r="B35">
        <f t="shared" si="1"/>
        <v>0</v>
      </c>
      <c r="C35">
        <f t="shared" si="2"/>
        <v>0</v>
      </c>
      <c r="D35">
        <f t="shared" si="3"/>
        <v>0</v>
      </c>
      <c r="E35">
        <f t="shared" si="4"/>
        <v>0</v>
      </c>
      <c r="F35">
        <f>'D-RepLevel'!$F$2</f>
        <v>0</v>
      </c>
      <c r="G35">
        <f>'D-RepLevel'!$G$2</f>
        <v>0</v>
      </c>
      <c r="H35">
        <f t="shared" si="5"/>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6"/>
        <v>0</v>
      </c>
      <c r="M35">
        <f t="shared" si="7"/>
        <v>0</v>
      </c>
      <c r="N35">
        <f t="shared" si="8"/>
        <v>0</v>
      </c>
      <c r="O35">
        <f t="shared" si="9"/>
        <v>2015</v>
      </c>
      <c r="P35">
        <f t="shared" si="10"/>
        <v>0</v>
      </c>
      <c r="Q35">
        <f t="shared" si="11"/>
        <v>0</v>
      </c>
      <c r="R35">
        <f t="shared" si="12"/>
        <v>0</v>
      </c>
      <c r="S35">
        <f t="shared" si="13"/>
        <v>0</v>
      </c>
      <c r="T35">
        <f>COUNTIF('9a'!$K$22:$K$32, "Yes")+COUNTIF('9a'!$O$22:$O$32, "Yes")</f>
        <v>0</v>
      </c>
      <c r="U35" t="str">
        <f t="shared" si="14"/>
        <v>No Expenditures</v>
      </c>
      <c r="V35" t="str">
        <f t="shared" si="15"/>
        <v>No Expenditures</v>
      </c>
      <c r="W35">
        <f t="shared" si="16"/>
        <v>0</v>
      </c>
      <c r="X35" t="str">
        <f>'D-Risk'!$AO$25</f>
        <v>Insufficient Data</v>
      </c>
      <c r="Y35" t="str">
        <f>'D-Risk'!$AO$26</f>
        <v>Insufficient Data</v>
      </c>
      <c r="Z35" t="str">
        <f>'D-Risk'!$AO$27</f>
        <v>Uncalculated</v>
      </c>
      <c r="AA35">
        <f t="shared" si="17"/>
        <v>0</v>
      </c>
      <c r="AB35">
        <f t="shared" si="18"/>
        <v>0</v>
      </c>
      <c r="AC35" t="s">
        <v>2330</v>
      </c>
      <c r="AD35" t="s">
        <v>2327</v>
      </c>
      <c r="AE35">
        <f t="shared" si="21"/>
        <v>2015</v>
      </c>
      <c r="AF35">
        <f>IF(ISERROR(AF27/1), 0, AF27)+IF(ISERROR(AF31/1), 0, AF31)</f>
        <v>0</v>
      </c>
      <c r="AG35" t="str">
        <f>IF(AF34=0, "No Sales", AF35/AF34)</f>
        <v>No Sales</v>
      </c>
    </row>
    <row r="36" spans="1:33" x14ac:dyDescent="0.25">
      <c r="A36">
        <f t="shared" si="0"/>
        <v>0</v>
      </c>
      <c r="B36">
        <f t="shared" si="1"/>
        <v>0</v>
      </c>
      <c r="C36">
        <f t="shared" si="2"/>
        <v>0</v>
      </c>
      <c r="D36">
        <f t="shared" si="3"/>
        <v>0</v>
      </c>
      <c r="E36">
        <f t="shared" si="4"/>
        <v>0</v>
      </c>
      <c r="F36">
        <f>'D-RepLevel'!$F$2</f>
        <v>0</v>
      </c>
      <c r="G36">
        <f>'D-RepLevel'!$G$2</f>
        <v>0</v>
      </c>
      <c r="H36">
        <f t="shared" si="5"/>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6"/>
        <v>0</v>
      </c>
      <c r="M36">
        <f t="shared" si="7"/>
        <v>0</v>
      </c>
      <c r="N36">
        <f t="shared" si="8"/>
        <v>0</v>
      </c>
      <c r="O36">
        <f t="shared" si="9"/>
        <v>2015</v>
      </c>
      <c r="P36">
        <f t="shared" si="10"/>
        <v>0</v>
      </c>
      <c r="Q36">
        <f t="shared" si="11"/>
        <v>0</v>
      </c>
      <c r="R36">
        <f t="shared" si="12"/>
        <v>0</v>
      </c>
      <c r="S36">
        <f t="shared" si="13"/>
        <v>0</v>
      </c>
      <c r="T36">
        <f>COUNTIF('9a'!$K$22:$K$32, "Yes")+COUNTIF('9a'!$O$22:$O$32, "Yes")</f>
        <v>0</v>
      </c>
      <c r="U36" t="str">
        <f t="shared" si="14"/>
        <v>No Expenditures</v>
      </c>
      <c r="V36" t="str">
        <f t="shared" si="15"/>
        <v>No Expenditures</v>
      </c>
      <c r="W36">
        <f t="shared" si="16"/>
        <v>0</v>
      </c>
      <c r="X36" t="str">
        <f>'D-Risk'!$AO$25</f>
        <v>Insufficient Data</v>
      </c>
      <c r="Y36" t="str">
        <f>'D-Risk'!$AO$26</f>
        <v>Insufficient Data</v>
      </c>
      <c r="Z36" t="str">
        <f>'D-Risk'!$AO$27</f>
        <v>Uncalculated</v>
      </c>
      <c r="AA36">
        <f t="shared" si="17"/>
        <v>0</v>
      </c>
      <c r="AB36">
        <f t="shared" si="18"/>
        <v>0</v>
      </c>
      <c r="AC36" t="s">
        <v>2330</v>
      </c>
      <c r="AD36" t="s">
        <v>2328</v>
      </c>
      <c r="AE36">
        <f t="shared" si="21"/>
        <v>2015</v>
      </c>
      <c r="AF36">
        <f>IF(ISERROR(AF28/1), 0, AF28)+IF(ISERROR(AF32/1), 0, AF32)</f>
        <v>0</v>
      </c>
      <c r="AG36" t="str">
        <f>IF(AF34=0, "No Sales", AF36/AF34)</f>
        <v>No Sales</v>
      </c>
    </row>
    <row r="37" spans="1:33" x14ac:dyDescent="0.25">
      <c r="A37">
        <f t="shared" si="0"/>
        <v>0</v>
      </c>
      <c r="B37">
        <f t="shared" si="1"/>
        <v>0</v>
      </c>
      <c r="C37">
        <f t="shared" si="2"/>
        <v>0</v>
      </c>
      <c r="D37">
        <f t="shared" si="3"/>
        <v>0</v>
      </c>
      <c r="E37">
        <f t="shared" si="4"/>
        <v>0</v>
      </c>
      <c r="F37">
        <f>'D-RepLevel'!$F$2</f>
        <v>0</v>
      </c>
      <c r="G37">
        <f>'D-RepLevel'!$G$2</f>
        <v>0</v>
      </c>
      <c r="H37">
        <f t="shared" si="5"/>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6"/>
        <v>0</v>
      </c>
      <c r="M37">
        <f t="shared" si="7"/>
        <v>0</v>
      </c>
      <c r="N37">
        <f t="shared" si="8"/>
        <v>0</v>
      </c>
      <c r="O37">
        <f t="shared" si="9"/>
        <v>2015</v>
      </c>
      <c r="P37">
        <f t="shared" si="10"/>
        <v>0</v>
      </c>
      <c r="Q37">
        <f t="shared" si="11"/>
        <v>0</v>
      </c>
      <c r="R37">
        <f t="shared" si="12"/>
        <v>0</v>
      </c>
      <c r="S37">
        <f t="shared" si="13"/>
        <v>0</v>
      </c>
      <c r="T37">
        <f>COUNTIF('9a'!$K$22:$K$32, "Yes")+COUNTIF('9a'!$O$22:$O$32, "Yes")</f>
        <v>0</v>
      </c>
      <c r="U37" t="str">
        <f t="shared" si="14"/>
        <v>No Expenditures</v>
      </c>
      <c r="V37" t="str">
        <f t="shared" si="15"/>
        <v>No Expenditures</v>
      </c>
      <c r="W37">
        <f t="shared" si="16"/>
        <v>0</v>
      </c>
      <c r="X37" t="str">
        <f>'D-Risk'!$AO$25</f>
        <v>Insufficient Data</v>
      </c>
      <c r="Y37" t="str">
        <f>'D-Risk'!$AO$26</f>
        <v>Insufficient Data</v>
      </c>
      <c r="Z37" t="str">
        <f>'D-Risk'!$AO$27</f>
        <v>Uncalculated</v>
      </c>
      <c r="AA37">
        <f t="shared" si="17"/>
        <v>0</v>
      </c>
      <c r="AB37">
        <f t="shared" si="18"/>
        <v>0</v>
      </c>
      <c r="AC37" t="s">
        <v>2330</v>
      </c>
      <c r="AD37" t="s">
        <v>2329</v>
      </c>
      <c r="AE37">
        <f t="shared" si="21"/>
        <v>2015</v>
      </c>
      <c r="AF37">
        <f>IF(ISERROR(AF29/1), 0, AF29)+IF(ISERROR(AF33/1), 0, AF33)</f>
        <v>0</v>
      </c>
      <c r="AG37" t="str">
        <f>IF(AF34=0, "No Sales", AF37/AF34)</f>
        <v>No Sales</v>
      </c>
    </row>
  </sheetData>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1"/>
  <sheetViews>
    <sheetView zoomScale="70" zoomScaleNormal="70" workbookViewId="0">
      <selection activeCell="C7" sqref="C7:D7"/>
    </sheetView>
  </sheetViews>
  <sheetFormatPr defaultRowHeight="15" x14ac:dyDescent="0.25"/>
  <sheetData>
    <row r="1" spans="1:32"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2331</v>
      </c>
      <c r="AB1" t="s">
        <v>2332</v>
      </c>
      <c r="AC1" t="s">
        <v>873</v>
      </c>
      <c r="AD1" t="s">
        <v>2333</v>
      </c>
      <c r="AE1" t="s">
        <v>875</v>
      </c>
      <c r="AF1" t="s">
        <v>2334</v>
      </c>
    </row>
    <row r="2" spans="1:32" x14ac:dyDescent="0.25">
      <c r="A2">
        <f t="shared" ref="A2:A21" si="0">Q_RP_B_DSSCAGE_01</f>
        <v>0</v>
      </c>
      <c r="B2">
        <f t="shared" ref="B2:B21" si="1">Q1a_A_LocationName</f>
        <v>0</v>
      </c>
      <c r="C2">
        <f t="shared" ref="C2:C21" si="2">Q1a_A_LocOrgName</f>
        <v>0</v>
      </c>
      <c r="D2">
        <f t="shared" ref="D2:D21" si="3">Q1a_B_Parent1_Name</f>
        <v>0</v>
      </c>
      <c r="E2">
        <f t="shared" ref="E2:E21" si="4">Q_RP_A_MultiResponse</f>
        <v>0</v>
      </c>
      <c r="F2">
        <f>'D-RepLevel'!$F$2</f>
        <v>0</v>
      </c>
      <c r="G2">
        <f>'D-RepLevel'!$G$2</f>
        <v>0</v>
      </c>
      <c r="H2">
        <f t="shared" ref="H2:H21"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21" si="6">Q4b_A_NumUSGPrograms</f>
        <v>0</v>
      </c>
      <c r="M2">
        <f t="shared" ref="M2:M21" si="7">Q6_A_Employees_Year3</f>
        <v>0</v>
      </c>
      <c r="N2">
        <f t="shared" ref="N2:N21" si="8">Q6_B_Employee_H1B_Total+Q6_B_Employee_H2B_Total+Q6_B_Employee_F1_Total+Q6_B_Employee_GreenCard_Total+Q6_B_Employee_Other_Total</f>
        <v>0</v>
      </c>
      <c r="O2">
        <f t="shared" ref="O2:O21" si="9">Year3</f>
        <v>2015</v>
      </c>
      <c r="P2">
        <f t="shared" ref="P2:P21" si="10">Q7_A_TotalSales_US_Year3+Q7_A_TotalSales_NonUS_Year3</f>
        <v>0</v>
      </c>
      <c r="Q2">
        <f t="shared" ref="Q2:Q21" si="11">Q7_B_DefSales_US_Year3_Pct*Q7_A_TotalSales_US_Year3+Q7_B_DefSales_NonUS_Year3_Pct*Q7_A_TotalSales_NonUS_Year3</f>
        <v>0</v>
      </c>
      <c r="R2">
        <f t="shared" ref="R2:R21" si="12">Q9a_B_Physical_Year3</f>
        <v>0</v>
      </c>
      <c r="S2">
        <f t="shared" ref="S2:S21" si="13">Q9a_B_Cyber_Year3</f>
        <v>0</v>
      </c>
      <c r="T2">
        <f>COUNTIF('9a'!$K$22:$K$32, "Yes")+COUNTIF('9a'!$O$22:$O$32, "Yes")</f>
        <v>0</v>
      </c>
      <c r="U2" t="str">
        <f t="shared" ref="U2:U21" si="14">IF(Q12_OpEx_Year3=0, "No Expenditures", Q9b_A_PhysicalSpending_Year3/(Q12_OpEx_Year3))</f>
        <v>No Expenditures</v>
      </c>
      <c r="V2" t="str">
        <f t="shared" ref="V2:V21" si="15">IF(Q12_OpEx_Year3=0, "No Expenditures", Q9b_A_CyberSpending_Year3/(Q12_OpEx_Year3))</f>
        <v>No Expenditures</v>
      </c>
      <c r="W2">
        <f t="shared" ref="W2:W21" si="16">Q9b_C_Pct_CSI_External</f>
        <v>0</v>
      </c>
      <c r="X2" t="str">
        <f>'D-Risk'!$AO$25</f>
        <v>Insufficient Data</v>
      </c>
      <c r="Y2" t="str">
        <f>'D-Risk'!$AO$26</f>
        <v>Insufficient Data</v>
      </c>
      <c r="Z2" t="str">
        <f>'D-Risk'!$AO$27</f>
        <v>Uncalculated</v>
      </c>
      <c r="AA2" t="s">
        <v>861</v>
      </c>
      <c r="AB2">
        <f t="shared" ref="AB2:AB11" si="17">Q8_Total_US</f>
        <v>0</v>
      </c>
      <c r="AC2">
        <f>'8'!C9</f>
        <v>0</v>
      </c>
      <c r="AD2">
        <f>'8'!D9</f>
        <v>0</v>
      </c>
      <c r="AE2">
        <f>'8'!E9</f>
        <v>0</v>
      </c>
      <c r="AF2">
        <f>'8'!F9</f>
        <v>0</v>
      </c>
    </row>
    <row r="3" spans="1:32"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t="s">
        <v>861</v>
      </c>
      <c r="AB3">
        <f t="shared" si="17"/>
        <v>0</v>
      </c>
      <c r="AC3">
        <f>'8'!C10</f>
        <v>0</v>
      </c>
      <c r="AD3">
        <f>'8'!D10</f>
        <v>0</v>
      </c>
      <c r="AE3">
        <f>'8'!E10</f>
        <v>0</v>
      </c>
      <c r="AF3">
        <f>'8'!F10</f>
        <v>0</v>
      </c>
    </row>
    <row r="4" spans="1:32"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t="s">
        <v>861</v>
      </c>
      <c r="AB4">
        <f t="shared" si="17"/>
        <v>0</v>
      </c>
      <c r="AC4">
        <f>'8'!C11</f>
        <v>0</v>
      </c>
      <c r="AD4">
        <f>'8'!D11</f>
        <v>0</v>
      </c>
      <c r="AE4">
        <f>'8'!E11</f>
        <v>0</v>
      </c>
      <c r="AF4">
        <f>'8'!F11</f>
        <v>0</v>
      </c>
    </row>
    <row r="5" spans="1:32"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t="s">
        <v>861</v>
      </c>
      <c r="AB5">
        <f t="shared" si="17"/>
        <v>0</v>
      </c>
      <c r="AC5">
        <f>'8'!C12</f>
        <v>0</v>
      </c>
      <c r="AD5">
        <f>'8'!D12</f>
        <v>0</v>
      </c>
      <c r="AE5">
        <f>'8'!E12</f>
        <v>0</v>
      </c>
      <c r="AF5">
        <f>'8'!F12</f>
        <v>0</v>
      </c>
    </row>
    <row r="6" spans="1:32"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t="s">
        <v>861</v>
      </c>
      <c r="AB6">
        <f t="shared" si="17"/>
        <v>0</v>
      </c>
      <c r="AC6">
        <f>'8'!C13</f>
        <v>0</v>
      </c>
      <c r="AD6">
        <f>'8'!D13</f>
        <v>0</v>
      </c>
      <c r="AE6">
        <f>'8'!E13</f>
        <v>0</v>
      </c>
      <c r="AF6">
        <f>'8'!F13</f>
        <v>0</v>
      </c>
    </row>
    <row r="7" spans="1:32"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t="s">
        <v>861</v>
      </c>
      <c r="AB7">
        <f t="shared" si="17"/>
        <v>0</v>
      </c>
      <c r="AC7">
        <f>'8'!C14</f>
        <v>0</v>
      </c>
      <c r="AD7">
        <f>'8'!D14</f>
        <v>0</v>
      </c>
      <c r="AE7">
        <f>'8'!E14</f>
        <v>0</v>
      </c>
      <c r="AF7">
        <f>'8'!F14</f>
        <v>0</v>
      </c>
    </row>
    <row r="8" spans="1:32"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t="s">
        <v>861</v>
      </c>
      <c r="AB8">
        <f t="shared" si="17"/>
        <v>0</v>
      </c>
      <c r="AC8">
        <f>'8'!C15</f>
        <v>0</v>
      </c>
      <c r="AD8">
        <f>'8'!D15</f>
        <v>0</v>
      </c>
      <c r="AE8">
        <f>'8'!E15</f>
        <v>0</v>
      </c>
      <c r="AF8">
        <f>'8'!F15</f>
        <v>0</v>
      </c>
    </row>
    <row r="9" spans="1:32"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t="s">
        <v>861</v>
      </c>
      <c r="AB9">
        <f t="shared" si="17"/>
        <v>0</v>
      </c>
      <c r="AC9">
        <f>'8'!C16</f>
        <v>0</v>
      </c>
      <c r="AD9">
        <f>'8'!D16</f>
        <v>0</v>
      </c>
      <c r="AE9">
        <f>'8'!E16</f>
        <v>0</v>
      </c>
      <c r="AF9">
        <f>'8'!F16</f>
        <v>0</v>
      </c>
    </row>
    <row r="10" spans="1:32"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t="s">
        <v>861</v>
      </c>
      <c r="AB10">
        <f t="shared" si="17"/>
        <v>0</v>
      </c>
      <c r="AC10">
        <f>'8'!C17</f>
        <v>0</v>
      </c>
      <c r="AD10">
        <f>'8'!D17</f>
        <v>0</v>
      </c>
      <c r="AE10">
        <f>'8'!E17</f>
        <v>0</v>
      </c>
      <c r="AF10">
        <f>'8'!F17</f>
        <v>0</v>
      </c>
    </row>
    <row r="11" spans="1:32"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t="s">
        <v>861</v>
      </c>
      <c r="AB11">
        <f t="shared" si="17"/>
        <v>0</v>
      </c>
      <c r="AC11">
        <f>'8'!C18</f>
        <v>0</v>
      </c>
      <c r="AD11">
        <f>'8'!D18</f>
        <v>0</v>
      </c>
      <c r="AE11">
        <f>'8'!E18</f>
        <v>0</v>
      </c>
      <c r="AF11">
        <f>'8'!F18</f>
        <v>0</v>
      </c>
    </row>
    <row r="12" spans="1:32"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t="s">
        <v>862</v>
      </c>
      <c r="AB12">
        <f t="shared" ref="AB12:AB21" si="18">Q8_Total_NonUS</f>
        <v>0</v>
      </c>
      <c r="AC12">
        <f>'8'!C23</f>
        <v>0</v>
      </c>
      <c r="AD12">
        <f>'8'!D23</f>
        <v>0</v>
      </c>
      <c r="AE12">
        <f>'8'!E23</f>
        <v>0</v>
      </c>
      <c r="AF12">
        <f>'8'!F23</f>
        <v>0</v>
      </c>
    </row>
    <row r="13" spans="1:32"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t="s">
        <v>862</v>
      </c>
      <c r="AB13">
        <f t="shared" si="18"/>
        <v>0</v>
      </c>
      <c r="AC13">
        <f>'8'!C24</f>
        <v>0</v>
      </c>
      <c r="AD13">
        <f>'8'!D24</f>
        <v>0</v>
      </c>
      <c r="AE13">
        <f>'8'!E24</f>
        <v>0</v>
      </c>
      <c r="AF13">
        <f>'8'!F24</f>
        <v>0</v>
      </c>
    </row>
    <row r="14" spans="1:32"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t="s">
        <v>862</v>
      </c>
      <c r="AB14">
        <f t="shared" si="18"/>
        <v>0</v>
      </c>
      <c r="AC14">
        <f>'8'!C25</f>
        <v>0</v>
      </c>
      <c r="AD14">
        <f>'8'!D25</f>
        <v>0</v>
      </c>
      <c r="AE14">
        <f>'8'!E25</f>
        <v>0</v>
      </c>
      <c r="AF14">
        <f>'8'!F25</f>
        <v>0</v>
      </c>
    </row>
    <row r="15" spans="1:32"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t="s">
        <v>862</v>
      </c>
      <c r="AB15">
        <f t="shared" si="18"/>
        <v>0</v>
      </c>
      <c r="AC15">
        <f>'8'!C26</f>
        <v>0</v>
      </c>
      <c r="AD15">
        <f>'8'!D26</f>
        <v>0</v>
      </c>
      <c r="AE15">
        <f>'8'!E26</f>
        <v>0</v>
      </c>
      <c r="AF15">
        <f>'8'!F26</f>
        <v>0</v>
      </c>
    </row>
    <row r="16" spans="1:32"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t="s">
        <v>862</v>
      </c>
      <c r="AB16">
        <f t="shared" si="18"/>
        <v>0</v>
      </c>
      <c r="AC16">
        <f>'8'!C27</f>
        <v>0</v>
      </c>
      <c r="AD16">
        <f>'8'!D27</f>
        <v>0</v>
      </c>
      <c r="AE16">
        <f>'8'!E27</f>
        <v>0</v>
      </c>
      <c r="AF16">
        <f>'8'!F27</f>
        <v>0</v>
      </c>
    </row>
    <row r="17" spans="1:32"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t="s">
        <v>862</v>
      </c>
      <c r="AB17">
        <f t="shared" si="18"/>
        <v>0</v>
      </c>
      <c r="AC17">
        <f>'8'!C28</f>
        <v>0</v>
      </c>
      <c r="AD17">
        <f>'8'!D28</f>
        <v>0</v>
      </c>
      <c r="AE17">
        <f>'8'!E28</f>
        <v>0</v>
      </c>
      <c r="AF17">
        <f>'8'!F28</f>
        <v>0</v>
      </c>
    </row>
    <row r="18" spans="1:32"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t="s">
        <v>862</v>
      </c>
      <c r="AB18">
        <f t="shared" si="18"/>
        <v>0</v>
      </c>
      <c r="AC18">
        <f>'8'!C29</f>
        <v>0</v>
      </c>
      <c r="AD18">
        <f>'8'!D29</f>
        <v>0</v>
      </c>
      <c r="AE18">
        <f>'8'!E29</f>
        <v>0</v>
      </c>
      <c r="AF18">
        <f>'8'!F29</f>
        <v>0</v>
      </c>
    </row>
    <row r="19" spans="1:32"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t="s">
        <v>862</v>
      </c>
      <c r="AB19">
        <f t="shared" si="18"/>
        <v>0</v>
      </c>
      <c r="AC19">
        <f>'8'!C30</f>
        <v>0</v>
      </c>
      <c r="AD19">
        <f>'8'!D30</f>
        <v>0</v>
      </c>
      <c r="AE19">
        <f>'8'!E30</f>
        <v>0</v>
      </c>
      <c r="AF19">
        <f>'8'!F30</f>
        <v>0</v>
      </c>
    </row>
    <row r="20" spans="1:32"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t="s">
        <v>862</v>
      </c>
      <c r="AB20">
        <f t="shared" si="18"/>
        <v>0</v>
      </c>
      <c r="AC20">
        <f>'8'!C31</f>
        <v>0</v>
      </c>
      <c r="AD20">
        <f>'8'!D31</f>
        <v>0</v>
      </c>
      <c r="AE20">
        <f>'8'!E31</f>
        <v>0</v>
      </c>
      <c r="AF20">
        <f>'8'!F31</f>
        <v>0</v>
      </c>
    </row>
    <row r="21" spans="1:32"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t="s">
        <v>862</v>
      </c>
      <c r="AB21">
        <f t="shared" si="18"/>
        <v>0</v>
      </c>
      <c r="AC21">
        <f>'8'!C32</f>
        <v>0</v>
      </c>
      <c r="AD21">
        <f>'8'!D32</f>
        <v>0</v>
      </c>
      <c r="AE21">
        <f>'8'!E32</f>
        <v>0</v>
      </c>
      <c r="AF21">
        <f>'8'!F32</f>
        <v>0</v>
      </c>
    </row>
  </sheetData>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R2"/>
  <sheetViews>
    <sheetView zoomScale="70" zoomScaleNormal="70" workbookViewId="0">
      <selection activeCell="C7" sqref="C7:D7"/>
    </sheetView>
  </sheetViews>
  <sheetFormatPr defaultRowHeight="15" x14ac:dyDescent="0.25"/>
  <sheetData>
    <row r="1" spans="1:96"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2335</v>
      </c>
      <c r="AB1" t="s">
        <v>2336</v>
      </c>
      <c r="AC1" t="s">
        <v>2337</v>
      </c>
      <c r="AD1" t="s">
        <v>2338</v>
      </c>
      <c r="AE1" t="s">
        <v>2339</v>
      </c>
      <c r="AF1" t="s">
        <v>2340</v>
      </c>
      <c r="AG1" t="s">
        <v>2341</v>
      </c>
      <c r="AH1" t="s">
        <v>2342</v>
      </c>
      <c r="AI1" t="s">
        <v>2343</v>
      </c>
      <c r="AJ1" t="s">
        <v>2344</v>
      </c>
      <c r="AK1" t="s">
        <v>2345</v>
      </c>
      <c r="AL1" t="s">
        <v>2346</v>
      </c>
      <c r="AM1" t="s">
        <v>2347</v>
      </c>
      <c r="AN1" t="s">
        <v>2348</v>
      </c>
      <c r="AO1" t="s">
        <v>2349</v>
      </c>
      <c r="AP1" t="s">
        <v>2350</v>
      </c>
      <c r="AQ1" t="s">
        <v>2351</v>
      </c>
      <c r="AR1" t="s">
        <v>2352</v>
      </c>
      <c r="AS1" t="s">
        <v>2353</v>
      </c>
      <c r="AT1" t="s">
        <v>2354</v>
      </c>
      <c r="AU1" t="s">
        <v>2355</v>
      </c>
      <c r="AV1" t="s">
        <v>2356</v>
      </c>
      <c r="AW1" t="s">
        <v>2357</v>
      </c>
      <c r="AX1" t="s">
        <v>2358</v>
      </c>
      <c r="AY1" t="s">
        <v>2359</v>
      </c>
      <c r="AZ1" t="s">
        <v>2360</v>
      </c>
      <c r="BA1" t="s">
        <v>2361</v>
      </c>
      <c r="BB1" t="s">
        <v>2362</v>
      </c>
      <c r="BC1" t="s">
        <v>2363</v>
      </c>
      <c r="BD1" t="s">
        <v>2364</v>
      </c>
      <c r="BE1" t="s">
        <v>2365</v>
      </c>
      <c r="BF1" t="s">
        <v>2366</v>
      </c>
      <c r="BG1" t="s">
        <v>2367</v>
      </c>
      <c r="BH1" t="s">
        <v>2368</v>
      </c>
      <c r="BI1" t="s">
        <v>2369</v>
      </c>
      <c r="BJ1" t="s">
        <v>2370</v>
      </c>
      <c r="BK1" t="s">
        <v>2371</v>
      </c>
      <c r="BL1" t="s">
        <v>2372</v>
      </c>
      <c r="BM1" t="s">
        <v>2373</v>
      </c>
      <c r="BN1" t="s">
        <v>2374</v>
      </c>
      <c r="BO1" t="s">
        <v>2375</v>
      </c>
      <c r="BP1" t="s">
        <v>2376</v>
      </c>
      <c r="BQ1" t="s">
        <v>2377</v>
      </c>
      <c r="BR1" t="s">
        <v>2378</v>
      </c>
      <c r="BS1" t="s">
        <v>2379</v>
      </c>
      <c r="BT1" t="s">
        <v>2380</v>
      </c>
      <c r="BU1" t="s">
        <v>2381</v>
      </c>
      <c r="BV1" t="s">
        <v>2382</v>
      </c>
      <c r="BW1" t="s">
        <v>2383</v>
      </c>
      <c r="BX1" t="s">
        <v>2384</v>
      </c>
      <c r="BY1" t="s">
        <v>2385</v>
      </c>
      <c r="BZ1" t="s">
        <v>2386</v>
      </c>
      <c r="CA1" t="s">
        <v>2387</v>
      </c>
      <c r="CB1" t="s">
        <v>2388</v>
      </c>
      <c r="CC1" t="s">
        <v>2389</v>
      </c>
      <c r="CD1" t="s">
        <v>2390</v>
      </c>
      <c r="CE1" t="s">
        <v>2391</v>
      </c>
      <c r="CF1" t="s">
        <v>2392</v>
      </c>
      <c r="CG1" t="s">
        <v>2393</v>
      </c>
      <c r="CH1" t="s">
        <v>2394</v>
      </c>
      <c r="CI1" t="s">
        <v>2395</v>
      </c>
      <c r="CJ1" t="s">
        <v>2396</v>
      </c>
      <c r="CK1" t="s">
        <v>2397</v>
      </c>
      <c r="CL1" t="s">
        <v>2398</v>
      </c>
      <c r="CM1" t="s">
        <v>2399</v>
      </c>
      <c r="CN1" t="s">
        <v>2400</v>
      </c>
      <c r="CO1" t="s">
        <v>2401</v>
      </c>
      <c r="CP1" t="s">
        <v>2402</v>
      </c>
      <c r="CQ1" t="s">
        <v>2403</v>
      </c>
      <c r="CR1" t="s">
        <v>2404</v>
      </c>
    </row>
    <row r="2" spans="1:96" x14ac:dyDescent="0.25">
      <c r="A2">
        <f>Q_RP_B_DSSCAGE_01</f>
        <v>0</v>
      </c>
      <c r="B2">
        <f>Q1a_A_LocationName</f>
        <v>0</v>
      </c>
      <c r="C2">
        <f>Q1a_A_LocOrgName</f>
        <v>0</v>
      </c>
      <c r="D2">
        <f>Q1a_B_Parent1_Name</f>
        <v>0</v>
      </c>
      <c r="E2">
        <f>Q_RP_A_MultiResponse</f>
        <v>0</v>
      </c>
      <c r="F2">
        <f>'D-RepLevel'!$F$2</f>
        <v>0</v>
      </c>
      <c r="G2">
        <f>'D-RepLevel'!$G$2</f>
        <v>0</v>
      </c>
      <c r="H2">
        <f>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Q4b_A_NumUSGPrograms</f>
        <v>0</v>
      </c>
      <c r="M2">
        <f>Q6_A_Employees_Year3</f>
        <v>0</v>
      </c>
      <c r="N2">
        <f>Q6_B_Employee_H1B_Total+Q6_B_Employee_H2B_Total+Q6_B_Employee_F1_Total+Q6_B_Employee_GreenCard_Total+Q6_B_Employee_Other_Total</f>
        <v>0</v>
      </c>
      <c r="O2">
        <f>Year3</f>
        <v>2015</v>
      </c>
      <c r="P2">
        <f>Q7_A_TotalSales_US_Year3+Q7_A_TotalSales_NonUS_Year3</f>
        <v>0</v>
      </c>
      <c r="Q2">
        <f>Q7_B_DefSales_US_Year3_Pct*Q7_A_TotalSales_US_Year3+Q7_B_DefSales_NonUS_Year3_Pct*Q7_A_TotalSales_NonUS_Year3</f>
        <v>0</v>
      </c>
      <c r="R2">
        <f>Q9a_B_Physical_Year3</f>
        <v>0</v>
      </c>
      <c r="S2">
        <f>Q9a_B_Cyber_Year3</f>
        <v>0</v>
      </c>
      <c r="T2">
        <f>COUNTIF('9a'!$K$22:$K$32, "Yes")+COUNTIF('9a'!$O$22:$O$32, "Yes")</f>
        <v>0</v>
      </c>
      <c r="U2" t="str">
        <f>IF(Q12_OpEx_Year3=0, "No Expenditures", Q9b_A_PhysicalSpending_Year3/(Q12_OpEx_Year3))</f>
        <v>No Expenditures</v>
      </c>
      <c r="V2" t="str">
        <f>IF(Q12_OpEx_Year3=0, "No Expenditures", Q9b_A_CyberSpending_Year3/(Q12_OpEx_Year3))</f>
        <v>No Expenditures</v>
      </c>
      <c r="W2">
        <f>Q9b_C_Pct_CSI_External</f>
        <v>0</v>
      </c>
      <c r="X2" t="str">
        <f>'D-Risk'!$AO$25</f>
        <v>Insufficient Data</v>
      </c>
      <c r="Y2" t="str">
        <f>'D-Risk'!$AO$26</f>
        <v>Insufficient Data</v>
      </c>
      <c r="Z2" t="str">
        <f>'D-Risk'!$AO$27</f>
        <v>Uncalculated</v>
      </c>
      <c r="AA2">
        <f>Q9a_A_Authorities_YN</f>
        <v>0</v>
      </c>
      <c r="AB2">
        <f>Q9a_A_Authorities_DSS</f>
        <v>0</v>
      </c>
      <c r="AC2">
        <f>Q9a_A_Authorities_DLA</f>
        <v>0</v>
      </c>
      <c r="AD2">
        <f>Q9a_A_Authorities_DefInvestigative</f>
        <v>0</v>
      </c>
      <c r="AE2">
        <f>Q9a_A_Authorities_BIS</f>
        <v>0</v>
      </c>
      <c r="AF2">
        <f>Q9a_A_Authorities_DOE</f>
        <v>0</v>
      </c>
      <c r="AG2">
        <f>Q9a_A_Authorities_DHS</f>
        <v>0</v>
      </c>
      <c r="AH2">
        <f>Q9a_A_Authorities_DOJ</f>
        <v>0</v>
      </c>
      <c r="AI2">
        <f>Q9a_A_Authorities_FBI</f>
        <v>0</v>
      </c>
      <c r="AJ2">
        <f>Q9a_A_Authorities_FCC</f>
        <v>0</v>
      </c>
      <c r="AK2">
        <f>Q9a_A_Authorities_FTC</f>
        <v>0</v>
      </c>
      <c r="AL2">
        <f>Q9a_A_Authorities_GIDEP</f>
        <v>0</v>
      </c>
      <c r="AM2">
        <f>Q9a_A_Authorities_NASA</f>
        <v>0</v>
      </c>
      <c r="AN2">
        <f>Q9a_A_Authorities_NSA</f>
        <v>0</v>
      </c>
      <c r="AO2">
        <f>Q9a_A_Authorities_NRC</f>
        <v>0</v>
      </c>
      <c r="AP2">
        <f>Q9a_A_Authorities_SS</f>
        <v>0</v>
      </c>
      <c r="AQ2">
        <f>Q9a_A_Authorities_Local</f>
        <v>0</v>
      </c>
      <c r="AR2">
        <f>Q9a_A_Authorities_USCERT</f>
        <v>0</v>
      </c>
      <c r="AS2">
        <f>Q9a_A_Authorities_None</f>
        <v>0</v>
      </c>
      <c r="AT2">
        <f>Q9a_A_Authorities_Other1</f>
        <v>0</v>
      </c>
      <c r="AU2">
        <f>Q9a_A_Authorities_Other2</f>
        <v>0</v>
      </c>
      <c r="AV2" t="str">
        <f>Q9a_A_Authorities_Other1_Specify</f>
        <v>(specify here)</v>
      </c>
      <c r="AW2" t="str">
        <f>Q9a_A_Authorities_Other2_Specify</f>
        <v>(specify here)</v>
      </c>
      <c r="AX2" t="str">
        <f>IF(ISBLANK(Q9a_B_Physical_Year1), "No Entry", Q9a_B_Physical_Year1)</f>
        <v>No Entry</v>
      </c>
      <c r="AY2" t="str">
        <f>IF(ISBLANK(Q9a_B_Physical_Year2), "No Entry", Q9a_B_Physical_Year2)</f>
        <v>No Entry</v>
      </c>
      <c r="AZ2" t="str">
        <f>IF(ISBLANK(Q9a_B_Physical_Year3), "No Entry", Q9a_B_Physical_Year3)</f>
        <v>No Entry</v>
      </c>
      <c r="BA2" t="str">
        <f>IF(ISBLANK(Q9a_B_Cyber_Year1), "No Entry", Q9a_B_Cyber_Year1)</f>
        <v>No Entry</v>
      </c>
      <c r="BB2" t="str">
        <f>IF(ISBLANK(Q9a_B_Cyber_Year2), "No Entry", Q9a_B_Cyber_Year2)</f>
        <v>No Entry</v>
      </c>
      <c r="BC2" t="str">
        <f>IF(ISBLANK(Q9a_B_Cyber_Year3), "No Entry", Q9a_B_Cyber_Year3)</f>
        <v>No Entry</v>
      </c>
      <c r="BD2">
        <f>Q9a_C_Physical_AfterHours</f>
        <v>0</v>
      </c>
      <c r="BE2">
        <f>Q9a_C_Physical_CCTV</f>
        <v>0</v>
      </c>
      <c r="BF2">
        <f>Q9a_C_Physical_ControlEntry</f>
        <v>0</v>
      </c>
      <c r="BG2">
        <f>Q9a_C_Physical_Alarms</f>
        <v>0</v>
      </c>
      <c r="BH2">
        <f>Q9a_C_Physical_Barriers</f>
        <v>0</v>
      </c>
      <c r="BI2">
        <f>Q9a_C_Physical_AccessCards</f>
        <v>0</v>
      </c>
      <c r="BJ2">
        <f>Q9a_C_Physical_Separation</f>
        <v>0</v>
      </c>
      <c r="BK2">
        <f>Q9a_C_Physical_Guards</f>
        <v>0</v>
      </c>
      <c r="BL2">
        <f>Q9a_C_Physical_Other1</f>
        <v>0</v>
      </c>
      <c r="BM2">
        <f>Q9a_C_Physical_Other2</f>
        <v>0</v>
      </c>
      <c r="BN2">
        <f>Q9a_C_Physical_Other3</f>
        <v>0</v>
      </c>
      <c r="BO2" t="str">
        <f>Q9a_C_Physical_Other1_Specify</f>
        <v>(specify here)</v>
      </c>
      <c r="BP2" t="str">
        <f>Q9a_C_Physical_Other2_Specify</f>
        <v>(specify here)</v>
      </c>
      <c r="BQ2" t="str">
        <f>Q9a_C_Physical_Other3_Specify</f>
        <v>(specify here)</v>
      </c>
      <c r="BR2">
        <f>Q9a_C_Cyber_AccountMonitoring</f>
        <v>0</v>
      </c>
      <c r="BS2">
        <f>Q9a_C_Cyber_ApplicationSec</f>
        <v>0</v>
      </c>
      <c r="BT2">
        <f>Q9a_C_Cyber_BoundaryDef</f>
        <v>0</v>
      </c>
      <c r="BU2">
        <f>Q9a_C_Cyber_ContinuousVuln</f>
        <v>0</v>
      </c>
      <c r="BV2">
        <f>Q9a_C_Cyber_ControlledAccess</f>
        <v>0</v>
      </c>
      <c r="BW2">
        <f>Q9a_C_Cyber_ControlledAdmin</f>
        <v>0</v>
      </c>
      <c r="BX2">
        <f>Q9a_C_Cyber_DataProtection</f>
        <v>0</v>
      </c>
      <c r="BY2">
        <f>Q9a_C_Cyber_DataRecovery</f>
        <v>0</v>
      </c>
      <c r="BZ2">
        <f>Q9a_C_Cyber_IncidentResponse</f>
        <v>0</v>
      </c>
      <c r="CA2">
        <f>Q9a_C_Cyber_DeviceInventory</f>
        <v>0</v>
      </c>
      <c r="CB2">
        <f>Q9a_C_Cyber_SoftwareInventory</f>
        <v>0</v>
      </c>
      <c r="CC2">
        <f>Q9a_C_Cyber_PortControl</f>
        <v>0</v>
      </c>
      <c r="CD2">
        <f>Q9a_C_Cyber_AuditLogs</f>
        <v>0</v>
      </c>
      <c r="CE2">
        <f>Q9a_C_Cyber_MalwareDefense</f>
        <v>0</v>
      </c>
      <c r="CF2">
        <f>Q9a_C_Cyber_RedTeamTests</f>
        <v>0</v>
      </c>
      <c r="CG2">
        <f>Q9a_C_Cyber_HardwareConfig</f>
        <v>0</v>
      </c>
      <c r="CH2">
        <f>Q9a_C_Cyber_NetworkConfig</f>
        <v>0</v>
      </c>
      <c r="CI2">
        <f>Q9a_C_Cyber_NetworkEngineer</f>
        <v>0</v>
      </c>
      <c r="CJ2">
        <f>Q9a_C_Cyber_SkillsAssessment</f>
        <v>0</v>
      </c>
      <c r="CK2">
        <f>Q9a_C_Cyber_WirelessControl</f>
        <v>0</v>
      </c>
      <c r="CL2">
        <f>Q9a_C_Cyber_Other1</f>
        <v>0</v>
      </c>
      <c r="CM2">
        <f>Q9a_C_Cyber_Other2</f>
        <v>0</v>
      </c>
      <c r="CN2" t="str">
        <f>Q9a_C_Cyber_Other1_Specify</f>
        <v>(specify here)</v>
      </c>
      <c r="CO2" t="str">
        <f>Q9a_C_Cyber_Other2_Specify</f>
        <v>(specify here)</v>
      </c>
      <c r="CP2">
        <f>Q9a_D_NIST_Familiar_YN</f>
        <v>0</v>
      </c>
      <c r="CQ2">
        <f>Q9a_D_NIST_Use</f>
        <v>0</v>
      </c>
      <c r="CR2">
        <f>Q9a_D_NIST_Explain</f>
        <v>0</v>
      </c>
    </row>
  </sheetData>
  <pageMargins left="0.7" right="0.7" top="0.75" bottom="0.75" header="0.3" footer="0.3"/>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7"/>
  <sheetViews>
    <sheetView zoomScale="70" zoomScaleNormal="70" workbookViewId="0">
      <selection activeCell="C7" sqref="C7:D7"/>
    </sheetView>
  </sheetViews>
  <sheetFormatPr defaultRowHeight="15" x14ac:dyDescent="0.25"/>
  <sheetData>
    <row r="1" spans="1:33"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2320</v>
      </c>
      <c r="AB1" t="s">
        <v>2321</v>
      </c>
      <c r="AC1" t="s">
        <v>2405</v>
      </c>
      <c r="AD1" t="s">
        <v>156</v>
      </c>
      <c r="AE1" t="s">
        <v>2324</v>
      </c>
      <c r="AF1" t="s">
        <v>2406</v>
      </c>
      <c r="AG1" t="s">
        <v>2407</v>
      </c>
    </row>
    <row r="2" spans="1:33" x14ac:dyDescent="0.25">
      <c r="A2">
        <f t="shared" ref="A2:A7" si="0">Q_RP_B_DSSCAGE_01</f>
        <v>0</v>
      </c>
      <c r="B2">
        <f t="shared" ref="B2:B7" si="1">Q1a_A_LocationName</f>
        <v>0</v>
      </c>
      <c r="C2">
        <f t="shared" ref="C2:C7" si="2">Q1a_A_LocOrgName</f>
        <v>0</v>
      </c>
      <c r="D2">
        <f t="shared" ref="D2:D7" si="3">Q1a_B_Parent1_Name</f>
        <v>0</v>
      </c>
      <c r="E2">
        <f t="shared" ref="E2:E7" si="4">Q_RP_A_MultiResponse</f>
        <v>0</v>
      </c>
      <c r="F2">
        <f>'D-RepLevel'!$F$2</f>
        <v>0</v>
      </c>
      <c r="G2">
        <f>'D-RepLevel'!$G$2</f>
        <v>0</v>
      </c>
      <c r="H2">
        <f t="shared" ref="H2:H7"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7" si="6">Q4b_A_NumUSGPrograms</f>
        <v>0</v>
      </c>
      <c r="M2">
        <f t="shared" ref="M2:M7" si="7">Q6_A_Employees_Year3</f>
        <v>0</v>
      </c>
      <c r="N2">
        <f t="shared" ref="N2:N7" si="8">Q6_B_Employee_H1B_Total+Q6_B_Employee_H2B_Total+Q6_B_Employee_F1_Total+Q6_B_Employee_GreenCard_Total+Q6_B_Employee_Other_Total</f>
        <v>0</v>
      </c>
      <c r="O2">
        <f t="shared" ref="O2:O7" si="9">Year3</f>
        <v>2015</v>
      </c>
      <c r="P2">
        <f t="shared" ref="P2:P7" si="10">Q7_A_TotalSales_US_Year3+Q7_A_TotalSales_NonUS_Year3</f>
        <v>0</v>
      </c>
      <c r="Q2">
        <f t="shared" ref="Q2:Q7" si="11">Q7_B_DefSales_US_Year3_Pct*Q7_A_TotalSales_US_Year3+Q7_B_DefSales_NonUS_Year3_Pct*Q7_A_TotalSales_NonUS_Year3</f>
        <v>0</v>
      </c>
      <c r="R2">
        <f t="shared" ref="R2:R7" si="12">Q9a_B_Physical_Year3</f>
        <v>0</v>
      </c>
      <c r="S2">
        <f t="shared" ref="S2:S7" si="13">Q9a_B_Cyber_Year3</f>
        <v>0</v>
      </c>
      <c r="T2">
        <f>COUNTIF('9a'!$K$22:$K$32, "Yes")+COUNTIF('9a'!$O$22:$O$32, "Yes")</f>
        <v>0</v>
      </c>
      <c r="U2" t="str">
        <f t="shared" ref="U2:U7" si="14">IF(Q12_OpEx_Year3=0, "No Expenditures", Q9b_A_PhysicalSpending_Year3/(Q12_OpEx_Year3))</f>
        <v>No Expenditures</v>
      </c>
      <c r="V2" t="str">
        <f t="shared" ref="V2:V7" si="15">IF(Q12_OpEx_Year3=0, "No Expenditures", Q9b_A_CyberSpending_Year3/(Q12_OpEx_Year3))</f>
        <v>No Expenditures</v>
      </c>
      <c r="W2">
        <f t="shared" ref="W2:W7" si="16">Q9b_C_Pct_CSI_External</f>
        <v>0</v>
      </c>
      <c r="X2" t="str">
        <f>'D-Risk'!$AO$25</f>
        <v>Insufficient Data</v>
      </c>
      <c r="Y2" t="str">
        <f>'D-Risk'!$AO$26</f>
        <v>Insufficient Data</v>
      </c>
      <c r="Z2" t="str">
        <f>'D-Risk'!$AO$27</f>
        <v>Uncalculated</v>
      </c>
      <c r="AA2">
        <f t="shared" ref="AA2:AA7" si="17">Q9b_A_Schedule</f>
        <v>0</v>
      </c>
      <c r="AB2">
        <f t="shared" ref="AB2:AB7" si="18">Q9b_A_Source</f>
        <v>0</v>
      </c>
      <c r="AC2" t="s">
        <v>2408</v>
      </c>
      <c r="AD2">
        <f>Year1</f>
        <v>2013</v>
      </c>
      <c r="AE2">
        <f>Q9b_A_CyberSpending_Year1</f>
        <v>0</v>
      </c>
      <c r="AF2" t="str">
        <f>IF(Q12_OpEx_Year1=0, "No Expenditures", Q9b_A_CyberSpending_Year1/(Q12_OpEx_Year1))</f>
        <v>No Expenditures</v>
      </c>
      <c r="AG2" t="str">
        <f>IF(ISBLANK(Q9a_B_Cyber_Year1), "No Entry", Q9a_B_Cyber_Year1)</f>
        <v>No Entry</v>
      </c>
    </row>
    <row r="3" spans="1:33"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f t="shared" si="17"/>
        <v>0</v>
      </c>
      <c r="AB3">
        <f t="shared" si="18"/>
        <v>0</v>
      </c>
      <c r="AC3" t="s">
        <v>2408</v>
      </c>
      <c r="AD3">
        <f>Year2</f>
        <v>2014</v>
      </c>
      <c r="AE3">
        <f>Q9b_A_CyberSpending_Year2</f>
        <v>0</v>
      </c>
      <c r="AF3" t="str">
        <f>IF(Q12_OpEx_Year2=0, "No Expenditures", Q9b_A_CyberSpending_Year2/(Q12_OpEx_Year2))</f>
        <v>No Expenditures</v>
      </c>
      <c r="AG3" t="str">
        <f>IF(ISBLANK(Q9a_B_Cyber_Year2), "No Entry", Q9a_B_Cyber_Year2)</f>
        <v>No Entry</v>
      </c>
    </row>
    <row r="4" spans="1:33"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f t="shared" si="17"/>
        <v>0</v>
      </c>
      <c r="AB4">
        <f t="shared" si="18"/>
        <v>0</v>
      </c>
      <c r="AC4" t="s">
        <v>2408</v>
      </c>
      <c r="AD4">
        <f>Year3</f>
        <v>2015</v>
      </c>
      <c r="AE4">
        <f>Q9b_A_CyberSpending_Year3</f>
        <v>0</v>
      </c>
      <c r="AF4" t="str">
        <f>IF(Q12_OpEx_Year3=0, "No Expenditures", Q9b_A_CyberSpending_Year3/(Q12_OpEx_Year3))</f>
        <v>No Expenditures</v>
      </c>
      <c r="AG4" t="str">
        <f>IF(ISBLANK(Q9a_B_Cyber_Year3), "No Entry", Q9a_B_Cyber_Year3)</f>
        <v>No Entry</v>
      </c>
    </row>
    <row r="5" spans="1:33"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f t="shared" si="17"/>
        <v>0</v>
      </c>
      <c r="AB5">
        <f t="shared" si="18"/>
        <v>0</v>
      </c>
      <c r="AC5" t="s">
        <v>2409</v>
      </c>
      <c r="AD5">
        <f>Year1</f>
        <v>2013</v>
      </c>
      <c r="AE5">
        <f>Q9b_A_PhysicalSpending_Year1</f>
        <v>0</v>
      </c>
      <c r="AF5" t="str">
        <f>IF(Q12_OpEx_Year1=0, "No Expenditures", Q9b_A_PhysicalSpending_Year1/(Q12_OpEx_Year1))</f>
        <v>No Expenditures</v>
      </c>
      <c r="AG5" t="str">
        <f>IF(ISBLANK(Q9a_B_Physical_Year1), "No Entry", Q9a_B_Physical_Year1)</f>
        <v>No Entry</v>
      </c>
    </row>
    <row r="6" spans="1:33"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f t="shared" si="17"/>
        <v>0</v>
      </c>
      <c r="AB6">
        <f t="shared" si="18"/>
        <v>0</v>
      </c>
      <c r="AC6" t="s">
        <v>2409</v>
      </c>
      <c r="AD6">
        <f>Year2</f>
        <v>2014</v>
      </c>
      <c r="AE6">
        <f>Q9b_A_PhysicalSpending_Year2</f>
        <v>0</v>
      </c>
      <c r="AF6" t="str">
        <f>IF(Q12_OpEx_Year2=0, "No Expenditures", Q9b_A_PhysicalSpending_Year2/(Q12_OpEx_Year2))</f>
        <v>No Expenditures</v>
      </c>
      <c r="AG6" t="str">
        <f>IF(ISBLANK(Q9a_B_Physical_Year2), "No Entry", Q9a_B_Physical_Year2)</f>
        <v>No Entry</v>
      </c>
    </row>
    <row r="7" spans="1:33"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f t="shared" si="17"/>
        <v>0</v>
      </c>
      <c r="AB7">
        <f t="shared" si="18"/>
        <v>0</v>
      </c>
      <c r="AC7" t="s">
        <v>2409</v>
      </c>
      <c r="AD7">
        <f>Year3</f>
        <v>2015</v>
      </c>
      <c r="AE7">
        <f>Q9b_A_PhysicalSpending_Year3</f>
        <v>0</v>
      </c>
      <c r="AF7" t="str">
        <f>IF(Q12_OpEx_Year3=0, "No Expenditures", Q9b_A_PhysicalSpending_Year3/(Q12_OpEx_Year3))</f>
        <v>No Expenditures</v>
      </c>
      <c r="AG7" t="str">
        <f>IF(ISBLANK(Q9a_B_Physical_Year3), "No Entry", Q9a_B_Physical_Year3)</f>
        <v>No Entry</v>
      </c>
    </row>
  </sheetData>
  <pageMargins left="0.7" right="0.7" top="0.75" bottom="0.75" header="0.3" footer="0.3"/>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2"/>
  <sheetViews>
    <sheetView topLeftCell="AG1" zoomScale="70" zoomScaleNormal="70" workbookViewId="0">
      <selection activeCell="C7" sqref="C7:D7"/>
    </sheetView>
  </sheetViews>
  <sheetFormatPr defaultRowHeight="15" x14ac:dyDescent="0.25"/>
  <sheetData>
    <row r="1" spans="1:72"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2410</v>
      </c>
      <c r="AB1" t="s">
        <v>2411</v>
      </c>
      <c r="AC1" t="s">
        <v>2412</v>
      </c>
      <c r="AD1" t="s">
        <v>2413</v>
      </c>
      <c r="AE1" t="s">
        <v>2414</v>
      </c>
      <c r="AF1" t="s">
        <v>2415</v>
      </c>
      <c r="AG1" t="s">
        <v>2416</v>
      </c>
      <c r="AH1" t="s">
        <v>2417</v>
      </c>
      <c r="AI1" t="s">
        <v>2418</v>
      </c>
      <c r="AJ1" t="s">
        <v>2419</v>
      </c>
      <c r="AK1" t="s">
        <v>2420</v>
      </c>
      <c r="AL1" t="s">
        <v>2421</v>
      </c>
      <c r="AM1" t="s">
        <v>1949</v>
      </c>
      <c r="AN1" t="s">
        <v>2422</v>
      </c>
      <c r="AO1" t="s">
        <v>2423</v>
      </c>
      <c r="AP1" t="s">
        <v>2424</v>
      </c>
      <c r="AQ1" t="s">
        <v>2425</v>
      </c>
      <c r="AR1" t="s">
        <v>2426</v>
      </c>
      <c r="AS1" t="s">
        <v>2427</v>
      </c>
      <c r="AT1" t="s">
        <v>2428</v>
      </c>
      <c r="AU1" t="s">
        <v>2429</v>
      </c>
      <c r="AV1" t="s">
        <v>2430</v>
      </c>
      <c r="AW1" t="s">
        <v>2431</v>
      </c>
      <c r="AX1" t="s">
        <v>2432</v>
      </c>
      <c r="AY1" t="s">
        <v>2433</v>
      </c>
      <c r="AZ1" t="s">
        <v>2434</v>
      </c>
      <c r="BA1" t="s">
        <v>2435</v>
      </c>
      <c r="BB1" t="s">
        <v>2436</v>
      </c>
      <c r="BC1" t="s">
        <v>2437</v>
      </c>
      <c r="BD1" t="s">
        <v>2438</v>
      </c>
      <c r="BE1" t="s">
        <v>2439</v>
      </c>
      <c r="BF1" t="s">
        <v>2440</v>
      </c>
      <c r="BG1" t="s">
        <v>2441</v>
      </c>
      <c r="BH1" t="s">
        <v>2442</v>
      </c>
      <c r="BI1" t="s">
        <v>2443</v>
      </c>
      <c r="BJ1" t="s">
        <v>2444</v>
      </c>
      <c r="BK1" t="s">
        <v>2445</v>
      </c>
      <c r="BL1" t="s">
        <v>2446</v>
      </c>
      <c r="BM1" t="s">
        <v>2447</v>
      </c>
      <c r="BN1" t="s">
        <v>2448</v>
      </c>
      <c r="BO1" t="s">
        <v>2449</v>
      </c>
      <c r="BP1" t="s">
        <v>2450</v>
      </c>
      <c r="BQ1" t="s">
        <v>2451</v>
      </c>
      <c r="BR1" t="s">
        <v>2452</v>
      </c>
      <c r="BS1" t="s">
        <v>2453</v>
      </c>
      <c r="BT1" t="s">
        <v>2454</v>
      </c>
    </row>
    <row r="2" spans="1:72" x14ac:dyDescent="0.25">
      <c r="A2">
        <f>Q_RP_B_DSSCAGE_01</f>
        <v>0</v>
      </c>
      <c r="B2">
        <f>Q1a_A_LocationName</f>
        <v>0</v>
      </c>
      <c r="C2">
        <f>Q1a_A_LocOrgName</f>
        <v>0</v>
      </c>
      <c r="D2">
        <f>Q1a_B_Parent1_Name</f>
        <v>0</v>
      </c>
      <c r="E2">
        <f>Q_RP_A_MultiResponse</f>
        <v>0</v>
      </c>
      <c r="F2">
        <f>'D-RepLevel'!$F$2</f>
        <v>0</v>
      </c>
      <c r="G2">
        <f>'D-RepLevel'!$G$2</f>
        <v>0</v>
      </c>
      <c r="H2">
        <f>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Q4b_A_NumUSGPrograms</f>
        <v>0</v>
      </c>
      <c r="M2">
        <f>Q6_A_Employees_Year3</f>
        <v>0</v>
      </c>
      <c r="N2">
        <f>Q6_B_Employee_H1B_Total+Q6_B_Employee_H2B_Total+Q6_B_Employee_F1_Total+Q6_B_Employee_GreenCard_Total+Q6_B_Employee_Other_Total</f>
        <v>0</v>
      </c>
      <c r="O2">
        <f>Year3</f>
        <v>2015</v>
      </c>
      <c r="P2">
        <f>Q7_A_TotalSales_US_Year3+Q7_A_TotalSales_NonUS_Year3</f>
        <v>0</v>
      </c>
      <c r="Q2">
        <f>Q7_B_DefSales_US_Year3_Pct*Q7_A_TotalSales_US_Year3+Q7_B_DefSales_NonUS_Year3_Pct*Q7_A_TotalSales_NonUS_Year3</f>
        <v>0</v>
      </c>
      <c r="R2">
        <f>Q9a_B_Physical_Year3</f>
        <v>0</v>
      </c>
      <c r="S2">
        <f>Q9a_B_Cyber_Year3</f>
        <v>0</v>
      </c>
      <c r="T2">
        <f>COUNTIF('9a'!$K$22:$K$32, "Yes")+COUNTIF('9a'!$O$22:$O$32, "Yes")</f>
        <v>0</v>
      </c>
      <c r="U2" t="str">
        <f>IF(Q12_OpEx_Year3=0, "No Expenditures", Q9b_A_PhysicalSpending_Year3/(Q12_OpEx_Year3))</f>
        <v>No Expenditures</v>
      </c>
      <c r="V2" t="str">
        <f>IF(Q12_OpEx_Year3=0, "No Expenditures", Q9b_A_CyberSpending_Year3/(Q12_OpEx_Year3))</f>
        <v>No Expenditures</v>
      </c>
      <c r="W2">
        <f>Q9b_C_Pct_CSI_External</f>
        <v>0</v>
      </c>
      <c r="X2" t="str">
        <f>'D-Risk'!$AO$25</f>
        <v>Insufficient Data</v>
      </c>
      <c r="Y2" t="str">
        <f>'D-Risk'!$AO$26</f>
        <v>Insufficient Data</v>
      </c>
      <c r="Z2" t="str">
        <f>'D-Risk'!$AO$27</f>
        <v>Uncalculated</v>
      </c>
      <c r="AA2">
        <f>Q8_Total_US</f>
        <v>0</v>
      </c>
      <c r="AB2">
        <f>Q8_Total_NonUS</f>
        <v>0</v>
      </c>
      <c r="AC2">
        <f>Q9b_B_AccessEmployees_YN</f>
        <v>0</v>
      </c>
      <c r="AD2">
        <f>Q9b_B_AccessEmployees_Explain</f>
        <v>0</v>
      </c>
      <c r="AE2">
        <f>Q9b_B_AccessOutsiders_YN</f>
        <v>0</v>
      </c>
      <c r="AF2">
        <f>Q9b_B_AccessOutsiders_Explain</f>
        <v>0</v>
      </c>
      <c r="AG2">
        <f>Q9b_C_DataCenter_US_YN</f>
        <v>0</v>
      </c>
      <c r="AH2">
        <f>Q9b_C_DataCenter_US_Count</f>
        <v>0</v>
      </c>
      <c r="AI2">
        <f>Q9b_C_DataCenter_NonUS_YN</f>
        <v>0</v>
      </c>
      <c r="AJ2">
        <f>Q9b_C_DataCenter_NonUS_Count</f>
        <v>0</v>
      </c>
      <c r="AK2">
        <f>Q9b_C_External_US</f>
        <v>0</v>
      </c>
      <c r="AL2">
        <f>Q9b_C_External_NonUS</f>
        <v>0</v>
      </c>
      <c r="AM2" t="str">
        <f>IF(ISBLANK(Q9b_C_Pct_CSI_External), "No Entry", Q9b_C_Pct_CSI_External)</f>
        <v>No Entry</v>
      </c>
      <c r="AN2">
        <f>Q9b_C_Share_CSI</f>
        <v>0</v>
      </c>
      <c r="AO2">
        <f>Q9b_C_Share_CSI_Explain</f>
        <v>0</v>
      </c>
      <c r="AP2">
        <f>Q9b_D2_APT_Detect</f>
        <v>0</v>
      </c>
      <c r="AQ2">
        <f>Q9b_D2_APT_Number</f>
        <v>0</v>
      </c>
      <c r="AR2">
        <f>Q9b_D3_ITDowntime</f>
        <v>0</v>
      </c>
      <c r="AS2">
        <f>Q9b_D3_Costs</f>
        <v>0</v>
      </c>
      <c r="AT2">
        <f>Q9b_D3_SalesLoss</f>
        <v>0</v>
      </c>
      <c r="AU2">
        <f>Q9b_D3_ITDamage</f>
        <v>0</v>
      </c>
      <c r="AV2">
        <f>Q9b_D3_SystemsDamage</f>
        <v>0</v>
      </c>
      <c r="AW2">
        <f>Q9b_D3_SoftwareTheft</f>
        <v>0</v>
      </c>
      <c r="AX2">
        <f>Q9b_D3_RevisedPartnerships</f>
        <v>0</v>
      </c>
      <c r="AY2">
        <f>Q9b_D3_RDChange</f>
        <v>0</v>
      </c>
      <c r="AZ2">
        <f>Q9b_D3_ExitMarket</f>
        <v>0</v>
      </c>
      <c r="BA2">
        <f>Q9b_D3_ExitProduct</f>
        <v>0</v>
      </c>
      <c r="BB2">
        <f>Q9b_D3_NewCyber</f>
        <v>0</v>
      </c>
      <c r="BC2">
        <f>Q9b_D3_Other1</f>
        <v>0</v>
      </c>
      <c r="BD2" t="str">
        <f>Q9b_D3_Other1_Specify</f>
        <v>(specify here)</v>
      </c>
      <c r="BE2">
        <f>Q9b_D3_Other2</f>
        <v>0</v>
      </c>
      <c r="BF2" t="str">
        <f>Q9b_D3_Other2_Specify</f>
        <v>(specify here)</v>
      </c>
      <c r="BG2">
        <f>Q9a_Comments</f>
        <v>0</v>
      </c>
      <c r="BH2">
        <f>Q9b_Comments</f>
        <v>0</v>
      </c>
      <c r="BI2">
        <f>Q10_A_Classified_Prime</f>
        <v>0</v>
      </c>
      <c r="BJ2">
        <f>Q10_A_Classified_Sub_Here</f>
        <v>0</v>
      </c>
      <c r="BK2">
        <f>Q10_A_Classified_Sub_Given</f>
        <v>0</v>
      </c>
      <c r="BL2">
        <f>Q10_A_Classified_Foreign</f>
        <v>0</v>
      </c>
      <c r="BM2">
        <f>Q10_B_NumberDD254</f>
        <v>0</v>
      </c>
      <c r="BN2">
        <f>Q10_Comments</f>
        <v>0</v>
      </c>
      <c r="BO2">
        <f>Q11_RD_YN</f>
        <v>0</v>
      </c>
      <c r="BP2">
        <f>'9b'!K4</f>
        <v>0</v>
      </c>
      <c r="BQ2">
        <f>Q9b_D1_CSI_Detect</f>
        <v>0</v>
      </c>
      <c r="BR2">
        <f>Q9b_D1_CSI_Investigate</f>
        <v>0</v>
      </c>
      <c r="BS2">
        <f>Q9b_D1_CSI_Explain</f>
        <v>0</v>
      </c>
      <c r="BT2">
        <f>Q9b_D3_Exfiltration</f>
        <v>0</v>
      </c>
    </row>
  </sheetData>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1"/>
  <sheetViews>
    <sheetView zoomScale="70" zoomScaleNormal="70" workbookViewId="0">
      <selection activeCell="C7" sqref="C7:D7"/>
    </sheetView>
  </sheetViews>
  <sheetFormatPr defaultRowHeight="15" x14ac:dyDescent="0.25"/>
  <sheetData>
    <row r="1" spans="1:33"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2455</v>
      </c>
      <c r="AB1" t="s">
        <v>974</v>
      </c>
      <c r="AC1" t="s">
        <v>975</v>
      </c>
      <c r="AD1" t="s">
        <v>976</v>
      </c>
      <c r="AE1" t="s">
        <v>977</v>
      </c>
      <c r="AF1" t="s">
        <v>2456</v>
      </c>
      <c r="AG1" t="s">
        <v>2457</v>
      </c>
    </row>
    <row r="2" spans="1:33" x14ac:dyDescent="0.25">
      <c r="A2">
        <f t="shared" ref="A2:A31" si="0">Q_RP_B_DSSCAGE_01</f>
        <v>0</v>
      </c>
      <c r="B2">
        <f t="shared" ref="B2:B31" si="1">Q1a_A_LocationName</f>
        <v>0</v>
      </c>
      <c r="C2">
        <f t="shared" ref="C2:C31" si="2">Q1a_A_LocOrgName</f>
        <v>0</v>
      </c>
      <c r="D2">
        <f t="shared" ref="D2:D31" si="3">Q1a_B_Parent1_Name</f>
        <v>0</v>
      </c>
      <c r="E2">
        <f t="shared" ref="E2:E31" si="4">Q_RP_A_MultiResponse</f>
        <v>0</v>
      </c>
      <c r="F2">
        <f>'D-RepLevel'!$F$2</f>
        <v>0</v>
      </c>
      <c r="G2">
        <f>'D-RepLevel'!$G$2</f>
        <v>0</v>
      </c>
      <c r="H2">
        <f t="shared" ref="H2:H31"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1" si="6">Q4b_A_NumUSGPrograms</f>
        <v>0</v>
      </c>
      <c r="M2">
        <f t="shared" ref="M2:M31" si="7">Q6_A_Employees_Year3</f>
        <v>0</v>
      </c>
      <c r="N2">
        <f t="shared" ref="N2:N31" si="8">Q6_B_Employee_H1B_Total+Q6_B_Employee_H2B_Total+Q6_B_Employee_F1_Total+Q6_B_Employee_GreenCard_Total+Q6_B_Employee_Other_Total</f>
        <v>0</v>
      </c>
      <c r="O2">
        <f t="shared" ref="O2:O31" si="9">Year3</f>
        <v>2015</v>
      </c>
      <c r="P2">
        <f t="shared" ref="P2:P31" si="10">Q7_A_TotalSales_US_Year3+Q7_A_TotalSales_NonUS_Year3</f>
        <v>0</v>
      </c>
      <c r="Q2">
        <f t="shared" ref="Q2:Q31" si="11">Q7_B_DefSales_US_Year3_Pct*Q7_A_TotalSales_US_Year3+Q7_B_DefSales_NonUS_Year3_Pct*Q7_A_TotalSales_NonUS_Year3</f>
        <v>0</v>
      </c>
      <c r="R2">
        <f t="shared" ref="R2:R31" si="12">Q9a_B_Physical_Year3</f>
        <v>0</v>
      </c>
      <c r="S2">
        <f t="shared" ref="S2:S31" si="13">Q9a_B_Cyber_Year3</f>
        <v>0</v>
      </c>
      <c r="T2">
        <f>COUNTIF('9a'!$K$22:$K$32, "Yes")+COUNTIF('9a'!$O$22:$O$32, "Yes")</f>
        <v>0</v>
      </c>
      <c r="U2" t="str">
        <f t="shared" ref="U2:U31" si="14">IF(Q12_OpEx_Year3=0, "No Expenditures", Q9b_A_PhysicalSpending_Year3/(Q12_OpEx_Year3))</f>
        <v>No Expenditures</v>
      </c>
      <c r="V2" t="str">
        <f t="shared" ref="V2:V31" si="15">IF(Q12_OpEx_Year3=0, "No Expenditures", Q9b_A_CyberSpending_Year3/(Q12_OpEx_Year3))</f>
        <v>No Expenditures</v>
      </c>
      <c r="W2">
        <f t="shared" ref="W2:W31" si="16">Q9b_C_Pct_CSI_External</f>
        <v>0</v>
      </c>
      <c r="X2" t="str">
        <f>'D-Risk'!$AO$25</f>
        <v>Insufficient Data</v>
      </c>
      <c r="Y2" t="str">
        <f>'D-Risk'!$AO$26</f>
        <v>Insufficient Data</v>
      </c>
      <c r="Z2" t="str">
        <f>'D-Risk'!$AO$27</f>
        <v>Uncalculated</v>
      </c>
      <c r="AA2">
        <f t="shared" ref="AA2:AA31" si="17">Q10_B_NumberDD254</f>
        <v>0</v>
      </c>
      <c r="AB2">
        <f>Q10_Contract01_Number</f>
        <v>0</v>
      </c>
      <c r="AC2">
        <f>Q10_Contract01_CAGE</f>
        <v>0</v>
      </c>
      <c r="AD2">
        <f>Q10_Contract01_USGCustomer</f>
        <v>0</v>
      </c>
      <c r="AE2">
        <f>Q10_Contract01_USGProgram</f>
        <v>0</v>
      </c>
      <c r="AF2">
        <v>1</v>
      </c>
      <c r="AG2">
        <f>Q10_Contract01_Prod1</f>
        <v>0</v>
      </c>
    </row>
    <row r="3" spans="1:33"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f t="shared" si="17"/>
        <v>0</v>
      </c>
      <c r="AB3">
        <f>Q10_Contract02_Number</f>
        <v>0</v>
      </c>
      <c r="AC3">
        <f>Q10_Contract02_CAGE</f>
        <v>0</v>
      </c>
      <c r="AD3">
        <f>Q10_Contract02_USGCustomer</f>
        <v>0</v>
      </c>
      <c r="AE3">
        <f>Q10_Contract02_USGProgram</f>
        <v>0</v>
      </c>
      <c r="AF3">
        <v>1</v>
      </c>
      <c r="AG3">
        <f>Q10_Contract02_Prod1</f>
        <v>0</v>
      </c>
    </row>
    <row r="4" spans="1:33"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f t="shared" si="17"/>
        <v>0</v>
      </c>
      <c r="AB4">
        <f>Q10_Contract03_Number</f>
        <v>0</v>
      </c>
      <c r="AC4">
        <f>Q10_Contract03_CAGE</f>
        <v>0</v>
      </c>
      <c r="AD4">
        <f>Q10_Contract03_USGCustomer</f>
        <v>0</v>
      </c>
      <c r="AE4">
        <f>Q10_Contract03_USGProgram</f>
        <v>0</v>
      </c>
      <c r="AF4">
        <v>1</v>
      </c>
      <c r="AG4">
        <f>Q10_Contract03_Prod1</f>
        <v>0</v>
      </c>
    </row>
    <row r="5" spans="1:33"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f t="shared" si="17"/>
        <v>0</v>
      </c>
      <c r="AB5">
        <f>Q10_Contract04_Number</f>
        <v>0</v>
      </c>
      <c r="AC5">
        <f>Q10_Contract04_CAGE</f>
        <v>0</v>
      </c>
      <c r="AD5">
        <f>Q10_Contract04_USGCustomer</f>
        <v>0</v>
      </c>
      <c r="AE5">
        <f>Q10_Contract04_USGProgram</f>
        <v>0</v>
      </c>
      <c r="AF5">
        <v>1</v>
      </c>
      <c r="AG5">
        <f>Q10_Contract04_Prod1</f>
        <v>0</v>
      </c>
    </row>
    <row r="6" spans="1:33"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f t="shared" si="17"/>
        <v>0</v>
      </c>
      <c r="AB6">
        <f>Q10_Contract05_Number</f>
        <v>0</v>
      </c>
      <c r="AC6">
        <f>Q10_Contract05_CAGE</f>
        <v>0</v>
      </c>
      <c r="AD6">
        <f>Q10_Contract05_USGCustomer</f>
        <v>0</v>
      </c>
      <c r="AE6">
        <f>Q10_Contract05_USGProgram</f>
        <v>0</v>
      </c>
      <c r="AF6">
        <v>1</v>
      </c>
      <c r="AG6">
        <f>Q10_Contract05_Prod1</f>
        <v>0</v>
      </c>
    </row>
    <row r="7" spans="1:33"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f t="shared" si="17"/>
        <v>0</v>
      </c>
      <c r="AB7">
        <f>Q10_Contract06_Number</f>
        <v>0</v>
      </c>
      <c r="AC7">
        <f>Q10_Contract06_CAGE</f>
        <v>0</v>
      </c>
      <c r="AD7">
        <f>Q10_Contract06_USGCustomer</f>
        <v>0</v>
      </c>
      <c r="AE7">
        <f>Q10_Contract06_USGProgram</f>
        <v>0</v>
      </c>
      <c r="AF7">
        <v>1</v>
      </c>
      <c r="AG7">
        <f>Q10_Contract06_Prod1</f>
        <v>0</v>
      </c>
    </row>
    <row r="8" spans="1:33"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f t="shared" si="17"/>
        <v>0</v>
      </c>
      <c r="AB8">
        <f>Q10_Contract07_Number</f>
        <v>0</v>
      </c>
      <c r="AC8">
        <f>Q10_Contract07_CAGE</f>
        <v>0</v>
      </c>
      <c r="AD8">
        <f>Q10_Contract07_USGCustomer</f>
        <v>0</v>
      </c>
      <c r="AE8">
        <f>Q10_Contract07_USGProgram</f>
        <v>0</v>
      </c>
      <c r="AF8">
        <v>1</v>
      </c>
      <c r="AG8">
        <f>Q10_Contract07_Prod1</f>
        <v>0</v>
      </c>
    </row>
    <row r="9" spans="1:33"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f t="shared" si="17"/>
        <v>0</v>
      </c>
      <c r="AB9">
        <f>Q10_Contract08_Number</f>
        <v>0</v>
      </c>
      <c r="AC9">
        <f>Q10_Contract08_CAGE</f>
        <v>0</v>
      </c>
      <c r="AD9">
        <f>Q10_Contract08_USGCustomer</f>
        <v>0</v>
      </c>
      <c r="AE9">
        <f>Q10_Contract08_USGProgram</f>
        <v>0</v>
      </c>
      <c r="AF9">
        <v>1</v>
      </c>
      <c r="AG9">
        <f>Q10_Contract08_Prod1</f>
        <v>0</v>
      </c>
    </row>
    <row r="10" spans="1:33"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f t="shared" si="17"/>
        <v>0</v>
      </c>
      <c r="AB10">
        <f>Q10_Contract09_Number</f>
        <v>0</v>
      </c>
      <c r="AC10">
        <f>Q10_Contract09_CAGE</f>
        <v>0</v>
      </c>
      <c r="AD10">
        <f>Q10_Contract09_USGCustomer</f>
        <v>0</v>
      </c>
      <c r="AE10">
        <f>Q10_Contract09_USGProgram</f>
        <v>0</v>
      </c>
      <c r="AF10">
        <v>1</v>
      </c>
      <c r="AG10">
        <f>Q10_Contract09_Prod1</f>
        <v>0</v>
      </c>
    </row>
    <row r="11" spans="1:33"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f t="shared" si="17"/>
        <v>0</v>
      </c>
      <c r="AB11">
        <f>Q10_Contract10_Number</f>
        <v>0</v>
      </c>
      <c r="AC11">
        <f>Q10_Contract10_CAGE</f>
        <v>0</v>
      </c>
      <c r="AD11">
        <f>Q10_Contract10_USGCustomer</f>
        <v>0</v>
      </c>
      <c r="AE11">
        <f>Q10_Contract10_USGProgram</f>
        <v>0</v>
      </c>
      <c r="AF11">
        <v>1</v>
      </c>
      <c r="AG11">
        <f>Q10_Contract10_Prod1</f>
        <v>0</v>
      </c>
    </row>
    <row r="12" spans="1:33"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f t="shared" si="17"/>
        <v>0</v>
      </c>
      <c r="AB12">
        <f>Q10_Contract01_Number</f>
        <v>0</v>
      </c>
      <c r="AC12">
        <f>Q10_Contract01_CAGE</f>
        <v>0</v>
      </c>
      <c r="AD12">
        <f>Q10_Contract01_USGCustomer</f>
        <v>0</v>
      </c>
      <c r="AE12">
        <f>Q10_Contract01_USGProgram</f>
        <v>0</v>
      </c>
      <c r="AF12">
        <v>2</v>
      </c>
      <c r="AG12">
        <f>Q10_Contract01_Prod2</f>
        <v>0</v>
      </c>
    </row>
    <row r="13" spans="1:33"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f t="shared" si="17"/>
        <v>0</v>
      </c>
      <c r="AB13">
        <f>Q10_Contract02_Number</f>
        <v>0</v>
      </c>
      <c r="AC13">
        <f>Q10_Contract02_CAGE</f>
        <v>0</v>
      </c>
      <c r="AD13">
        <f>Q10_Contract02_USGCustomer</f>
        <v>0</v>
      </c>
      <c r="AE13">
        <f>Q10_Contract02_USGProgram</f>
        <v>0</v>
      </c>
      <c r="AF13">
        <v>2</v>
      </c>
      <c r="AG13">
        <f>Q10_Contract02_Prod2</f>
        <v>0</v>
      </c>
    </row>
    <row r="14" spans="1:33"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f t="shared" si="17"/>
        <v>0</v>
      </c>
      <c r="AB14">
        <f>Q10_Contract03_Number</f>
        <v>0</v>
      </c>
      <c r="AC14">
        <f>Q10_Contract03_CAGE</f>
        <v>0</v>
      </c>
      <c r="AD14">
        <f>Q10_Contract03_USGCustomer</f>
        <v>0</v>
      </c>
      <c r="AE14">
        <f>Q10_Contract03_USGProgram</f>
        <v>0</v>
      </c>
      <c r="AF14">
        <v>2</v>
      </c>
      <c r="AG14">
        <f>Q10_Contract03_Prod2</f>
        <v>0</v>
      </c>
    </row>
    <row r="15" spans="1:33"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f t="shared" si="17"/>
        <v>0</v>
      </c>
      <c r="AB15">
        <f>Q10_Contract04_Number</f>
        <v>0</v>
      </c>
      <c r="AC15">
        <f>Q10_Contract04_CAGE</f>
        <v>0</v>
      </c>
      <c r="AD15">
        <f>Q10_Contract04_USGCustomer</f>
        <v>0</v>
      </c>
      <c r="AE15">
        <f>Q10_Contract04_USGProgram</f>
        <v>0</v>
      </c>
      <c r="AF15">
        <v>2</v>
      </c>
      <c r="AG15">
        <f>Q10_Contract04_Prod2</f>
        <v>0</v>
      </c>
    </row>
    <row r="16" spans="1:33"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f t="shared" si="17"/>
        <v>0</v>
      </c>
      <c r="AB16">
        <f>Q10_Contract05_Number</f>
        <v>0</v>
      </c>
      <c r="AC16">
        <f>Q10_Contract05_CAGE</f>
        <v>0</v>
      </c>
      <c r="AD16">
        <f>Q10_Contract05_USGCustomer</f>
        <v>0</v>
      </c>
      <c r="AE16">
        <f>Q10_Contract05_USGProgram</f>
        <v>0</v>
      </c>
      <c r="AF16">
        <v>2</v>
      </c>
      <c r="AG16">
        <f>Q10_Contract05_Prod2</f>
        <v>0</v>
      </c>
    </row>
    <row r="17" spans="1:33"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f t="shared" si="17"/>
        <v>0</v>
      </c>
      <c r="AB17">
        <f>Q10_Contract06_Number</f>
        <v>0</v>
      </c>
      <c r="AC17">
        <f>Q10_Contract06_CAGE</f>
        <v>0</v>
      </c>
      <c r="AD17">
        <f>Q10_Contract06_USGCustomer</f>
        <v>0</v>
      </c>
      <c r="AE17">
        <f>Q10_Contract06_USGProgram</f>
        <v>0</v>
      </c>
      <c r="AF17">
        <v>2</v>
      </c>
      <c r="AG17">
        <f>Q10_Contract06_Prod2</f>
        <v>0</v>
      </c>
    </row>
    <row r="18" spans="1:33"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f t="shared" si="17"/>
        <v>0</v>
      </c>
      <c r="AB18">
        <f>Q10_Contract07_Number</f>
        <v>0</v>
      </c>
      <c r="AC18">
        <f>Q10_Contract07_CAGE</f>
        <v>0</v>
      </c>
      <c r="AD18">
        <f>Q10_Contract07_USGCustomer</f>
        <v>0</v>
      </c>
      <c r="AE18">
        <f>Q10_Contract07_USGProgram</f>
        <v>0</v>
      </c>
      <c r="AF18">
        <v>2</v>
      </c>
      <c r="AG18">
        <f>Q10_Contract07_Prod2</f>
        <v>0</v>
      </c>
    </row>
    <row r="19" spans="1:33"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f t="shared" si="17"/>
        <v>0</v>
      </c>
      <c r="AB19">
        <f>Q10_Contract08_Number</f>
        <v>0</v>
      </c>
      <c r="AC19">
        <f>Q10_Contract08_CAGE</f>
        <v>0</v>
      </c>
      <c r="AD19">
        <f>Q10_Contract08_USGCustomer</f>
        <v>0</v>
      </c>
      <c r="AE19">
        <f>Q10_Contract08_USGProgram</f>
        <v>0</v>
      </c>
      <c r="AF19">
        <v>2</v>
      </c>
      <c r="AG19">
        <f>Q10_Contract08_Prod2</f>
        <v>0</v>
      </c>
    </row>
    <row r="20" spans="1:33"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f t="shared" si="17"/>
        <v>0</v>
      </c>
      <c r="AB20">
        <f>Q10_Contract09_Number</f>
        <v>0</v>
      </c>
      <c r="AC20">
        <f>Q10_Contract09_CAGE</f>
        <v>0</v>
      </c>
      <c r="AD20">
        <f>Q10_Contract09_USGCustomer</f>
        <v>0</v>
      </c>
      <c r="AE20">
        <f>Q10_Contract09_USGProgram</f>
        <v>0</v>
      </c>
      <c r="AF20">
        <v>2</v>
      </c>
      <c r="AG20">
        <f>Q10_Contract09_Prod2</f>
        <v>0</v>
      </c>
    </row>
    <row r="21" spans="1:33"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f t="shared" si="17"/>
        <v>0</v>
      </c>
      <c r="AB21">
        <f>Q10_Contract10_Number</f>
        <v>0</v>
      </c>
      <c r="AC21">
        <f>Q10_Contract10_CAGE</f>
        <v>0</v>
      </c>
      <c r="AD21">
        <f>Q10_Contract10_USGCustomer</f>
        <v>0</v>
      </c>
      <c r="AE21">
        <f>Q10_Contract10_USGProgram</f>
        <v>0</v>
      </c>
      <c r="AF21">
        <v>2</v>
      </c>
      <c r="AG21">
        <f>Q10_Contract10_Prod2</f>
        <v>0</v>
      </c>
    </row>
    <row r="22" spans="1:33"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f t="shared" si="17"/>
        <v>0</v>
      </c>
      <c r="AB22">
        <f>Q10_Contract01_Number</f>
        <v>0</v>
      </c>
      <c r="AC22">
        <f>Q10_Contract01_CAGE</f>
        <v>0</v>
      </c>
      <c r="AD22">
        <f>Q10_Contract01_USGCustomer</f>
        <v>0</v>
      </c>
      <c r="AE22">
        <f>Q10_Contract01_USGProgram</f>
        <v>0</v>
      </c>
      <c r="AF22">
        <v>3</v>
      </c>
      <c r="AG22">
        <f>Q10_Contract01_Prod3</f>
        <v>0</v>
      </c>
    </row>
    <row r="23" spans="1:33"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f t="shared" si="17"/>
        <v>0</v>
      </c>
      <c r="AB23">
        <f>Q10_Contract02_Number</f>
        <v>0</v>
      </c>
      <c r="AC23">
        <f>Q10_Contract02_CAGE</f>
        <v>0</v>
      </c>
      <c r="AD23">
        <f>Q10_Contract02_USGCustomer</f>
        <v>0</v>
      </c>
      <c r="AE23">
        <f>Q10_Contract02_USGProgram</f>
        <v>0</v>
      </c>
      <c r="AF23">
        <v>3</v>
      </c>
      <c r="AG23">
        <f>Q10_Contract02_Prod3</f>
        <v>0</v>
      </c>
    </row>
    <row r="24" spans="1:33"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f t="shared" si="17"/>
        <v>0</v>
      </c>
      <c r="AB24">
        <f>Q10_Contract03_Number</f>
        <v>0</v>
      </c>
      <c r="AC24">
        <f>Q10_Contract03_CAGE</f>
        <v>0</v>
      </c>
      <c r="AD24">
        <f>Q10_Contract03_USGCustomer</f>
        <v>0</v>
      </c>
      <c r="AE24">
        <f>Q10_Contract03_USGProgram</f>
        <v>0</v>
      </c>
      <c r="AF24">
        <v>3</v>
      </c>
      <c r="AG24">
        <f>Q10_Contract03_Prod3</f>
        <v>0</v>
      </c>
    </row>
    <row r="25" spans="1:33"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f t="shared" si="17"/>
        <v>0</v>
      </c>
      <c r="AB25">
        <f>Q10_Contract04_Number</f>
        <v>0</v>
      </c>
      <c r="AC25">
        <f>Q10_Contract04_CAGE</f>
        <v>0</v>
      </c>
      <c r="AD25">
        <f>Q10_Contract04_USGCustomer</f>
        <v>0</v>
      </c>
      <c r="AE25">
        <f>Q10_Contract04_USGProgram</f>
        <v>0</v>
      </c>
      <c r="AF25">
        <v>3</v>
      </c>
      <c r="AG25">
        <f>Q10_Contract04_Prod3</f>
        <v>0</v>
      </c>
    </row>
    <row r="26" spans="1:33"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f t="shared" si="17"/>
        <v>0</v>
      </c>
      <c r="AB26">
        <f>Q10_Contract05_Number</f>
        <v>0</v>
      </c>
      <c r="AC26">
        <f>Q10_Contract05_CAGE</f>
        <v>0</v>
      </c>
      <c r="AD26">
        <f>Q10_Contract05_USGCustomer</f>
        <v>0</v>
      </c>
      <c r="AE26">
        <f>Q10_Contract05_USGProgram</f>
        <v>0</v>
      </c>
      <c r="AF26">
        <v>3</v>
      </c>
      <c r="AG26">
        <f>Q10_Contract05_Prod3</f>
        <v>0</v>
      </c>
    </row>
    <row r="27" spans="1:33"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f t="shared" si="17"/>
        <v>0</v>
      </c>
      <c r="AB27">
        <f>Q10_Contract06_Number</f>
        <v>0</v>
      </c>
      <c r="AC27">
        <f>Q10_Contract06_CAGE</f>
        <v>0</v>
      </c>
      <c r="AD27">
        <f>Q10_Contract06_USGCustomer</f>
        <v>0</v>
      </c>
      <c r="AE27">
        <f>Q10_Contract06_USGProgram</f>
        <v>0</v>
      </c>
      <c r="AF27">
        <v>3</v>
      </c>
      <c r="AG27">
        <f>Q10_Contract06_Prod3</f>
        <v>0</v>
      </c>
    </row>
    <row r="28" spans="1:33"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f t="shared" si="17"/>
        <v>0</v>
      </c>
      <c r="AB28">
        <f>Q10_Contract07_Number</f>
        <v>0</v>
      </c>
      <c r="AC28">
        <f>Q10_Contract07_CAGE</f>
        <v>0</v>
      </c>
      <c r="AD28">
        <f>Q10_Contract07_USGCustomer</f>
        <v>0</v>
      </c>
      <c r="AE28">
        <f>Q10_Contract07_USGProgram</f>
        <v>0</v>
      </c>
      <c r="AF28">
        <v>3</v>
      </c>
      <c r="AG28">
        <f>Q10_Contract07_Prod3</f>
        <v>0</v>
      </c>
    </row>
    <row r="29" spans="1:33"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f t="shared" si="17"/>
        <v>0</v>
      </c>
      <c r="AB29">
        <f>Q10_Contract08_Number</f>
        <v>0</v>
      </c>
      <c r="AC29">
        <f>Q10_Contract08_CAGE</f>
        <v>0</v>
      </c>
      <c r="AD29">
        <f>Q10_Contract08_USGCustomer</f>
        <v>0</v>
      </c>
      <c r="AE29">
        <f>Q10_Contract08_USGProgram</f>
        <v>0</v>
      </c>
      <c r="AF29">
        <v>3</v>
      </c>
      <c r="AG29">
        <f>Q10_Contract08_Prod3</f>
        <v>0</v>
      </c>
    </row>
    <row r="30" spans="1:33"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f t="shared" si="17"/>
        <v>0</v>
      </c>
      <c r="AB30">
        <f>Q10_Contract09_Number</f>
        <v>0</v>
      </c>
      <c r="AC30">
        <f>Q10_Contract09_CAGE</f>
        <v>0</v>
      </c>
      <c r="AD30">
        <f>Q10_Contract09_USGCustomer</f>
        <v>0</v>
      </c>
      <c r="AE30">
        <f>Q10_Contract09_USGProgram</f>
        <v>0</v>
      </c>
      <c r="AF30">
        <v>3</v>
      </c>
      <c r="AG30">
        <f>Q10_Contract09_Prod3</f>
        <v>0</v>
      </c>
    </row>
    <row r="31" spans="1:33"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f t="shared" si="17"/>
        <v>0</v>
      </c>
      <c r="AB31">
        <f>Q10_Contract10_Number</f>
        <v>0</v>
      </c>
      <c r="AC31">
        <f>Q10_Contract10_CAGE</f>
        <v>0</v>
      </c>
      <c r="AD31">
        <f>Q10_Contract10_USGCustomer</f>
        <v>0</v>
      </c>
      <c r="AE31">
        <f>Q10_Contract10_USGProgram</f>
        <v>0</v>
      </c>
      <c r="AF31">
        <v>3</v>
      </c>
      <c r="AG31">
        <f>Q10_Contract10_Prod3</f>
        <v>0</v>
      </c>
    </row>
  </sheetData>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37"/>
  <sheetViews>
    <sheetView zoomScale="70" zoomScaleNormal="70" workbookViewId="0">
      <selection activeCell="C7" sqref="C7:D7"/>
    </sheetView>
  </sheetViews>
  <sheetFormatPr defaultRowHeight="15" x14ac:dyDescent="0.25"/>
  <sheetData>
    <row r="1" spans="1:34"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2320</v>
      </c>
      <c r="AB1" t="s">
        <v>2321</v>
      </c>
      <c r="AC1" t="s">
        <v>2458</v>
      </c>
      <c r="AD1" t="s">
        <v>2459</v>
      </c>
      <c r="AE1" t="s">
        <v>156</v>
      </c>
      <c r="AF1" t="s">
        <v>2324</v>
      </c>
      <c r="AG1" t="s">
        <v>2325</v>
      </c>
      <c r="AH1" t="s">
        <v>2460</v>
      </c>
    </row>
    <row r="2" spans="1:34" x14ac:dyDescent="0.25">
      <c r="A2">
        <f t="shared" ref="A2:A37" si="0">Q_RP_B_DSSCAGE_01</f>
        <v>0</v>
      </c>
      <c r="B2">
        <f t="shared" ref="B2:B37" si="1">Q1a_A_LocationName</f>
        <v>0</v>
      </c>
      <c r="C2">
        <f t="shared" ref="C2:C37" si="2">Q1a_A_LocOrgName</f>
        <v>0</v>
      </c>
      <c r="D2">
        <f t="shared" ref="D2:D37" si="3">Q1a_B_Parent1_Name</f>
        <v>0</v>
      </c>
      <c r="E2">
        <f t="shared" ref="E2:E37" si="4">Q_RP_A_MultiResponse</f>
        <v>0</v>
      </c>
      <c r="F2">
        <f>'D-RepLevel'!$F$2</f>
        <v>0</v>
      </c>
      <c r="G2">
        <f>'D-RepLevel'!$G$2</f>
        <v>0</v>
      </c>
      <c r="H2">
        <f t="shared" ref="H2:H37"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7" si="6">Q4b_A_NumUSGPrograms</f>
        <v>0</v>
      </c>
      <c r="M2">
        <f t="shared" ref="M2:M37" si="7">Q6_A_Employees_Year3</f>
        <v>0</v>
      </c>
      <c r="N2">
        <f t="shared" ref="N2:N37" si="8">Q6_B_Employee_H1B_Total+Q6_B_Employee_H2B_Total+Q6_B_Employee_F1_Total+Q6_B_Employee_GreenCard_Total+Q6_B_Employee_Other_Total</f>
        <v>0</v>
      </c>
      <c r="O2">
        <f t="shared" ref="O2:O37" si="9">Year3</f>
        <v>2015</v>
      </c>
      <c r="P2">
        <f t="shared" ref="P2:P37" si="10">Q7_A_TotalSales_US_Year3+Q7_A_TotalSales_NonUS_Year3</f>
        <v>0</v>
      </c>
      <c r="Q2">
        <f t="shared" ref="Q2:Q37" si="11">Q7_B_DefSales_US_Year3_Pct*Q7_A_TotalSales_US_Year3+Q7_B_DefSales_NonUS_Year3_Pct*Q7_A_TotalSales_NonUS_Year3</f>
        <v>0</v>
      </c>
      <c r="R2">
        <f t="shared" ref="R2:R37" si="12">Q9a_B_Physical_Year3</f>
        <v>0</v>
      </c>
      <c r="S2">
        <f t="shared" ref="S2:S37" si="13">Q9a_B_Cyber_Year3</f>
        <v>0</v>
      </c>
      <c r="T2">
        <f>COUNTIF('9a'!$K$22:$K$32, "Yes")+COUNTIF('9a'!$O$22:$O$32, "Yes")</f>
        <v>0</v>
      </c>
      <c r="U2" t="str">
        <f t="shared" ref="U2:U37" si="14">IF(Q12_OpEx_Year3=0, "No Expenditures", Q9b_A_PhysicalSpending_Year3/(Q12_OpEx_Year3))</f>
        <v>No Expenditures</v>
      </c>
      <c r="V2" t="str">
        <f t="shared" ref="V2:V37" si="15">IF(Q12_OpEx_Year3=0, "No Expenditures", Q9b_A_CyberSpending_Year3/(Q12_OpEx_Year3))</f>
        <v>No Expenditures</v>
      </c>
      <c r="W2">
        <f t="shared" ref="W2:W37" si="16">Q9b_C_Pct_CSI_External</f>
        <v>0</v>
      </c>
      <c r="X2" t="str">
        <f>'D-Risk'!$AO$25</f>
        <v>Insufficient Data</v>
      </c>
      <c r="Y2" t="str">
        <f>'D-Risk'!$AO$26</f>
        <v>Insufficient Data</v>
      </c>
      <c r="Z2" t="str">
        <f>'D-Risk'!$AO$27</f>
        <v>Uncalculated</v>
      </c>
      <c r="AA2">
        <f t="shared" ref="AA2:AA37" si="17">Q11_Schedule</f>
        <v>0</v>
      </c>
      <c r="AB2">
        <f t="shared" ref="AB2:AB37" si="18">Q11_Source</f>
        <v>0</v>
      </c>
      <c r="AC2" t="s">
        <v>2461</v>
      </c>
      <c r="AD2" t="s">
        <v>2462</v>
      </c>
      <c r="AE2">
        <f>Year1</f>
        <v>2013</v>
      </c>
      <c r="AF2">
        <f>Q11_Expend_Total_Year1</f>
        <v>0</v>
      </c>
      <c r="AG2">
        <v>1</v>
      </c>
      <c r="AH2" t="s">
        <v>1518</v>
      </c>
    </row>
    <row r="3" spans="1:34"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f t="shared" si="17"/>
        <v>0</v>
      </c>
      <c r="AB3">
        <f t="shared" si="18"/>
        <v>0</v>
      </c>
      <c r="AC3" t="s">
        <v>2461</v>
      </c>
      <c r="AD3" t="s">
        <v>52</v>
      </c>
      <c r="AE3">
        <f>Year1</f>
        <v>2013</v>
      </c>
      <c r="AF3">
        <f>AF2*AG3</f>
        <v>0</v>
      </c>
      <c r="AG3">
        <f>Q11_Expend_Applied_Year1</f>
        <v>0</v>
      </c>
      <c r="AH3" t="s">
        <v>1518</v>
      </c>
    </row>
    <row r="4" spans="1:34"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f t="shared" si="17"/>
        <v>0</v>
      </c>
      <c r="AB4">
        <f t="shared" si="18"/>
        <v>0</v>
      </c>
      <c r="AC4" t="s">
        <v>2461</v>
      </c>
      <c r="AD4" t="s">
        <v>56</v>
      </c>
      <c r="AE4">
        <f>Year1</f>
        <v>2013</v>
      </c>
      <c r="AF4">
        <f>AF2*AG4</f>
        <v>0</v>
      </c>
      <c r="AG4">
        <f>Q11_Expend_Basic_Year1</f>
        <v>0</v>
      </c>
      <c r="AH4" t="s">
        <v>1518</v>
      </c>
    </row>
    <row r="5" spans="1:34"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f t="shared" si="17"/>
        <v>0</v>
      </c>
      <c r="AB5">
        <f t="shared" si="18"/>
        <v>0</v>
      </c>
      <c r="AC5" t="s">
        <v>2461</v>
      </c>
      <c r="AD5" t="s">
        <v>77</v>
      </c>
      <c r="AE5">
        <f>Year1</f>
        <v>2013</v>
      </c>
      <c r="AF5">
        <f>AF2*AG5</f>
        <v>0</v>
      </c>
      <c r="AG5">
        <f>Q11_Expend_PPD_Year1</f>
        <v>0</v>
      </c>
      <c r="AH5" t="s">
        <v>1518</v>
      </c>
    </row>
    <row r="6" spans="1:34"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f t="shared" si="17"/>
        <v>0</v>
      </c>
      <c r="AB6">
        <f t="shared" si="18"/>
        <v>0</v>
      </c>
      <c r="AC6" t="s">
        <v>2461</v>
      </c>
      <c r="AD6" t="s">
        <v>2462</v>
      </c>
      <c r="AE6">
        <f>Year2</f>
        <v>2014</v>
      </c>
      <c r="AF6">
        <f>Q11_Expend_Total_Year2</f>
        <v>0</v>
      </c>
      <c r="AG6">
        <v>1</v>
      </c>
      <c r="AH6" t="s">
        <v>1518</v>
      </c>
    </row>
    <row r="7" spans="1:34"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f t="shared" si="17"/>
        <v>0</v>
      </c>
      <c r="AB7">
        <f t="shared" si="18"/>
        <v>0</v>
      </c>
      <c r="AC7" t="s">
        <v>2461</v>
      </c>
      <c r="AD7" t="s">
        <v>52</v>
      </c>
      <c r="AE7">
        <f>Year2</f>
        <v>2014</v>
      </c>
      <c r="AF7">
        <f>AF6*AG7</f>
        <v>0</v>
      </c>
      <c r="AG7">
        <f>Q11_Expend_Applied_Year2</f>
        <v>0</v>
      </c>
      <c r="AH7" t="s">
        <v>1518</v>
      </c>
    </row>
    <row r="8" spans="1:34"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f t="shared" si="17"/>
        <v>0</v>
      </c>
      <c r="AB8">
        <f t="shared" si="18"/>
        <v>0</v>
      </c>
      <c r="AC8" t="s">
        <v>2461</v>
      </c>
      <c r="AD8" t="s">
        <v>56</v>
      </c>
      <c r="AE8">
        <f>Year2</f>
        <v>2014</v>
      </c>
      <c r="AF8">
        <f>AF6*AG8</f>
        <v>0</v>
      </c>
      <c r="AG8">
        <f>Q11_Expend_Basic_Year2</f>
        <v>0</v>
      </c>
      <c r="AH8" t="s">
        <v>1518</v>
      </c>
    </row>
    <row r="9" spans="1:34"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f t="shared" si="17"/>
        <v>0</v>
      </c>
      <c r="AB9">
        <f t="shared" si="18"/>
        <v>0</v>
      </c>
      <c r="AC9" t="s">
        <v>2461</v>
      </c>
      <c r="AD9" t="s">
        <v>77</v>
      </c>
      <c r="AE9">
        <f>Year2</f>
        <v>2014</v>
      </c>
      <c r="AF9">
        <f>AF6*AG9</f>
        <v>0</v>
      </c>
      <c r="AG9">
        <f>Q11_Expend_PPD_Year2</f>
        <v>0</v>
      </c>
      <c r="AH9" t="s">
        <v>1518</v>
      </c>
    </row>
    <row r="10" spans="1:34"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f t="shared" si="17"/>
        <v>0</v>
      </c>
      <c r="AB10">
        <f t="shared" si="18"/>
        <v>0</v>
      </c>
      <c r="AC10" t="s">
        <v>2461</v>
      </c>
      <c r="AD10" t="s">
        <v>2462</v>
      </c>
      <c r="AE10">
        <f>Year3</f>
        <v>2015</v>
      </c>
      <c r="AF10">
        <f>Q11_Expend_Total_Year3</f>
        <v>0</v>
      </c>
      <c r="AG10">
        <v>1</v>
      </c>
      <c r="AH10" t="s">
        <v>1518</v>
      </c>
    </row>
    <row r="11" spans="1:34"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f t="shared" si="17"/>
        <v>0</v>
      </c>
      <c r="AB11">
        <f t="shared" si="18"/>
        <v>0</v>
      </c>
      <c r="AC11" t="s">
        <v>2461</v>
      </c>
      <c r="AD11" t="s">
        <v>52</v>
      </c>
      <c r="AE11">
        <f>Year3</f>
        <v>2015</v>
      </c>
      <c r="AF11">
        <f>AF10*AG11</f>
        <v>0</v>
      </c>
      <c r="AG11">
        <f>Q11_Expend_Applied_Year3</f>
        <v>0</v>
      </c>
      <c r="AH11" t="s">
        <v>1518</v>
      </c>
    </row>
    <row r="12" spans="1:34"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f t="shared" si="17"/>
        <v>0</v>
      </c>
      <c r="AB12">
        <f t="shared" si="18"/>
        <v>0</v>
      </c>
      <c r="AC12" t="s">
        <v>2461</v>
      </c>
      <c r="AD12" t="s">
        <v>56</v>
      </c>
      <c r="AE12">
        <f>Year3</f>
        <v>2015</v>
      </c>
      <c r="AF12">
        <f>AF10*AG12</f>
        <v>0</v>
      </c>
      <c r="AG12">
        <f>Q11_Expend_Basic_Year3</f>
        <v>0</v>
      </c>
      <c r="AH12" t="s">
        <v>1518</v>
      </c>
    </row>
    <row r="13" spans="1:34"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f t="shared" si="17"/>
        <v>0</v>
      </c>
      <c r="AB13">
        <f t="shared" si="18"/>
        <v>0</v>
      </c>
      <c r="AC13" t="s">
        <v>2461</v>
      </c>
      <c r="AD13" t="s">
        <v>77</v>
      </c>
      <c r="AE13">
        <f>Year3</f>
        <v>2015</v>
      </c>
      <c r="AF13">
        <f>AF10*AG13</f>
        <v>0</v>
      </c>
      <c r="AG13">
        <f>Q11_Expend_PPD_Year3</f>
        <v>0</v>
      </c>
      <c r="AH13" t="s">
        <v>1518</v>
      </c>
    </row>
    <row r="14" spans="1:34"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f t="shared" si="17"/>
        <v>0</v>
      </c>
      <c r="AB14">
        <f t="shared" si="18"/>
        <v>0</v>
      </c>
      <c r="AC14" t="s">
        <v>2463</v>
      </c>
      <c r="AD14" t="s">
        <v>2464</v>
      </c>
      <c r="AE14">
        <f t="shared" ref="AE14:AE21" si="19">Year1</f>
        <v>2013</v>
      </c>
      <c r="AF14">
        <f>Q11_Funding_Total_Year1</f>
        <v>0</v>
      </c>
      <c r="AG14">
        <v>1</v>
      </c>
      <c r="AH14" t="s">
        <v>1518</v>
      </c>
    </row>
    <row r="15" spans="1:34"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f t="shared" si="17"/>
        <v>0</v>
      </c>
      <c r="AB15">
        <f t="shared" si="18"/>
        <v>0</v>
      </c>
      <c r="AC15" t="s">
        <v>2463</v>
      </c>
      <c r="AD15" t="s">
        <v>2465</v>
      </c>
      <c r="AE15">
        <f t="shared" si="19"/>
        <v>2013</v>
      </c>
      <c r="AF15">
        <f>AF14*AG15</f>
        <v>0</v>
      </c>
      <c r="AG15">
        <f>Q11_Funding_IRAD_Year1</f>
        <v>0</v>
      </c>
      <c r="AH15" t="s">
        <v>1518</v>
      </c>
    </row>
    <row r="16" spans="1:34"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f t="shared" si="17"/>
        <v>0</v>
      </c>
      <c r="AB16">
        <f t="shared" si="18"/>
        <v>0</v>
      </c>
      <c r="AC16" t="s">
        <v>2463</v>
      </c>
      <c r="AD16" t="s">
        <v>2466</v>
      </c>
      <c r="AE16">
        <f t="shared" si="19"/>
        <v>2013</v>
      </c>
      <c r="AF16">
        <f>AF14*AG16</f>
        <v>0</v>
      </c>
      <c r="AG16">
        <f>Q11_Funding_Fed_Year1</f>
        <v>0</v>
      </c>
      <c r="AH16" t="s">
        <v>1518</v>
      </c>
    </row>
    <row r="17" spans="1:34"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f t="shared" si="17"/>
        <v>0</v>
      </c>
      <c r="AB17">
        <f t="shared" si="18"/>
        <v>0</v>
      </c>
      <c r="AC17" t="s">
        <v>2463</v>
      </c>
      <c r="AD17" t="s">
        <v>2467</v>
      </c>
      <c r="AE17">
        <f t="shared" si="19"/>
        <v>2013</v>
      </c>
      <c r="AF17">
        <f>AF14*AG17</f>
        <v>0</v>
      </c>
      <c r="AG17">
        <f>Q11_Funding_Local_Year1</f>
        <v>0</v>
      </c>
      <c r="AH17" t="s">
        <v>1518</v>
      </c>
    </row>
    <row r="18" spans="1:34"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f t="shared" si="17"/>
        <v>0</v>
      </c>
      <c r="AB18">
        <f t="shared" si="18"/>
        <v>0</v>
      </c>
      <c r="AC18" t="s">
        <v>2463</v>
      </c>
      <c r="AD18" t="s">
        <v>2468</v>
      </c>
      <c r="AE18">
        <f t="shared" si="19"/>
        <v>2013</v>
      </c>
      <c r="AF18">
        <f>AF14*AG18</f>
        <v>0</v>
      </c>
      <c r="AG18">
        <f>Q11_Funding_Univ_Year1</f>
        <v>0</v>
      </c>
      <c r="AH18" t="s">
        <v>1518</v>
      </c>
    </row>
    <row r="19" spans="1:34"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f t="shared" si="17"/>
        <v>0</v>
      </c>
      <c r="AB19">
        <f t="shared" si="18"/>
        <v>0</v>
      </c>
      <c r="AC19" t="s">
        <v>2463</v>
      </c>
      <c r="AD19" t="s">
        <v>2469</v>
      </c>
      <c r="AE19">
        <f t="shared" si="19"/>
        <v>2013</v>
      </c>
      <c r="AF19">
        <f>AF14*AG19</f>
        <v>0</v>
      </c>
      <c r="AG19">
        <f>Q11_Funding_USIndustry_Year1</f>
        <v>0</v>
      </c>
      <c r="AH19" t="s">
        <v>1518</v>
      </c>
    </row>
    <row r="20" spans="1:34"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f t="shared" si="17"/>
        <v>0</v>
      </c>
      <c r="AB20">
        <f t="shared" si="18"/>
        <v>0</v>
      </c>
      <c r="AC20" t="s">
        <v>2463</v>
      </c>
      <c r="AD20" t="s">
        <v>2470</v>
      </c>
      <c r="AE20">
        <f t="shared" si="19"/>
        <v>2013</v>
      </c>
      <c r="AF20">
        <f>AF14*AG20</f>
        <v>0</v>
      </c>
      <c r="AG20">
        <f>Q11_Funding_NonUS_Year1</f>
        <v>0</v>
      </c>
      <c r="AH20" t="s">
        <v>1518</v>
      </c>
    </row>
    <row r="21" spans="1:34"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f t="shared" si="17"/>
        <v>0</v>
      </c>
      <c r="AB21">
        <f t="shared" si="18"/>
        <v>0</v>
      </c>
      <c r="AC21" t="s">
        <v>2463</v>
      </c>
      <c r="AD21" t="s">
        <v>138</v>
      </c>
      <c r="AE21">
        <f t="shared" si="19"/>
        <v>2013</v>
      </c>
      <c r="AF21">
        <f>AF14*AG21</f>
        <v>0</v>
      </c>
      <c r="AG21">
        <f>Q11_Funding_Other_Year1</f>
        <v>0</v>
      </c>
      <c r="AH21" t="str">
        <f>Q11_Funding_Other_Specify</f>
        <v>(specify here)</v>
      </c>
    </row>
    <row r="22" spans="1:34"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f t="shared" si="17"/>
        <v>0</v>
      </c>
      <c r="AB22">
        <f t="shared" si="18"/>
        <v>0</v>
      </c>
      <c r="AC22" t="s">
        <v>2463</v>
      </c>
      <c r="AD22" t="s">
        <v>2464</v>
      </c>
      <c r="AE22">
        <f t="shared" ref="AE22:AE29" si="20">Year2</f>
        <v>2014</v>
      </c>
      <c r="AF22">
        <f>Q11_Funding_Total_Year2</f>
        <v>0</v>
      </c>
      <c r="AG22">
        <v>1</v>
      </c>
      <c r="AH22" t="s">
        <v>1518</v>
      </c>
    </row>
    <row r="23" spans="1:34"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f t="shared" si="17"/>
        <v>0</v>
      </c>
      <c r="AB23">
        <f t="shared" si="18"/>
        <v>0</v>
      </c>
      <c r="AC23" t="s">
        <v>2463</v>
      </c>
      <c r="AD23" t="s">
        <v>2465</v>
      </c>
      <c r="AE23">
        <f t="shared" si="20"/>
        <v>2014</v>
      </c>
      <c r="AF23">
        <f>AF22*AG23</f>
        <v>0</v>
      </c>
      <c r="AG23">
        <f>Q11_Funding_IRAD_Year2</f>
        <v>0</v>
      </c>
      <c r="AH23" t="s">
        <v>1518</v>
      </c>
    </row>
    <row r="24" spans="1:34"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f t="shared" si="17"/>
        <v>0</v>
      </c>
      <c r="AB24">
        <f t="shared" si="18"/>
        <v>0</v>
      </c>
      <c r="AC24" t="s">
        <v>2463</v>
      </c>
      <c r="AD24" t="s">
        <v>2466</v>
      </c>
      <c r="AE24">
        <f t="shared" si="20"/>
        <v>2014</v>
      </c>
      <c r="AF24">
        <f>AF22*AG24</f>
        <v>0</v>
      </c>
      <c r="AG24">
        <f>Q11_Funding_Fed_Year2</f>
        <v>0</v>
      </c>
      <c r="AH24" t="s">
        <v>1518</v>
      </c>
    </row>
    <row r="25" spans="1:34"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f t="shared" si="17"/>
        <v>0</v>
      </c>
      <c r="AB25">
        <f t="shared" si="18"/>
        <v>0</v>
      </c>
      <c r="AC25" t="s">
        <v>2463</v>
      </c>
      <c r="AD25" t="s">
        <v>2467</v>
      </c>
      <c r="AE25">
        <f t="shared" si="20"/>
        <v>2014</v>
      </c>
      <c r="AF25">
        <f>AF22*AG25</f>
        <v>0</v>
      </c>
      <c r="AG25">
        <f>Q11_Funding_Local_Year2</f>
        <v>0</v>
      </c>
      <c r="AH25" t="s">
        <v>1518</v>
      </c>
    </row>
    <row r="26" spans="1:34"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f t="shared" si="17"/>
        <v>0</v>
      </c>
      <c r="AB26">
        <f t="shared" si="18"/>
        <v>0</v>
      </c>
      <c r="AC26" t="s">
        <v>2463</v>
      </c>
      <c r="AD26" t="s">
        <v>2468</v>
      </c>
      <c r="AE26">
        <f t="shared" si="20"/>
        <v>2014</v>
      </c>
      <c r="AF26">
        <f>AF22*AG26</f>
        <v>0</v>
      </c>
      <c r="AG26">
        <f>Q11_Funding_Univ_Year2</f>
        <v>0</v>
      </c>
      <c r="AH26" t="s">
        <v>1518</v>
      </c>
    </row>
    <row r="27" spans="1:34"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f t="shared" si="17"/>
        <v>0</v>
      </c>
      <c r="AB27">
        <f t="shared" si="18"/>
        <v>0</v>
      </c>
      <c r="AC27" t="s">
        <v>2463</v>
      </c>
      <c r="AD27" t="s">
        <v>2469</v>
      </c>
      <c r="AE27">
        <f t="shared" si="20"/>
        <v>2014</v>
      </c>
      <c r="AF27">
        <f>AF22*AG27</f>
        <v>0</v>
      </c>
      <c r="AG27">
        <f>Q11_Funding_USIndustry_Year2</f>
        <v>0</v>
      </c>
      <c r="AH27" t="s">
        <v>1518</v>
      </c>
    </row>
    <row r="28" spans="1:34"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f t="shared" si="17"/>
        <v>0</v>
      </c>
      <c r="AB28">
        <f t="shared" si="18"/>
        <v>0</v>
      </c>
      <c r="AC28" t="s">
        <v>2463</v>
      </c>
      <c r="AD28" t="s">
        <v>2470</v>
      </c>
      <c r="AE28">
        <f t="shared" si="20"/>
        <v>2014</v>
      </c>
      <c r="AF28">
        <f>AF22*AG28</f>
        <v>0</v>
      </c>
      <c r="AG28">
        <f>Q11_Funding_NonUS_Year2</f>
        <v>0</v>
      </c>
      <c r="AH28" t="s">
        <v>1518</v>
      </c>
    </row>
    <row r="29" spans="1:34"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f t="shared" si="17"/>
        <v>0</v>
      </c>
      <c r="AB29">
        <f t="shared" si="18"/>
        <v>0</v>
      </c>
      <c r="AC29" t="s">
        <v>2463</v>
      </c>
      <c r="AD29" t="s">
        <v>138</v>
      </c>
      <c r="AE29">
        <f t="shared" si="20"/>
        <v>2014</v>
      </c>
      <c r="AF29">
        <f>AF22*AG29</f>
        <v>0</v>
      </c>
      <c r="AG29">
        <f>Q11_Funding_Other_Year2</f>
        <v>0</v>
      </c>
      <c r="AH29" t="str">
        <f>Q11_Funding_Other_Specify</f>
        <v>(specify here)</v>
      </c>
    </row>
    <row r="30" spans="1:34"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f t="shared" si="17"/>
        <v>0</v>
      </c>
      <c r="AB30">
        <f t="shared" si="18"/>
        <v>0</v>
      </c>
      <c r="AC30" t="s">
        <v>2463</v>
      </c>
      <c r="AD30" t="s">
        <v>2464</v>
      </c>
      <c r="AE30">
        <f t="shared" ref="AE30:AE37" si="21">Year3</f>
        <v>2015</v>
      </c>
      <c r="AF30">
        <f>Q11_Funding_Total_Year3</f>
        <v>0</v>
      </c>
      <c r="AG30">
        <v>1</v>
      </c>
      <c r="AH30" t="s">
        <v>1518</v>
      </c>
    </row>
    <row r="31" spans="1:34"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f t="shared" si="17"/>
        <v>0</v>
      </c>
      <c r="AB31">
        <f t="shared" si="18"/>
        <v>0</v>
      </c>
      <c r="AC31" t="s">
        <v>2463</v>
      </c>
      <c r="AD31" t="s">
        <v>2465</v>
      </c>
      <c r="AE31">
        <f t="shared" si="21"/>
        <v>2015</v>
      </c>
      <c r="AF31">
        <f>AF30*AG31</f>
        <v>0</v>
      </c>
      <c r="AG31">
        <f>Q11_Funding_IRAD_Year3</f>
        <v>0</v>
      </c>
      <c r="AH31" t="s">
        <v>1518</v>
      </c>
    </row>
    <row r="32" spans="1:34"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f t="shared" si="17"/>
        <v>0</v>
      </c>
      <c r="AB32">
        <f t="shared" si="18"/>
        <v>0</v>
      </c>
      <c r="AC32" t="s">
        <v>2463</v>
      </c>
      <c r="AD32" t="s">
        <v>2466</v>
      </c>
      <c r="AE32">
        <f t="shared" si="21"/>
        <v>2015</v>
      </c>
      <c r="AF32">
        <f>AF30*AG32</f>
        <v>0</v>
      </c>
      <c r="AG32">
        <f>Q11_Funding_Fed_Year3</f>
        <v>0</v>
      </c>
      <c r="AH32" t="s">
        <v>1518</v>
      </c>
    </row>
    <row r="33" spans="1:34"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f t="shared" si="17"/>
        <v>0</v>
      </c>
      <c r="AB33">
        <f t="shared" si="18"/>
        <v>0</v>
      </c>
      <c r="AC33" t="s">
        <v>2463</v>
      </c>
      <c r="AD33" t="s">
        <v>2467</v>
      </c>
      <c r="AE33">
        <f t="shared" si="21"/>
        <v>2015</v>
      </c>
      <c r="AF33">
        <f>AF30*AG33</f>
        <v>0</v>
      </c>
      <c r="AG33">
        <f>Q11_Funding_Local_Year3</f>
        <v>0</v>
      </c>
      <c r="AH33" t="s">
        <v>1518</v>
      </c>
    </row>
    <row r="34" spans="1:34" x14ac:dyDescent="0.25">
      <c r="A34">
        <f t="shared" si="0"/>
        <v>0</v>
      </c>
      <c r="B34">
        <f t="shared" si="1"/>
        <v>0</v>
      </c>
      <c r="C34">
        <f t="shared" si="2"/>
        <v>0</v>
      </c>
      <c r="D34">
        <f t="shared" si="3"/>
        <v>0</v>
      </c>
      <c r="E34">
        <f t="shared" si="4"/>
        <v>0</v>
      </c>
      <c r="F34">
        <f>'D-RepLevel'!$F$2</f>
        <v>0</v>
      </c>
      <c r="G34">
        <f>'D-RepLevel'!$G$2</f>
        <v>0</v>
      </c>
      <c r="H34">
        <f t="shared" si="5"/>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si="6"/>
        <v>0</v>
      </c>
      <c r="M34">
        <f t="shared" si="7"/>
        <v>0</v>
      </c>
      <c r="N34">
        <f t="shared" si="8"/>
        <v>0</v>
      </c>
      <c r="O34">
        <f t="shared" si="9"/>
        <v>2015</v>
      </c>
      <c r="P34">
        <f t="shared" si="10"/>
        <v>0</v>
      </c>
      <c r="Q34">
        <f t="shared" si="11"/>
        <v>0</v>
      </c>
      <c r="R34">
        <f t="shared" si="12"/>
        <v>0</v>
      </c>
      <c r="S34">
        <f t="shared" si="13"/>
        <v>0</v>
      </c>
      <c r="T34">
        <f>COUNTIF('9a'!$K$22:$K$32, "Yes")+COUNTIF('9a'!$O$22:$O$32, "Yes")</f>
        <v>0</v>
      </c>
      <c r="U34" t="str">
        <f t="shared" si="14"/>
        <v>No Expenditures</v>
      </c>
      <c r="V34" t="str">
        <f t="shared" si="15"/>
        <v>No Expenditures</v>
      </c>
      <c r="W34">
        <f t="shared" si="16"/>
        <v>0</v>
      </c>
      <c r="X34" t="str">
        <f>'D-Risk'!$AO$25</f>
        <v>Insufficient Data</v>
      </c>
      <c r="Y34" t="str">
        <f>'D-Risk'!$AO$26</f>
        <v>Insufficient Data</v>
      </c>
      <c r="Z34" t="str">
        <f>'D-Risk'!$AO$27</f>
        <v>Uncalculated</v>
      </c>
      <c r="AA34">
        <f t="shared" si="17"/>
        <v>0</v>
      </c>
      <c r="AB34">
        <f t="shared" si="18"/>
        <v>0</v>
      </c>
      <c r="AC34" t="s">
        <v>2463</v>
      </c>
      <c r="AD34" t="s">
        <v>2468</v>
      </c>
      <c r="AE34">
        <f t="shared" si="21"/>
        <v>2015</v>
      </c>
      <c r="AF34">
        <f>AF30*AG34</f>
        <v>0</v>
      </c>
      <c r="AG34">
        <f>Q11_Funding_Univ_Year3</f>
        <v>0</v>
      </c>
      <c r="AH34" t="s">
        <v>1518</v>
      </c>
    </row>
    <row r="35" spans="1:34" x14ac:dyDescent="0.25">
      <c r="A35">
        <f t="shared" si="0"/>
        <v>0</v>
      </c>
      <c r="B35">
        <f t="shared" si="1"/>
        <v>0</v>
      </c>
      <c r="C35">
        <f t="shared" si="2"/>
        <v>0</v>
      </c>
      <c r="D35">
        <f t="shared" si="3"/>
        <v>0</v>
      </c>
      <c r="E35">
        <f t="shared" si="4"/>
        <v>0</v>
      </c>
      <c r="F35">
        <f>'D-RepLevel'!$F$2</f>
        <v>0</v>
      </c>
      <c r="G35">
        <f>'D-RepLevel'!$G$2</f>
        <v>0</v>
      </c>
      <c r="H35">
        <f t="shared" si="5"/>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6"/>
        <v>0</v>
      </c>
      <c r="M35">
        <f t="shared" si="7"/>
        <v>0</v>
      </c>
      <c r="N35">
        <f t="shared" si="8"/>
        <v>0</v>
      </c>
      <c r="O35">
        <f t="shared" si="9"/>
        <v>2015</v>
      </c>
      <c r="P35">
        <f t="shared" si="10"/>
        <v>0</v>
      </c>
      <c r="Q35">
        <f t="shared" si="11"/>
        <v>0</v>
      </c>
      <c r="R35">
        <f t="shared" si="12"/>
        <v>0</v>
      </c>
      <c r="S35">
        <f t="shared" si="13"/>
        <v>0</v>
      </c>
      <c r="T35">
        <f>COUNTIF('9a'!$K$22:$K$32, "Yes")+COUNTIF('9a'!$O$22:$O$32, "Yes")</f>
        <v>0</v>
      </c>
      <c r="U35" t="str">
        <f t="shared" si="14"/>
        <v>No Expenditures</v>
      </c>
      <c r="V35" t="str">
        <f t="shared" si="15"/>
        <v>No Expenditures</v>
      </c>
      <c r="W35">
        <f t="shared" si="16"/>
        <v>0</v>
      </c>
      <c r="X35" t="str">
        <f>'D-Risk'!$AO$25</f>
        <v>Insufficient Data</v>
      </c>
      <c r="Y35" t="str">
        <f>'D-Risk'!$AO$26</f>
        <v>Insufficient Data</v>
      </c>
      <c r="Z35" t="str">
        <f>'D-Risk'!$AO$27</f>
        <v>Uncalculated</v>
      </c>
      <c r="AA35">
        <f t="shared" si="17"/>
        <v>0</v>
      </c>
      <c r="AB35">
        <f t="shared" si="18"/>
        <v>0</v>
      </c>
      <c r="AC35" t="s">
        <v>2463</v>
      </c>
      <c r="AD35" t="s">
        <v>2469</v>
      </c>
      <c r="AE35">
        <f t="shared" si="21"/>
        <v>2015</v>
      </c>
      <c r="AF35">
        <f>AF30*AG35</f>
        <v>0</v>
      </c>
      <c r="AG35">
        <f>Q11_Funding_USIndustry_Year3</f>
        <v>0</v>
      </c>
      <c r="AH35" t="s">
        <v>1518</v>
      </c>
    </row>
    <row r="36" spans="1:34" x14ac:dyDescent="0.25">
      <c r="A36">
        <f t="shared" si="0"/>
        <v>0</v>
      </c>
      <c r="B36">
        <f t="shared" si="1"/>
        <v>0</v>
      </c>
      <c r="C36">
        <f t="shared" si="2"/>
        <v>0</v>
      </c>
      <c r="D36">
        <f t="shared" si="3"/>
        <v>0</v>
      </c>
      <c r="E36">
        <f t="shared" si="4"/>
        <v>0</v>
      </c>
      <c r="F36">
        <f>'D-RepLevel'!$F$2</f>
        <v>0</v>
      </c>
      <c r="G36">
        <f>'D-RepLevel'!$G$2</f>
        <v>0</v>
      </c>
      <c r="H36">
        <f t="shared" si="5"/>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6"/>
        <v>0</v>
      </c>
      <c r="M36">
        <f t="shared" si="7"/>
        <v>0</v>
      </c>
      <c r="N36">
        <f t="shared" si="8"/>
        <v>0</v>
      </c>
      <c r="O36">
        <f t="shared" si="9"/>
        <v>2015</v>
      </c>
      <c r="P36">
        <f t="shared" si="10"/>
        <v>0</v>
      </c>
      <c r="Q36">
        <f t="shared" si="11"/>
        <v>0</v>
      </c>
      <c r="R36">
        <f t="shared" si="12"/>
        <v>0</v>
      </c>
      <c r="S36">
        <f t="shared" si="13"/>
        <v>0</v>
      </c>
      <c r="T36">
        <f>COUNTIF('9a'!$K$22:$K$32, "Yes")+COUNTIF('9a'!$O$22:$O$32, "Yes")</f>
        <v>0</v>
      </c>
      <c r="U36" t="str">
        <f t="shared" si="14"/>
        <v>No Expenditures</v>
      </c>
      <c r="V36" t="str">
        <f t="shared" si="15"/>
        <v>No Expenditures</v>
      </c>
      <c r="W36">
        <f t="shared" si="16"/>
        <v>0</v>
      </c>
      <c r="X36" t="str">
        <f>'D-Risk'!$AO$25</f>
        <v>Insufficient Data</v>
      </c>
      <c r="Y36" t="str">
        <f>'D-Risk'!$AO$26</f>
        <v>Insufficient Data</v>
      </c>
      <c r="Z36" t="str">
        <f>'D-Risk'!$AO$27</f>
        <v>Uncalculated</v>
      </c>
      <c r="AA36">
        <f t="shared" si="17"/>
        <v>0</v>
      </c>
      <c r="AB36">
        <f t="shared" si="18"/>
        <v>0</v>
      </c>
      <c r="AC36" t="s">
        <v>2463</v>
      </c>
      <c r="AD36" t="s">
        <v>2470</v>
      </c>
      <c r="AE36">
        <f t="shared" si="21"/>
        <v>2015</v>
      </c>
      <c r="AF36">
        <f>AF30*AG36</f>
        <v>0</v>
      </c>
      <c r="AG36">
        <f>Q11_Funding_NonUS_Year3</f>
        <v>0</v>
      </c>
      <c r="AH36" t="s">
        <v>1518</v>
      </c>
    </row>
    <row r="37" spans="1:34" x14ac:dyDescent="0.25">
      <c r="A37">
        <f t="shared" si="0"/>
        <v>0</v>
      </c>
      <c r="B37">
        <f t="shared" si="1"/>
        <v>0</v>
      </c>
      <c r="C37">
        <f t="shared" si="2"/>
        <v>0</v>
      </c>
      <c r="D37">
        <f t="shared" si="3"/>
        <v>0</v>
      </c>
      <c r="E37">
        <f t="shared" si="4"/>
        <v>0</v>
      </c>
      <c r="F37">
        <f>'D-RepLevel'!$F$2</f>
        <v>0</v>
      </c>
      <c r="G37">
        <f>'D-RepLevel'!$G$2</f>
        <v>0</v>
      </c>
      <c r="H37">
        <f t="shared" si="5"/>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6"/>
        <v>0</v>
      </c>
      <c r="M37">
        <f t="shared" si="7"/>
        <v>0</v>
      </c>
      <c r="N37">
        <f t="shared" si="8"/>
        <v>0</v>
      </c>
      <c r="O37">
        <f t="shared" si="9"/>
        <v>2015</v>
      </c>
      <c r="P37">
        <f t="shared" si="10"/>
        <v>0</v>
      </c>
      <c r="Q37">
        <f t="shared" si="11"/>
        <v>0</v>
      </c>
      <c r="R37">
        <f t="shared" si="12"/>
        <v>0</v>
      </c>
      <c r="S37">
        <f t="shared" si="13"/>
        <v>0</v>
      </c>
      <c r="T37">
        <f>COUNTIF('9a'!$K$22:$K$32, "Yes")+COUNTIF('9a'!$O$22:$O$32, "Yes")</f>
        <v>0</v>
      </c>
      <c r="U37" t="str">
        <f t="shared" si="14"/>
        <v>No Expenditures</v>
      </c>
      <c r="V37" t="str">
        <f t="shared" si="15"/>
        <v>No Expenditures</v>
      </c>
      <c r="W37">
        <f t="shared" si="16"/>
        <v>0</v>
      </c>
      <c r="X37" t="str">
        <f>'D-Risk'!$AO$25</f>
        <v>Insufficient Data</v>
      </c>
      <c r="Y37" t="str">
        <f>'D-Risk'!$AO$26</f>
        <v>Insufficient Data</v>
      </c>
      <c r="Z37" t="str">
        <f>'D-Risk'!$AO$27</f>
        <v>Uncalculated</v>
      </c>
      <c r="AA37">
        <f t="shared" si="17"/>
        <v>0</v>
      </c>
      <c r="AB37">
        <f t="shared" si="18"/>
        <v>0</v>
      </c>
      <c r="AC37" t="s">
        <v>2463</v>
      </c>
      <c r="AD37" t="s">
        <v>138</v>
      </c>
      <c r="AE37">
        <f t="shared" si="21"/>
        <v>2015</v>
      </c>
      <c r="AF37">
        <f>AF30*AG37</f>
        <v>0</v>
      </c>
      <c r="AG37">
        <f>Q11_Funding_Other_Year3</f>
        <v>0</v>
      </c>
      <c r="AH37" t="str">
        <f>Q11_Funding_Other_Specify</f>
        <v>(specify here)</v>
      </c>
    </row>
  </sheetData>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58"/>
  <sheetViews>
    <sheetView zoomScale="70" zoomScaleNormal="70" workbookViewId="0">
      <selection activeCell="C7" sqref="C7:D7"/>
    </sheetView>
  </sheetViews>
  <sheetFormatPr defaultRowHeight="15" x14ac:dyDescent="0.25"/>
  <sheetData>
    <row r="1" spans="1:31"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2320</v>
      </c>
      <c r="AB1" t="s">
        <v>2321</v>
      </c>
      <c r="AC1" t="s">
        <v>2471</v>
      </c>
      <c r="AD1" t="s">
        <v>156</v>
      </c>
      <c r="AE1" t="s">
        <v>2324</v>
      </c>
    </row>
    <row r="2" spans="1:31" x14ac:dyDescent="0.25">
      <c r="A2">
        <f t="shared" ref="A2:A33" si="0">Q_RP_B_DSSCAGE_01</f>
        <v>0</v>
      </c>
      <c r="B2">
        <f t="shared" ref="B2:B33" si="1">Q1a_A_LocationName</f>
        <v>0</v>
      </c>
      <c r="C2">
        <f t="shared" ref="C2:C33" si="2">Q1a_A_LocOrgName</f>
        <v>0</v>
      </c>
      <c r="D2">
        <f t="shared" ref="D2:D33" si="3">Q1a_B_Parent1_Name</f>
        <v>0</v>
      </c>
      <c r="E2">
        <f t="shared" ref="E2:E33" si="4">Q_RP_A_MultiResponse</f>
        <v>0</v>
      </c>
      <c r="F2">
        <f>'D-RepLevel'!$F$2</f>
        <v>0</v>
      </c>
      <c r="G2">
        <f>'D-RepLevel'!$G$2</f>
        <v>0</v>
      </c>
      <c r="H2">
        <f t="shared" ref="H2:H33"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33" si="6">Q4b_A_NumUSGPrograms</f>
        <v>0</v>
      </c>
      <c r="M2">
        <f t="shared" ref="M2:M33" si="7">Q6_A_Employees_Year3</f>
        <v>0</v>
      </c>
      <c r="N2">
        <f t="shared" ref="N2:N33" si="8">Q6_B_Employee_H1B_Total+Q6_B_Employee_H2B_Total+Q6_B_Employee_F1_Total+Q6_B_Employee_GreenCard_Total+Q6_B_Employee_Other_Total</f>
        <v>0</v>
      </c>
      <c r="O2">
        <f t="shared" ref="O2:O33" si="9">Year3</f>
        <v>2015</v>
      </c>
      <c r="P2">
        <f t="shared" ref="P2:P33" si="10">Q7_A_TotalSales_US_Year3+Q7_A_TotalSales_NonUS_Year3</f>
        <v>0</v>
      </c>
      <c r="Q2">
        <f t="shared" ref="Q2:Q33" si="11">Q7_B_DefSales_US_Year3_Pct*Q7_A_TotalSales_US_Year3+Q7_B_DefSales_NonUS_Year3_Pct*Q7_A_TotalSales_NonUS_Year3</f>
        <v>0</v>
      </c>
      <c r="R2">
        <f t="shared" ref="R2:R33" si="12">Q9a_B_Physical_Year3</f>
        <v>0</v>
      </c>
      <c r="S2">
        <f t="shared" ref="S2:S33" si="13">Q9a_B_Cyber_Year3</f>
        <v>0</v>
      </c>
      <c r="T2">
        <f>COUNTIF('9a'!$K$22:$K$32, "Yes")+COUNTIF('9a'!$O$22:$O$32, "Yes")</f>
        <v>0</v>
      </c>
      <c r="U2" t="str">
        <f t="shared" ref="U2:U33" si="14">IF(Q12_OpEx_Year3=0, "No Expenditures", Q9b_A_PhysicalSpending_Year3/(Q12_OpEx_Year3))</f>
        <v>No Expenditures</v>
      </c>
      <c r="V2" t="str">
        <f t="shared" ref="V2:V33" si="15">IF(Q12_OpEx_Year3=0, "No Expenditures", Q9b_A_CyberSpending_Year3/(Q12_OpEx_Year3))</f>
        <v>No Expenditures</v>
      </c>
      <c r="W2">
        <f t="shared" ref="W2:W33" si="16">Q9b_C_Pct_CSI_External</f>
        <v>0</v>
      </c>
      <c r="X2" t="str">
        <f>'D-Risk'!$AO$25</f>
        <v>Insufficient Data</v>
      </c>
      <c r="Y2" t="str">
        <f>'D-Risk'!$AO$26</f>
        <v>Insufficient Data</v>
      </c>
      <c r="Z2" t="str">
        <f>'D-Risk'!$AO$27</f>
        <v>Uncalculated</v>
      </c>
      <c r="AA2">
        <f t="shared" ref="AA2:AA33" si="17">Q11_Schedule</f>
        <v>0</v>
      </c>
      <c r="AB2">
        <f t="shared" ref="AB2:AB33" si="18">Q11_Source</f>
        <v>0</v>
      </c>
      <c r="AC2" t="s">
        <v>2472</v>
      </c>
      <c r="AD2">
        <f t="shared" ref="AD2:AD20" si="19">Year1</f>
        <v>2013</v>
      </c>
      <c r="AE2" t="str">
        <f>IF(Q12_CurrentLiab_Year1=0, "No Current Liabilities", Q12_CurrentAssets_Year1/Q12_CurrentLiab_Year1)</f>
        <v>No Current Liabilities</v>
      </c>
    </row>
    <row r="3" spans="1:31"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f t="shared" si="17"/>
        <v>0</v>
      </c>
      <c r="AB3">
        <f t="shared" si="18"/>
        <v>0</v>
      </c>
      <c r="AC3" t="s">
        <v>2473</v>
      </c>
      <c r="AD3">
        <f t="shared" si="19"/>
        <v>2013</v>
      </c>
      <c r="AE3" t="str">
        <f>IF(Q12_CurrentLiab_Year1=0, "No Current Liabilities", (Q12_CurrentAssets_Year1-Q12_Inv_Year1)/Q12_CurrentLiab_Year1)</f>
        <v>No Current Liabilities</v>
      </c>
    </row>
    <row r="4" spans="1:31"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f t="shared" si="17"/>
        <v>0</v>
      </c>
      <c r="AB4">
        <f t="shared" si="18"/>
        <v>0</v>
      </c>
      <c r="AC4" t="s">
        <v>2474</v>
      </c>
      <c r="AD4">
        <f t="shared" si="19"/>
        <v>2013</v>
      </c>
      <c r="AE4" t="str">
        <f>IF(Q12_TotalAssets_Year1=0, "No Assets", Q12_NetSales_Year1/Q12_TotalAssets_Year1)</f>
        <v>No Assets</v>
      </c>
    </row>
    <row r="5" spans="1:31"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f t="shared" si="17"/>
        <v>0</v>
      </c>
      <c r="AB5">
        <f t="shared" si="18"/>
        <v>0</v>
      </c>
      <c r="AC5" t="s">
        <v>2475</v>
      </c>
      <c r="AD5">
        <f t="shared" si="19"/>
        <v>2013</v>
      </c>
      <c r="AE5" t="str">
        <f>IF(Q12_Inv_Year1=0, "No Inventory", Q12_COGS_Year1/Q12_Inv_Year1)</f>
        <v>No Inventory</v>
      </c>
    </row>
    <row r="6" spans="1:31"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f t="shared" si="17"/>
        <v>0</v>
      </c>
      <c r="AB6">
        <f t="shared" si="18"/>
        <v>0</v>
      </c>
      <c r="AC6" t="s">
        <v>2476</v>
      </c>
      <c r="AD6">
        <f t="shared" si="19"/>
        <v>2013</v>
      </c>
      <c r="AE6" t="str">
        <f>IF(Q12_TotalAssets_Year1=0, "No Assets", Q12_TotalLiab_Year1/Q12_TotalAssets_Year1)</f>
        <v>No Assets</v>
      </c>
    </row>
    <row r="7" spans="1:31"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f t="shared" si="17"/>
        <v>0</v>
      </c>
      <c r="AB7">
        <f t="shared" si="18"/>
        <v>0</v>
      </c>
      <c r="AC7" t="s">
        <v>2477</v>
      </c>
      <c r="AD7">
        <f t="shared" si="19"/>
        <v>2013</v>
      </c>
      <c r="AE7" t="str">
        <f>IF(Q12_OwnersEq_Year1=0, "No Owner's Equity", Q12_TotalLiab_Year1/Q12_OwnersEq_Year1)</f>
        <v>No Owner's Equity</v>
      </c>
    </row>
    <row r="8" spans="1:31"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f t="shared" si="17"/>
        <v>0</v>
      </c>
      <c r="AB8">
        <f t="shared" si="18"/>
        <v>0</v>
      </c>
      <c r="AC8" t="s">
        <v>2478</v>
      </c>
      <c r="AD8">
        <f t="shared" si="19"/>
        <v>2013</v>
      </c>
      <c r="AE8" t="str">
        <f>IF(Q12_OwnersEq_Year1=0, "No Owner's Equity", Q12_TotalAssets_Year1/Q12_OwnersEq_Year1)</f>
        <v>No Owner's Equity</v>
      </c>
    </row>
    <row r="9" spans="1:31"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f t="shared" si="17"/>
        <v>0</v>
      </c>
      <c r="AB9">
        <f t="shared" si="18"/>
        <v>0</v>
      </c>
      <c r="AC9" t="s">
        <v>2479</v>
      </c>
      <c r="AD9">
        <f t="shared" si="19"/>
        <v>2013</v>
      </c>
      <c r="AE9" t="str">
        <f>IF(Q12_NetSales_Year1=0, "No Sales", Q12_NetInc_Year1/Q12_NetSales_Year1)</f>
        <v>No Sales</v>
      </c>
    </row>
    <row r="10" spans="1:31"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f t="shared" si="17"/>
        <v>0</v>
      </c>
      <c r="AB10">
        <f t="shared" si="18"/>
        <v>0</v>
      </c>
      <c r="AC10" t="s">
        <v>2480</v>
      </c>
      <c r="AD10">
        <f t="shared" si="19"/>
        <v>2013</v>
      </c>
      <c r="AE10" t="str">
        <f>IF(Q12_TotalAssets_Year1=0, "No Assets", Q12_NetInc_Year1/Q12_TotalAssets_Year1)</f>
        <v>No Assets</v>
      </c>
    </row>
    <row r="11" spans="1:31"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f t="shared" si="17"/>
        <v>0</v>
      </c>
      <c r="AB11">
        <f t="shared" si="18"/>
        <v>0</v>
      </c>
      <c r="AC11" t="s">
        <v>2481</v>
      </c>
      <c r="AD11">
        <f t="shared" si="19"/>
        <v>2013</v>
      </c>
      <c r="AE11" t="str">
        <f>IF(Q12_TotalAssets_Year1=0, "No Assets", Q12_EBIT_Year1/Q12_TotalAssets_Year1)</f>
        <v>No Assets</v>
      </c>
    </row>
    <row r="12" spans="1:31"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f t="shared" si="17"/>
        <v>0</v>
      </c>
      <c r="AB12">
        <f t="shared" si="18"/>
        <v>0</v>
      </c>
      <c r="AC12" t="s">
        <v>2482</v>
      </c>
      <c r="AD12">
        <f t="shared" si="19"/>
        <v>2013</v>
      </c>
      <c r="AE12" t="str">
        <f>IF(Q12_OwnersEq_Year1=0, "No Owner's Equity", Q12_NetInc_Year1/Q12_OwnersEq_Year1)</f>
        <v>No Owner's Equity</v>
      </c>
    </row>
    <row r="13" spans="1:31"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f t="shared" si="17"/>
        <v>0</v>
      </c>
      <c r="AB13">
        <f t="shared" si="18"/>
        <v>0</v>
      </c>
      <c r="AC13" t="s">
        <v>2483</v>
      </c>
      <c r="AD13">
        <f t="shared" si="19"/>
        <v>2013</v>
      </c>
      <c r="AE13" t="str">
        <f>IF(Q12_NetSales_Year1=0,"No Sales",(Q12_NetSales_Year1-Q12_COGS_Year1)/Q12_NetSales_Year1)</f>
        <v>No Sales</v>
      </c>
    </row>
    <row r="14" spans="1:31"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f t="shared" si="17"/>
        <v>0</v>
      </c>
      <c r="AB14">
        <f t="shared" si="18"/>
        <v>0</v>
      </c>
      <c r="AC14" t="s">
        <v>2484</v>
      </c>
      <c r="AD14">
        <f t="shared" si="19"/>
        <v>2013</v>
      </c>
      <c r="AE14" t="str">
        <f>IF(ISERROR(((Q12_CurrentAssets_Year1-Q12_CurrentLiab_Year1)/Q12_TotalAssets_Year1)*0.717+(Q12_RetainedEarn_Year1/Q12_TotalAssets_Year1)*0.847+(Q12_EBIT_Year1/Q12_TotalAssets_Year1)*3.107+(Q12_OwnersEq_Year1/Q12_TotalLiab_Year1)*0.42+(Q12_NetSales_Year1/Q12_TotalAssets_Year1)*0.998), "Insufficient Data", ((Q12_CurrentAssets_Year1-Q12_CurrentLiab_Year1)/Q12_TotalAssets_Year1)*0.717+(Q12_RetainedEarn_Year1/Q12_TotalAssets_Year1)*0.847+(Q12_EBIT_Year1/Q12_TotalAssets_Year1)*3.107+(Q12_OwnersEq_Year1/Q12_TotalLiab_Year1)*0.42+(Q12_NetSales_Year1/Q12_TotalAssets_Year1)*0.998)</f>
        <v>Insufficient Data</v>
      </c>
    </row>
    <row r="15" spans="1:31"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f t="shared" si="17"/>
        <v>0</v>
      </c>
      <c r="AB15">
        <f t="shared" si="18"/>
        <v>0</v>
      </c>
      <c r="AC15" t="s">
        <v>2485</v>
      </c>
      <c r="AD15">
        <f t="shared" si="19"/>
        <v>2013</v>
      </c>
      <c r="AE15" t="str">
        <f>IF(ISERROR(((Q12_CurrentAssets_Year1-Q12_CurrentLiab_Year1)/Q12_TotalAssets_Year1)*6.56+(Q12_RetainedEarn_Year1/Q12_TotalAssets_Year1)*3.26+(Q12_EBIT_Year1/Q12_TotalAssets_Year1)*6.72+(Q12_OwnersEq_Year1/Q12_TotalLiab_Year1)*1.05), "Insufficient Data", ((Q12_CurrentAssets_Year1-Q12_CurrentLiab_Year1)/Q12_TotalAssets_Year1)*6.56+(Q12_RetainedEarn_Year1/Q12_TotalAssets_Year1)*3.26+(Q12_EBIT_Year1/Q12_TotalAssets_Year1)*6.72+(Q12_OwnersEq_Year1/Q12_TotalLiab_Year1)*1.05)</f>
        <v>Insufficient Data</v>
      </c>
    </row>
    <row r="16" spans="1:31"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f t="shared" si="17"/>
        <v>0</v>
      </c>
      <c r="AB16">
        <f t="shared" si="18"/>
        <v>0</v>
      </c>
      <c r="AC16" t="s">
        <v>2486</v>
      </c>
      <c r="AD16">
        <f t="shared" si="19"/>
        <v>2013</v>
      </c>
      <c r="AE16" t="str">
        <f>IF(Q12_Inv_Year1=0, "No Inventory", Q12_NetSales_Year1/Q12_Inv_Year1)</f>
        <v>No Inventory</v>
      </c>
    </row>
    <row r="17" spans="1:31"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f t="shared" si="17"/>
        <v>0</v>
      </c>
      <c r="AB17">
        <f t="shared" si="18"/>
        <v>0</v>
      </c>
      <c r="AC17" t="s">
        <v>2487</v>
      </c>
      <c r="AD17">
        <f t="shared" si="19"/>
        <v>2013</v>
      </c>
      <c r="AE17" t="str">
        <f>IF(Q12_NetSales_Year1=0, "No Sales", Q12_OpInc_Year1/Q12_NetSales_Year1)</f>
        <v>No Sales</v>
      </c>
    </row>
    <row r="18" spans="1:31"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f t="shared" si="17"/>
        <v>0</v>
      </c>
      <c r="AB18">
        <f t="shared" si="18"/>
        <v>0</v>
      </c>
      <c r="AC18" t="s">
        <v>2488</v>
      </c>
      <c r="AD18">
        <f t="shared" si="19"/>
        <v>2013</v>
      </c>
      <c r="AE18" t="str">
        <f>IF(Q12_NetSales_Year1=0, "No Sales", Q12_EBIT_Year1/Q12_NetSales_Year1)</f>
        <v>No Sales</v>
      </c>
    </row>
    <row r="19" spans="1:31"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f t="shared" si="17"/>
        <v>0</v>
      </c>
      <c r="AB19">
        <f t="shared" si="18"/>
        <v>0</v>
      </c>
      <c r="AC19" t="s">
        <v>2489</v>
      </c>
      <c r="AD19">
        <f t="shared" si="19"/>
        <v>2013</v>
      </c>
      <c r="AE19" t="str">
        <f>IF(Q6_A_Employees_Year1=0, "No Employees", Q12_NetSales_Year1/Q6_A_Employees_Year1)</f>
        <v>No Employees</v>
      </c>
    </row>
    <row r="20" spans="1:31"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f t="shared" si="17"/>
        <v>0</v>
      </c>
      <c r="AB20">
        <f t="shared" si="18"/>
        <v>0</v>
      </c>
      <c r="AC20" t="s">
        <v>2490</v>
      </c>
      <c r="AD20">
        <f t="shared" si="19"/>
        <v>2013</v>
      </c>
      <c r="AE20" t="str">
        <f>IF(Q12_NetSales_Year1=0, "No Sales", Q11_Expend_Total_Year1/Q12_NetSales_Year1)</f>
        <v>No Sales</v>
      </c>
    </row>
    <row r="21" spans="1:31"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f t="shared" si="17"/>
        <v>0</v>
      </c>
      <c r="AB21">
        <f t="shared" si="18"/>
        <v>0</v>
      </c>
      <c r="AC21" t="s">
        <v>2472</v>
      </c>
      <c r="AD21">
        <f t="shared" ref="AD21:AD39" si="20">Year2</f>
        <v>2014</v>
      </c>
      <c r="AE21" t="str">
        <f>IF(Q12_CurrentLiab_Year2=0, "No Current Liabilities", Q12_CurrentAssets_Year2/Q12_CurrentLiab_Year2)</f>
        <v>No Current Liabilities</v>
      </c>
    </row>
    <row r="22" spans="1:31"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f t="shared" si="17"/>
        <v>0</v>
      </c>
      <c r="AB22">
        <f t="shared" si="18"/>
        <v>0</v>
      </c>
      <c r="AC22" t="s">
        <v>2473</v>
      </c>
      <c r="AD22">
        <f t="shared" si="20"/>
        <v>2014</v>
      </c>
      <c r="AE22" t="str">
        <f>IF(Q12_CurrentLiab_Year2=0, "No Current Liabilities", (Q12_CurrentAssets_Year2-Q12_Inv_Year2)/Q12_CurrentLiab_Year2)</f>
        <v>No Current Liabilities</v>
      </c>
    </row>
    <row r="23" spans="1:31"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f t="shared" si="17"/>
        <v>0</v>
      </c>
      <c r="AB23">
        <f t="shared" si="18"/>
        <v>0</v>
      </c>
      <c r="AC23" t="s">
        <v>2474</v>
      </c>
      <c r="AD23">
        <f t="shared" si="20"/>
        <v>2014</v>
      </c>
      <c r="AE23" t="str">
        <f>IF(Q12_TotalAssets_Year2=0, "No Assets", Q12_NetSales_Year2/Q12_TotalAssets_Year2)</f>
        <v>No Assets</v>
      </c>
    </row>
    <row r="24" spans="1:31"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f t="shared" si="17"/>
        <v>0</v>
      </c>
      <c r="AB24">
        <f t="shared" si="18"/>
        <v>0</v>
      </c>
      <c r="AC24" t="s">
        <v>2475</v>
      </c>
      <c r="AD24">
        <f t="shared" si="20"/>
        <v>2014</v>
      </c>
      <c r="AE24" t="str">
        <f>IF(Q12_Inv_Year2=0, "No Inventory", Q12_COGS_Year2/Q12_Inv_Year2)</f>
        <v>No Inventory</v>
      </c>
    </row>
    <row r="25" spans="1:31"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f t="shared" si="17"/>
        <v>0</v>
      </c>
      <c r="AB25">
        <f t="shared" si="18"/>
        <v>0</v>
      </c>
      <c r="AC25" t="s">
        <v>2476</v>
      </c>
      <c r="AD25">
        <f t="shared" si="20"/>
        <v>2014</v>
      </c>
      <c r="AE25" t="str">
        <f>IF(Q12_TotalAssets_Year2=0, "No Assets", Q12_TotalLiab_Year2/Q12_TotalAssets_Year2)</f>
        <v>No Assets</v>
      </c>
    </row>
    <row r="26" spans="1:31"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f t="shared" si="17"/>
        <v>0</v>
      </c>
      <c r="AB26">
        <f t="shared" si="18"/>
        <v>0</v>
      </c>
      <c r="AC26" t="s">
        <v>2477</v>
      </c>
      <c r="AD26">
        <f t="shared" si="20"/>
        <v>2014</v>
      </c>
      <c r="AE26" t="str">
        <f>IF(Q12_OwnersEq_Year2=0, "No Owner's Equity", Q12_TotalLiab_Year2/Q12_OwnersEq_Year2)</f>
        <v>No Owner's Equity</v>
      </c>
    </row>
    <row r="27" spans="1:31"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f t="shared" si="17"/>
        <v>0</v>
      </c>
      <c r="AB27">
        <f t="shared" si="18"/>
        <v>0</v>
      </c>
      <c r="AC27" t="s">
        <v>2478</v>
      </c>
      <c r="AD27">
        <f t="shared" si="20"/>
        <v>2014</v>
      </c>
      <c r="AE27" t="str">
        <f>IF(Q12_OwnersEq_Year2=0, "No Owner's Equity", Q12_TotalAssets_Year2/Q12_OwnersEq_Year2)</f>
        <v>No Owner's Equity</v>
      </c>
    </row>
    <row r="28" spans="1:31"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f t="shared" si="17"/>
        <v>0</v>
      </c>
      <c r="AB28">
        <f t="shared" si="18"/>
        <v>0</v>
      </c>
      <c r="AC28" t="s">
        <v>2479</v>
      </c>
      <c r="AD28">
        <f t="shared" si="20"/>
        <v>2014</v>
      </c>
      <c r="AE28" t="str">
        <f>IF(Q12_NetSales_Year2=0, "No Sales", Q12_NetInc_Year2/Q12_NetSales_Year2)</f>
        <v>No Sales</v>
      </c>
    </row>
    <row r="29" spans="1:31"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f t="shared" si="17"/>
        <v>0</v>
      </c>
      <c r="AB29">
        <f t="shared" si="18"/>
        <v>0</v>
      </c>
      <c r="AC29" t="s">
        <v>2480</v>
      </c>
      <c r="AD29">
        <f t="shared" si="20"/>
        <v>2014</v>
      </c>
      <c r="AE29" t="str">
        <f>IF(Q12_TotalAssets_Year2=0, "No Assets", Q12_NetInc_Year2/Q12_TotalAssets_Year2)</f>
        <v>No Assets</v>
      </c>
    </row>
    <row r="30" spans="1:31"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f t="shared" si="17"/>
        <v>0</v>
      </c>
      <c r="AB30">
        <f t="shared" si="18"/>
        <v>0</v>
      </c>
      <c r="AC30" t="s">
        <v>2481</v>
      </c>
      <c r="AD30">
        <f t="shared" si="20"/>
        <v>2014</v>
      </c>
      <c r="AE30" t="str">
        <f>IF(Q12_TotalAssets_Year2=0, "No Assets", Q12_EBIT_Year2/Q12_TotalAssets_Year2)</f>
        <v>No Assets</v>
      </c>
    </row>
    <row r="31" spans="1:31"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f t="shared" si="17"/>
        <v>0</v>
      </c>
      <c r="AB31">
        <f t="shared" si="18"/>
        <v>0</v>
      </c>
      <c r="AC31" t="s">
        <v>2482</v>
      </c>
      <c r="AD31">
        <f t="shared" si="20"/>
        <v>2014</v>
      </c>
      <c r="AE31" t="str">
        <f>IF(Q12_OwnersEq_Year2=0, "No Owner's Equity", Q12_NetInc_Year2/Q12_OwnersEq_Year2)</f>
        <v>No Owner's Equity</v>
      </c>
    </row>
    <row r="32" spans="1:31"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f t="shared" si="17"/>
        <v>0</v>
      </c>
      <c r="AB32">
        <f t="shared" si="18"/>
        <v>0</v>
      </c>
      <c r="AC32" t="s">
        <v>2483</v>
      </c>
      <c r="AD32">
        <f t="shared" si="20"/>
        <v>2014</v>
      </c>
      <c r="AE32" t="str">
        <f>IF(Q12_NetSales_Year2=0,"No Sales",(Q12_NetSales_Year2-Q12_COGS_Year2)/Q12_NetSales_Year2)</f>
        <v>No Sales</v>
      </c>
    </row>
    <row r="33" spans="1:31"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f t="shared" si="17"/>
        <v>0</v>
      </c>
      <c r="AB33">
        <f t="shared" si="18"/>
        <v>0</v>
      </c>
      <c r="AC33" t="s">
        <v>2484</v>
      </c>
      <c r="AD33">
        <f t="shared" si="20"/>
        <v>2014</v>
      </c>
      <c r="AE33" t="str">
        <f>IF(ISERROR(((Q12_CurrentAssets_Year2-Q12_CurrentLiab_Year2)/Q12_TotalAssets_Year2)*0.717+(Q12_RetainedEarn_Year2/Q12_TotalAssets_Year2)*0.847+(Q12_EBIT_Year2/Q12_TotalAssets_Year2)*3.107+(Q12_OwnersEq_Year2/Q12_TotalLiab_Year2)*0.42+(Q12_NetSales_Year2/Q12_TotalAssets_Year2)*0.998), "Insufficient Data", ((Q12_CurrentAssets_Year2-Q12_CurrentLiab_Year2)/Q12_TotalAssets_Year2)*0.717+(Q12_RetainedEarn_Year2/Q12_TotalAssets_Year2)*0.847+(Q12_EBIT_Year2/Q12_TotalAssets_Year2)*3.107+(Q12_OwnersEq_Year2/Q12_TotalLiab_Year2)*0.42+(Q12_NetSales_Year2/Q12_TotalAssets_Year2)*0.998)</f>
        <v>Insufficient Data</v>
      </c>
    </row>
    <row r="34" spans="1:31" x14ac:dyDescent="0.25">
      <c r="A34">
        <f t="shared" ref="A34:A58" si="21">Q_RP_B_DSSCAGE_01</f>
        <v>0</v>
      </c>
      <c r="B34">
        <f t="shared" ref="B34:B58" si="22">Q1a_A_LocationName</f>
        <v>0</v>
      </c>
      <c r="C34">
        <f t="shared" ref="C34:C58" si="23">Q1a_A_LocOrgName</f>
        <v>0</v>
      </c>
      <c r="D34">
        <f t="shared" ref="D34:D58" si="24">Q1a_B_Parent1_Name</f>
        <v>0</v>
      </c>
      <c r="E34">
        <f t="shared" ref="E34:E58" si="25">Q_RP_A_MultiResponse</f>
        <v>0</v>
      </c>
      <c r="F34">
        <f>'D-RepLevel'!$F$2</f>
        <v>0</v>
      </c>
      <c r="G34">
        <f>'D-RepLevel'!$G$2</f>
        <v>0</v>
      </c>
      <c r="H34">
        <f t="shared" ref="H34:H58" si="26">Q1a_A_OnlyLoc_YN</f>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ref="L34:L58" si="27">Q4b_A_NumUSGPrograms</f>
        <v>0</v>
      </c>
      <c r="M34">
        <f t="shared" ref="M34:M58" si="28">Q6_A_Employees_Year3</f>
        <v>0</v>
      </c>
      <c r="N34">
        <f t="shared" ref="N34:N58" si="29">Q6_B_Employee_H1B_Total+Q6_B_Employee_H2B_Total+Q6_B_Employee_F1_Total+Q6_B_Employee_GreenCard_Total+Q6_B_Employee_Other_Total</f>
        <v>0</v>
      </c>
      <c r="O34">
        <f t="shared" ref="O34:O58" si="30">Year3</f>
        <v>2015</v>
      </c>
      <c r="P34">
        <f t="shared" ref="P34:P58" si="31">Q7_A_TotalSales_US_Year3+Q7_A_TotalSales_NonUS_Year3</f>
        <v>0</v>
      </c>
      <c r="Q34">
        <f t="shared" ref="Q34:Q58" si="32">Q7_B_DefSales_US_Year3_Pct*Q7_A_TotalSales_US_Year3+Q7_B_DefSales_NonUS_Year3_Pct*Q7_A_TotalSales_NonUS_Year3</f>
        <v>0</v>
      </c>
      <c r="R34">
        <f t="shared" ref="R34:R58" si="33">Q9a_B_Physical_Year3</f>
        <v>0</v>
      </c>
      <c r="S34">
        <f t="shared" ref="S34:S58" si="34">Q9a_B_Cyber_Year3</f>
        <v>0</v>
      </c>
      <c r="T34">
        <f>COUNTIF('9a'!$K$22:$K$32, "Yes")+COUNTIF('9a'!$O$22:$O$32, "Yes")</f>
        <v>0</v>
      </c>
      <c r="U34" t="str">
        <f t="shared" ref="U34:U58" si="35">IF(Q12_OpEx_Year3=0, "No Expenditures", Q9b_A_PhysicalSpending_Year3/(Q12_OpEx_Year3))</f>
        <v>No Expenditures</v>
      </c>
      <c r="V34" t="str">
        <f t="shared" ref="V34:V58" si="36">IF(Q12_OpEx_Year3=0, "No Expenditures", Q9b_A_CyberSpending_Year3/(Q12_OpEx_Year3))</f>
        <v>No Expenditures</v>
      </c>
      <c r="W34">
        <f t="shared" ref="W34:W58" si="37">Q9b_C_Pct_CSI_External</f>
        <v>0</v>
      </c>
      <c r="X34" t="str">
        <f>'D-Risk'!$AO$25</f>
        <v>Insufficient Data</v>
      </c>
      <c r="Y34" t="str">
        <f>'D-Risk'!$AO$26</f>
        <v>Insufficient Data</v>
      </c>
      <c r="Z34" t="str">
        <f>'D-Risk'!$AO$27</f>
        <v>Uncalculated</v>
      </c>
      <c r="AA34">
        <f t="shared" ref="AA34:AA58" si="38">Q11_Schedule</f>
        <v>0</v>
      </c>
      <c r="AB34">
        <f t="shared" ref="AB34:AB58" si="39">Q11_Source</f>
        <v>0</v>
      </c>
      <c r="AC34" t="s">
        <v>2485</v>
      </c>
      <c r="AD34">
        <f t="shared" si="20"/>
        <v>2014</v>
      </c>
      <c r="AE34" t="str">
        <f>IF(ISERROR(((Q12_CurrentAssets_Year2-Q12_CurrentLiab_Year2)/Q12_TotalAssets_Year2)*6.56+(Q12_RetainedEarn_Year2/Q12_TotalAssets_Year2)*3.26+(Q12_EBIT_Year2/Q12_TotalAssets_Year2)*6.72+(Q12_OwnersEq_Year2/Q12_TotalLiab_Year2)*1.05), "Insufficient Data", ((Q12_CurrentAssets_Year2-Q12_CurrentLiab_Year2)/Q12_TotalAssets_Year2)*6.56+(Q12_RetainedEarn_Year2/Q12_TotalAssets_Year2)*3.26+(Q12_EBIT_Year2/Q12_TotalAssets_Year2)*6.72+(Q12_OwnersEq_Year2/Q12_TotalLiab_Year2)*1.05)</f>
        <v>Insufficient Data</v>
      </c>
    </row>
    <row r="35" spans="1:31" x14ac:dyDescent="0.25">
      <c r="A35">
        <f t="shared" si="21"/>
        <v>0</v>
      </c>
      <c r="B35">
        <f t="shared" si="22"/>
        <v>0</v>
      </c>
      <c r="C35">
        <f t="shared" si="23"/>
        <v>0</v>
      </c>
      <c r="D35">
        <f t="shared" si="24"/>
        <v>0</v>
      </c>
      <c r="E35">
        <f t="shared" si="25"/>
        <v>0</v>
      </c>
      <c r="F35">
        <f>'D-RepLevel'!$F$2</f>
        <v>0</v>
      </c>
      <c r="G35">
        <f>'D-RepLevel'!$G$2</f>
        <v>0</v>
      </c>
      <c r="H35">
        <f t="shared" si="26"/>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27"/>
        <v>0</v>
      </c>
      <c r="M35">
        <f t="shared" si="28"/>
        <v>0</v>
      </c>
      <c r="N35">
        <f t="shared" si="29"/>
        <v>0</v>
      </c>
      <c r="O35">
        <f t="shared" si="30"/>
        <v>2015</v>
      </c>
      <c r="P35">
        <f t="shared" si="31"/>
        <v>0</v>
      </c>
      <c r="Q35">
        <f t="shared" si="32"/>
        <v>0</v>
      </c>
      <c r="R35">
        <f t="shared" si="33"/>
        <v>0</v>
      </c>
      <c r="S35">
        <f t="shared" si="34"/>
        <v>0</v>
      </c>
      <c r="T35">
        <f>COUNTIF('9a'!$K$22:$K$32, "Yes")+COUNTIF('9a'!$O$22:$O$32, "Yes")</f>
        <v>0</v>
      </c>
      <c r="U35" t="str">
        <f t="shared" si="35"/>
        <v>No Expenditures</v>
      </c>
      <c r="V35" t="str">
        <f t="shared" si="36"/>
        <v>No Expenditures</v>
      </c>
      <c r="W35">
        <f t="shared" si="37"/>
        <v>0</v>
      </c>
      <c r="X35" t="str">
        <f>'D-Risk'!$AO$25</f>
        <v>Insufficient Data</v>
      </c>
      <c r="Y35" t="str">
        <f>'D-Risk'!$AO$26</f>
        <v>Insufficient Data</v>
      </c>
      <c r="Z35" t="str">
        <f>'D-Risk'!$AO$27</f>
        <v>Uncalculated</v>
      </c>
      <c r="AA35">
        <f t="shared" si="38"/>
        <v>0</v>
      </c>
      <c r="AB35">
        <f t="shared" si="39"/>
        <v>0</v>
      </c>
      <c r="AC35" t="s">
        <v>2486</v>
      </c>
      <c r="AD35">
        <f t="shared" si="20"/>
        <v>2014</v>
      </c>
      <c r="AE35" t="str">
        <f>IF(Q12_Inv_Year2=0, "No Inventory", Q12_NetSales_Year2/Q12_Inv_Year2)</f>
        <v>No Inventory</v>
      </c>
    </row>
    <row r="36" spans="1:31" x14ac:dyDescent="0.25">
      <c r="A36">
        <f t="shared" si="21"/>
        <v>0</v>
      </c>
      <c r="B36">
        <f t="shared" si="22"/>
        <v>0</v>
      </c>
      <c r="C36">
        <f t="shared" si="23"/>
        <v>0</v>
      </c>
      <c r="D36">
        <f t="shared" si="24"/>
        <v>0</v>
      </c>
      <c r="E36">
        <f t="shared" si="25"/>
        <v>0</v>
      </c>
      <c r="F36">
        <f>'D-RepLevel'!$F$2</f>
        <v>0</v>
      </c>
      <c r="G36">
        <f>'D-RepLevel'!$G$2</f>
        <v>0</v>
      </c>
      <c r="H36">
        <f t="shared" si="26"/>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27"/>
        <v>0</v>
      </c>
      <c r="M36">
        <f t="shared" si="28"/>
        <v>0</v>
      </c>
      <c r="N36">
        <f t="shared" si="29"/>
        <v>0</v>
      </c>
      <c r="O36">
        <f t="shared" si="30"/>
        <v>2015</v>
      </c>
      <c r="P36">
        <f t="shared" si="31"/>
        <v>0</v>
      </c>
      <c r="Q36">
        <f t="shared" si="32"/>
        <v>0</v>
      </c>
      <c r="R36">
        <f t="shared" si="33"/>
        <v>0</v>
      </c>
      <c r="S36">
        <f t="shared" si="34"/>
        <v>0</v>
      </c>
      <c r="T36">
        <f>COUNTIF('9a'!$K$22:$K$32, "Yes")+COUNTIF('9a'!$O$22:$O$32, "Yes")</f>
        <v>0</v>
      </c>
      <c r="U36" t="str">
        <f t="shared" si="35"/>
        <v>No Expenditures</v>
      </c>
      <c r="V36" t="str">
        <f t="shared" si="36"/>
        <v>No Expenditures</v>
      </c>
      <c r="W36">
        <f t="shared" si="37"/>
        <v>0</v>
      </c>
      <c r="X36" t="str">
        <f>'D-Risk'!$AO$25</f>
        <v>Insufficient Data</v>
      </c>
      <c r="Y36" t="str">
        <f>'D-Risk'!$AO$26</f>
        <v>Insufficient Data</v>
      </c>
      <c r="Z36" t="str">
        <f>'D-Risk'!$AO$27</f>
        <v>Uncalculated</v>
      </c>
      <c r="AA36">
        <f t="shared" si="38"/>
        <v>0</v>
      </c>
      <c r="AB36">
        <f t="shared" si="39"/>
        <v>0</v>
      </c>
      <c r="AC36" t="s">
        <v>2487</v>
      </c>
      <c r="AD36">
        <f t="shared" si="20"/>
        <v>2014</v>
      </c>
      <c r="AE36" t="str">
        <f>IF(Q12_NetSales_Year2=0, "No Sales", Q12_OpInc_Year2/Q12_NetSales_Year2)</f>
        <v>No Sales</v>
      </c>
    </row>
    <row r="37" spans="1:31" x14ac:dyDescent="0.25">
      <c r="A37">
        <f t="shared" si="21"/>
        <v>0</v>
      </c>
      <c r="B37">
        <f t="shared" si="22"/>
        <v>0</v>
      </c>
      <c r="C37">
        <f t="shared" si="23"/>
        <v>0</v>
      </c>
      <c r="D37">
        <f t="shared" si="24"/>
        <v>0</v>
      </c>
      <c r="E37">
        <f t="shared" si="25"/>
        <v>0</v>
      </c>
      <c r="F37">
        <f>'D-RepLevel'!$F$2</f>
        <v>0</v>
      </c>
      <c r="G37">
        <f>'D-RepLevel'!$G$2</f>
        <v>0</v>
      </c>
      <c r="H37">
        <f t="shared" si="26"/>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27"/>
        <v>0</v>
      </c>
      <c r="M37">
        <f t="shared" si="28"/>
        <v>0</v>
      </c>
      <c r="N37">
        <f t="shared" si="29"/>
        <v>0</v>
      </c>
      <c r="O37">
        <f t="shared" si="30"/>
        <v>2015</v>
      </c>
      <c r="P37">
        <f t="shared" si="31"/>
        <v>0</v>
      </c>
      <c r="Q37">
        <f t="shared" si="32"/>
        <v>0</v>
      </c>
      <c r="R37">
        <f t="shared" si="33"/>
        <v>0</v>
      </c>
      <c r="S37">
        <f t="shared" si="34"/>
        <v>0</v>
      </c>
      <c r="T37">
        <f>COUNTIF('9a'!$K$22:$K$32, "Yes")+COUNTIF('9a'!$O$22:$O$32, "Yes")</f>
        <v>0</v>
      </c>
      <c r="U37" t="str">
        <f t="shared" si="35"/>
        <v>No Expenditures</v>
      </c>
      <c r="V37" t="str">
        <f t="shared" si="36"/>
        <v>No Expenditures</v>
      </c>
      <c r="W37">
        <f t="shared" si="37"/>
        <v>0</v>
      </c>
      <c r="X37" t="str">
        <f>'D-Risk'!$AO$25</f>
        <v>Insufficient Data</v>
      </c>
      <c r="Y37" t="str">
        <f>'D-Risk'!$AO$26</f>
        <v>Insufficient Data</v>
      </c>
      <c r="Z37" t="str">
        <f>'D-Risk'!$AO$27</f>
        <v>Uncalculated</v>
      </c>
      <c r="AA37">
        <f t="shared" si="38"/>
        <v>0</v>
      </c>
      <c r="AB37">
        <f t="shared" si="39"/>
        <v>0</v>
      </c>
      <c r="AC37" t="s">
        <v>2488</v>
      </c>
      <c r="AD37">
        <f t="shared" si="20"/>
        <v>2014</v>
      </c>
      <c r="AE37" t="str">
        <f>IF(Q12_NetSales_Year2=0, "No Sales", Q12_EBIT_Year2/Q12_NetSales_Year2)</f>
        <v>No Sales</v>
      </c>
    </row>
    <row r="38" spans="1:31" x14ac:dyDescent="0.25">
      <c r="A38">
        <f t="shared" si="21"/>
        <v>0</v>
      </c>
      <c r="B38">
        <f t="shared" si="22"/>
        <v>0</v>
      </c>
      <c r="C38">
        <f t="shared" si="23"/>
        <v>0</v>
      </c>
      <c r="D38">
        <f t="shared" si="24"/>
        <v>0</v>
      </c>
      <c r="E38">
        <f t="shared" si="25"/>
        <v>0</v>
      </c>
      <c r="F38">
        <f>'D-RepLevel'!$F$2</f>
        <v>0</v>
      </c>
      <c r="G38">
        <f>'D-RepLevel'!$G$2</f>
        <v>0</v>
      </c>
      <c r="H38">
        <f t="shared" si="26"/>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27"/>
        <v>0</v>
      </c>
      <c r="M38">
        <f t="shared" si="28"/>
        <v>0</v>
      </c>
      <c r="N38">
        <f t="shared" si="29"/>
        <v>0</v>
      </c>
      <c r="O38">
        <f t="shared" si="30"/>
        <v>2015</v>
      </c>
      <c r="P38">
        <f t="shared" si="31"/>
        <v>0</v>
      </c>
      <c r="Q38">
        <f t="shared" si="32"/>
        <v>0</v>
      </c>
      <c r="R38">
        <f t="shared" si="33"/>
        <v>0</v>
      </c>
      <c r="S38">
        <f t="shared" si="34"/>
        <v>0</v>
      </c>
      <c r="T38">
        <f>COUNTIF('9a'!$K$22:$K$32, "Yes")+COUNTIF('9a'!$O$22:$O$32, "Yes")</f>
        <v>0</v>
      </c>
      <c r="U38" t="str">
        <f t="shared" si="35"/>
        <v>No Expenditures</v>
      </c>
      <c r="V38" t="str">
        <f t="shared" si="36"/>
        <v>No Expenditures</v>
      </c>
      <c r="W38">
        <f t="shared" si="37"/>
        <v>0</v>
      </c>
      <c r="X38" t="str">
        <f>'D-Risk'!$AO$25</f>
        <v>Insufficient Data</v>
      </c>
      <c r="Y38" t="str">
        <f>'D-Risk'!$AO$26</f>
        <v>Insufficient Data</v>
      </c>
      <c r="Z38" t="str">
        <f>'D-Risk'!$AO$27</f>
        <v>Uncalculated</v>
      </c>
      <c r="AA38">
        <f t="shared" si="38"/>
        <v>0</v>
      </c>
      <c r="AB38">
        <f t="shared" si="39"/>
        <v>0</v>
      </c>
      <c r="AC38" t="s">
        <v>2489</v>
      </c>
      <c r="AD38">
        <f t="shared" si="20"/>
        <v>2014</v>
      </c>
      <c r="AE38" t="str">
        <f>IF(Q6_A_Employees_Year1=0, "No Employees", Q12_NetSales_Year2/Q6_A_Employees_Year1)</f>
        <v>No Employees</v>
      </c>
    </row>
    <row r="39" spans="1:31" x14ac:dyDescent="0.25">
      <c r="A39">
        <f t="shared" si="21"/>
        <v>0</v>
      </c>
      <c r="B39">
        <f t="shared" si="22"/>
        <v>0</v>
      </c>
      <c r="C39">
        <f t="shared" si="23"/>
        <v>0</v>
      </c>
      <c r="D39">
        <f t="shared" si="24"/>
        <v>0</v>
      </c>
      <c r="E39">
        <f t="shared" si="25"/>
        <v>0</v>
      </c>
      <c r="F39">
        <f>'D-RepLevel'!$F$2</f>
        <v>0</v>
      </c>
      <c r="G39">
        <f>'D-RepLevel'!$G$2</f>
        <v>0</v>
      </c>
      <c r="H39">
        <f t="shared" si="26"/>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27"/>
        <v>0</v>
      </c>
      <c r="M39">
        <f t="shared" si="28"/>
        <v>0</v>
      </c>
      <c r="N39">
        <f t="shared" si="29"/>
        <v>0</v>
      </c>
      <c r="O39">
        <f t="shared" si="30"/>
        <v>2015</v>
      </c>
      <c r="P39">
        <f t="shared" si="31"/>
        <v>0</v>
      </c>
      <c r="Q39">
        <f t="shared" si="32"/>
        <v>0</v>
      </c>
      <c r="R39">
        <f t="shared" si="33"/>
        <v>0</v>
      </c>
      <c r="S39">
        <f t="shared" si="34"/>
        <v>0</v>
      </c>
      <c r="T39">
        <f>COUNTIF('9a'!$K$22:$K$32, "Yes")+COUNTIF('9a'!$O$22:$O$32, "Yes")</f>
        <v>0</v>
      </c>
      <c r="U39" t="str">
        <f t="shared" si="35"/>
        <v>No Expenditures</v>
      </c>
      <c r="V39" t="str">
        <f t="shared" si="36"/>
        <v>No Expenditures</v>
      </c>
      <c r="W39">
        <f t="shared" si="37"/>
        <v>0</v>
      </c>
      <c r="X39" t="str">
        <f>'D-Risk'!$AO$25</f>
        <v>Insufficient Data</v>
      </c>
      <c r="Y39" t="str">
        <f>'D-Risk'!$AO$26</f>
        <v>Insufficient Data</v>
      </c>
      <c r="Z39" t="str">
        <f>'D-Risk'!$AO$27</f>
        <v>Uncalculated</v>
      </c>
      <c r="AA39">
        <f t="shared" si="38"/>
        <v>0</v>
      </c>
      <c r="AB39">
        <f t="shared" si="39"/>
        <v>0</v>
      </c>
      <c r="AC39" t="s">
        <v>2490</v>
      </c>
      <c r="AD39">
        <f t="shared" si="20"/>
        <v>2014</v>
      </c>
      <c r="AE39" t="str">
        <f>IF(Q12_NetSales_Year2=0, "No Sales", Q11_Expend_Total_Year2/Q12_NetSales_Year2)</f>
        <v>No Sales</v>
      </c>
    </row>
    <row r="40" spans="1:31" x14ac:dyDescent="0.25">
      <c r="A40">
        <f t="shared" si="21"/>
        <v>0</v>
      </c>
      <c r="B40">
        <f t="shared" si="22"/>
        <v>0</v>
      </c>
      <c r="C40">
        <f t="shared" si="23"/>
        <v>0</v>
      </c>
      <c r="D40">
        <f t="shared" si="24"/>
        <v>0</v>
      </c>
      <c r="E40">
        <f t="shared" si="25"/>
        <v>0</v>
      </c>
      <c r="F40">
        <f>'D-RepLevel'!$F$2</f>
        <v>0</v>
      </c>
      <c r="G40">
        <f>'D-RepLevel'!$G$2</f>
        <v>0</v>
      </c>
      <c r="H40">
        <f t="shared" si="26"/>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27"/>
        <v>0</v>
      </c>
      <c r="M40">
        <f t="shared" si="28"/>
        <v>0</v>
      </c>
      <c r="N40">
        <f t="shared" si="29"/>
        <v>0</v>
      </c>
      <c r="O40">
        <f t="shared" si="30"/>
        <v>2015</v>
      </c>
      <c r="P40">
        <f t="shared" si="31"/>
        <v>0</v>
      </c>
      <c r="Q40">
        <f t="shared" si="32"/>
        <v>0</v>
      </c>
      <c r="R40">
        <f t="shared" si="33"/>
        <v>0</v>
      </c>
      <c r="S40">
        <f t="shared" si="34"/>
        <v>0</v>
      </c>
      <c r="T40">
        <f>COUNTIF('9a'!$K$22:$K$32, "Yes")+COUNTIF('9a'!$O$22:$O$32, "Yes")</f>
        <v>0</v>
      </c>
      <c r="U40" t="str">
        <f t="shared" si="35"/>
        <v>No Expenditures</v>
      </c>
      <c r="V40" t="str">
        <f t="shared" si="36"/>
        <v>No Expenditures</v>
      </c>
      <c r="W40">
        <f t="shared" si="37"/>
        <v>0</v>
      </c>
      <c r="X40" t="str">
        <f>'D-Risk'!$AO$25</f>
        <v>Insufficient Data</v>
      </c>
      <c r="Y40" t="str">
        <f>'D-Risk'!$AO$26</f>
        <v>Insufficient Data</v>
      </c>
      <c r="Z40" t="str">
        <f>'D-Risk'!$AO$27</f>
        <v>Uncalculated</v>
      </c>
      <c r="AA40">
        <f t="shared" si="38"/>
        <v>0</v>
      </c>
      <c r="AB40">
        <f t="shared" si="39"/>
        <v>0</v>
      </c>
      <c r="AC40" t="s">
        <v>2472</v>
      </c>
      <c r="AD40">
        <f t="shared" ref="AD40:AD58" si="40">Year3</f>
        <v>2015</v>
      </c>
      <c r="AE40" t="str">
        <f>IF(Q12_CurrentLiab_Year3=0, "No Current Liabilities", Q12_CurrentAssets_Year3/Q12_CurrentLiab_Year3)</f>
        <v>No Current Liabilities</v>
      </c>
    </row>
    <row r="41" spans="1:31" x14ac:dyDescent="0.25">
      <c r="A41">
        <f t="shared" si="21"/>
        <v>0</v>
      </c>
      <c r="B41">
        <f t="shared" si="22"/>
        <v>0</v>
      </c>
      <c r="C41">
        <f t="shared" si="23"/>
        <v>0</v>
      </c>
      <c r="D41">
        <f t="shared" si="24"/>
        <v>0</v>
      </c>
      <c r="E41">
        <f t="shared" si="25"/>
        <v>0</v>
      </c>
      <c r="F41">
        <f>'D-RepLevel'!$F$2</f>
        <v>0</v>
      </c>
      <c r="G41">
        <f>'D-RepLevel'!$G$2</f>
        <v>0</v>
      </c>
      <c r="H41">
        <f t="shared" si="26"/>
        <v>0</v>
      </c>
      <c r="I41" t="str">
        <f>IF(ISERROR(INDEX('1b'!$C$5:$C$21, MATCH("Primary Business Line", '1b'!$H$5:$H$21, FALSE), 1)), "None Selected", INDEX('1b'!$C$5:$C$21, MATCH("Primary Business Line", '1b'!$H$5:$H$21, FALSE), 1))</f>
        <v>None Selected</v>
      </c>
      <c r="J41">
        <f>'D-3'!$J$2</f>
        <v>0</v>
      </c>
      <c r="K41">
        <f>COUNTIF('4a'!$E$6:$E$29, "Direct")+COUNTIF('4a'!$E$6:$E$29, "Indirect")+COUNTIF('4a'!$E$6:$E$29, "Both")</f>
        <v>0</v>
      </c>
      <c r="L41">
        <f t="shared" si="27"/>
        <v>0</v>
      </c>
      <c r="M41">
        <f t="shared" si="28"/>
        <v>0</v>
      </c>
      <c r="N41">
        <f t="shared" si="29"/>
        <v>0</v>
      </c>
      <c r="O41">
        <f t="shared" si="30"/>
        <v>2015</v>
      </c>
      <c r="P41">
        <f t="shared" si="31"/>
        <v>0</v>
      </c>
      <c r="Q41">
        <f t="shared" si="32"/>
        <v>0</v>
      </c>
      <c r="R41">
        <f t="shared" si="33"/>
        <v>0</v>
      </c>
      <c r="S41">
        <f t="shared" si="34"/>
        <v>0</v>
      </c>
      <c r="T41">
        <f>COUNTIF('9a'!$K$22:$K$32, "Yes")+COUNTIF('9a'!$O$22:$O$32, "Yes")</f>
        <v>0</v>
      </c>
      <c r="U41" t="str">
        <f t="shared" si="35"/>
        <v>No Expenditures</v>
      </c>
      <c r="V41" t="str">
        <f t="shared" si="36"/>
        <v>No Expenditures</v>
      </c>
      <c r="W41">
        <f t="shared" si="37"/>
        <v>0</v>
      </c>
      <c r="X41" t="str">
        <f>'D-Risk'!$AO$25</f>
        <v>Insufficient Data</v>
      </c>
      <c r="Y41" t="str">
        <f>'D-Risk'!$AO$26</f>
        <v>Insufficient Data</v>
      </c>
      <c r="Z41" t="str">
        <f>'D-Risk'!$AO$27</f>
        <v>Uncalculated</v>
      </c>
      <c r="AA41">
        <f t="shared" si="38"/>
        <v>0</v>
      </c>
      <c r="AB41">
        <f t="shared" si="39"/>
        <v>0</v>
      </c>
      <c r="AC41" t="s">
        <v>2473</v>
      </c>
      <c r="AD41">
        <f t="shared" si="40"/>
        <v>2015</v>
      </c>
      <c r="AE41" t="str">
        <f>IF(Q12_CurrentLiab_Year3=0, "No Current Liabilities", (Q12_CurrentAssets_Year3-Q12_Inv_Year3)/Q12_CurrentLiab_Year3)</f>
        <v>No Current Liabilities</v>
      </c>
    </row>
    <row r="42" spans="1:31" x14ac:dyDescent="0.25">
      <c r="A42">
        <f t="shared" si="21"/>
        <v>0</v>
      </c>
      <c r="B42">
        <f t="shared" si="22"/>
        <v>0</v>
      </c>
      <c r="C42">
        <f t="shared" si="23"/>
        <v>0</v>
      </c>
      <c r="D42">
        <f t="shared" si="24"/>
        <v>0</v>
      </c>
      <c r="E42">
        <f t="shared" si="25"/>
        <v>0</v>
      </c>
      <c r="F42">
        <f>'D-RepLevel'!$F$2</f>
        <v>0</v>
      </c>
      <c r="G42">
        <f>'D-RepLevel'!$G$2</f>
        <v>0</v>
      </c>
      <c r="H42">
        <f t="shared" si="26"/>
        <v>0</v>
      </c>
      <c r="I42" t="str">
        <f>IF(ISERROR(INDEX('1b'!$C$5:$C$21, MATCH("Primary Business Line", '1b'!$H$5:$H$21, FALSE), 1)), "None Selected", INDEX('1b'!$C$5:$C$21, MATCH("Primary Business Line", '1b'!$H$5:$H$21, FALSE), 1))</f>
        <v>None Selected</v>
      </c>
      <c r="J42">
        <f>'D-3'!$J$2</f>
        <v>0</v>
      </c>
      <c r="K42">
        <f>COUNTIF('4a'!$E$6:$E$29, "Direct")+COUNTIF('4a'!$E$6:$E$29, "Indirect")+COUNTIF('4a'!$E$6:$E$29, "Both")</f>
        <v>0</v>
      </c>
      <c r="L42">
        <f t="shared" si="27"/>
        <v>0</v>
      </c>
      <c r="M42">
        <f t="shared" si="28"/>
        <v>0</v>
      </c>
      <c r="N42">
        <f t="shared" si="29"/>
        <v>0</v>
      </c>
      <c r="O42">
        <f t="shared" si="30"/>
        <v>2015</v>
      </c>
      <c r="P42">
        <f t="shared" si="31"/>
        <v>0</v>
      </c>
      <c r="Q42">
        <f t="shared" si="32"/>
        <v>0</v>
      </c>
      <c r="R42">
        <f t="shared" si="33"/>
        <v>0</v>
      </c>
      <c r="S42">
        <f t="shared" si="34"/>
        <v>0</v>
      </c>
      <c r="T42">
        <f>COUNTIF('9a'!$K$22:$K$32, "Yes")+COUNTIF('9a'!$O$22:$O$32, "Yes")</f>
        <v>0</v>
      </c>
      <c r="U42" t="str">
        <f t="shared" si="35"/>
        <v>No Expenditures</v>
      </c>
      <c r="V42" t="str">
        <f t="shared" si="36"/>
        <v>No Expenditures</v>
      </c>
      <c r="W42">
        <f t="shared" si="37"/>
        <v>0</v>
      </c>
      <c r="X42" t="str">
        <f>'D-Risk'!$AO$25</f>
        <v>Insufficient Data</v>
      </c>
      <c r="Y42" t="str">
        <f>'D-Risk'!$AO$26</f>
        <v>Insufficient Data</v>
      </c>
      <c r="Z42" t="str">
        <f>'D-Risk'!$AO$27</f>
        <v>Uncalculated</v>
      </c>
      <c r="AA42">
        <f t="shared" si="38"/>
        <v>0</v>
      </c>
      <c r="AB42">
        <f t="shared" si="39"/>
        <v>0</v>
      </c>
      <c r="AC42" t="s">
        <v>2474</v>
      </c>
      <c r="AD42">
        <f t="shared" si="40"/>
        <v>2015</v>
      </c>
      <c r="AE42" t="str">
        <f>IF(Q12_TotalAssets_Year3=0, "No Assets", Q12_NetSales_Year3/Q12_TotalAssets_Year3)</f>
        <v>No Assets</v>
      </c>
    </row>
    <row r="43" spans="1:31" x14ac:dyDescent="0.25">
      <c r="A43">
        <f t="shared" si="21"/>
        <v>0</v>
      </c>
      <c r="B43">
        <f t="shared" si="22"/>
        <v>0</v>
      </c>
      <c r="C43">
        <f t="shared" si="23"/>
        <v>0</v>
      </c>
      <c r="D43">
        <f t="shared" si="24"/>
        <v>0</v>
      </c>
      <c r="E43">
        <f t="shared" si="25"/>
        <v>0</v>
      </c>
      <c r="F43">
        <f>'D-RepLevel'!$F$2</f>
        <v>0</v>
      </c>
      <c r="G43">
        <f>'D-RepLevel'!$G$2</f>
        <v>0</v>
      </c>
      <c r="H43">
        <f t="shared" si="26"/>
        <v>0</v>
      </c>
      <c r="I43" t="str">
        <f>IF(ISERROR(INDEX('1b'!$C$5:$C$21, MATCH("Primary Business Line", '1b'!$H$5:$H$21, FALSE), 1)), "None Selected", INDEX('1b'!$C$5:$C$21, MATCH("Primary Business Line", '1b'!$H$5:$H$21, FALSE), 1))</f>
        <v>None Selected</v>
      </c>
      <c r="J43">
        <f>'D-3'!$J$2</f>
        <v>0</v>
      </c>
      <c r="K43">
        <f>COUNTIF('4a'!$E$6:$E$29, "Direct")+COUNTIF('4a'!$E$6:$E$29, "Indirect")+COUNTIF('4a'!$E$6:$E$29, "Both")</f>
        <v>0</v>
      </c>
      <c r="L43">
        <f t="shared" si="27"/>
        <v>0</v>
      </c>
      <c r="M43">
        <f t="shared" si="28"/>
        <v>0</v>
      </c>
      <c r="N43">
        <f t="shared" si="29"/>
        <v>0</v>
      </c>
      <c r="O43">
        <f t="shared" si="30"/>
        <v>2015</v>
      </c>
      <c r="P43">
        <f t="shared" si="31"/>
        <v>0</v>
      </c>
      <c r="Q43">
        <f t="shared" si="32"/>
        <v>0</v>
      </c>
      <c r="R43">
        <f t="shared" si="33"/>
        <v>0</v>
      </c>
      <c r="S43">
        <f t="shared" si="34"/>
        <v>0</v>
      </c>
      <c r="T43">
        <f>COUNTIF('9a'!$K$22:$K$32, "Yes")+COUNTIF('9a'!$O$22:$O$32, "Yes")</f>
        <v>0</v>
      </c>
      <c r="U43" t="str">
        <f t="shared" si="35"/>
        <v>No Expenditures</v>
      </c>
      <c r="V43" t="str">
        <f t="shared" si="36"/>
        <v>No Expenditures</v>
      </c>
      <c r="W43">
        <f t="shared" si="37"/>
        <v>0</v>
      </c>
      <c r="X43" t="str">
        <f>'D-Risk'!$AO$25</f>
        <v>Insufficient Data</v>
      </c>
      <c r="Y43" t="str">
        <f>'D-Risk'!$AO$26</f>
        <v>Insufficient Data</v>
      </c>
      <c r="Z43" t="str">
        <f>'D-Risk'!$AO$27</f>
        <v>Uncalculated</v>
      </c>
      <c r="AA43">
        <f t="shared" si="38"/>
        <v>0</v>
      </c>
      <c r="AB43">
        <f t="shared" si="39"/>
        <v>0</v>
      </c>
      <c r="AC43" t="s">
        <v>2475</v>
      </c>
      <c r="AD43">
        <f t="shared" si="40"/>
        <v>2015</v>
      </c>
      <c r="AE43" t="str">
        <f>IF(Q12_Inv_Year3=0, "No Inventory", Q12_COGS_Year3/Q12_Inv_Year3)</f>
        <v>No Inventory</v>
      </c>
    </row>
    <row r="44" spans="1:31" x14ac:dyDescent="0.25">
      <c r="A44">
        <f t="shared" si="21"/>
        <v>0</v>
      </c>
      <c r="B44">
        <f t="shared" si="22"/>
        <v>0</v>
      </c>
      <c r="C44">
        <f t="shared" si="23"/>
        <v>0</v>
      </c>
      <c r="D44">
        <f t="shared" si="24"/>
        <v>0</v>
      </c>
      <c r="E44">
        <f t="shared" si="25"/>
        <v>0</v>
      </c>
      <c r="F44">
        <f>'D-RepLevel'!$F$2</f>
        <v>0</v>
      </c>
      <c r="G44">
        <f>'D-RepLevel'!$G$2</f>
        <v>0</v>
      </c>
      <c r="H44">
        <f t="shared" si="26"/>
        <v>0</v>
      </c>
      <c r="I44" t="str">
        <f>IF(ISERROR(INDEX('1b'!$C$5:$C$21, MATCH("Primary Business Line", '1b'!$H$5:$H$21, FALSE), 1)), "None Selected", INDEX('1b'!$C$5:$C$21, MATCH("Primary Business Line", '1b'!$H$5:$H$21, FALSE), 1))</f>
        <v>None Selected</v>
      </c>
      <c r="J44">
        <f>'D-3'!$J$2</f>
        <v>0</v>
      </c>
      <c r="K44">
        <f>COUNTIF('4a'!$E$6:$E$29, "Direct")+COUNTIF('4a'!$E$6:$E$29, "Indirect")+COUNTIF('4a'!$E$6:$E$29, "Both")</f>
        <v>0</v>
      </c>
      <c r="L44">
        <f t="shared" si="27"/>
        <v>0</v>
      </c>
      <c r="M44">
        <f t="shared" si="28"/>
        <v>0</v>
      </c>
      <c r="N44">
        <f t="shared" si="29"/>
        <v>0</v>
      </c>
      <c r="O44">
        <f t="shared" si="30"/>
        <v>2015</v>
      </c>
      <c r="P44">
        <f t="shared" si="31"/>
        <v>0</v>
      </c>
      <c r="Q44">
        <f t="shared" si="32"/>
        <v>0</v>
      </c>
      <c r="R44">
        <f t="shared" si="33"/>
        <v>0</v>
      </c>
      <c r="S44">
        <f t="shared" si="34"/>
        <v>0</v>
      </c>
      <c r="T44">
        <f>COUNTIF('9a'!$K$22:$K$32, "Yes")+COUNTIF('9a'!$O$22:$O$32, "Yes")</f>
        <v>0</v>
      </c>
      <c r="U44" t="str">
        <f t="shared" si="35"/>
        <v>No Expenditures</v>
      </c>
      <c r="V44" t="str">
        <f t="shared" si="36"/>
        <v>No Expenditures</v>
      </c>
      <c r="W44">
        <f t="shared" si="37"/>
        <v>0</v>
      </c>
      <c r="X44" t="str">
        <f>'D-Risk'!$AO$25</f>
        <v>Insufficient Data</v>
      </c>
      <c r="Y44" t="str">
        <f>'D-Risk'!$AO$26</f>
        <v>Insufficient Data</v>
      </c>
      <c r="Z44" t="str">
        <f>'D-Risk'!$AO$27</f>
        <v>Uncalculated</v>
      </c>
      <c r="AA44">
        <f t="shared" si="38"/>
        <v>0</v>
      </c>
      <c r="AB44">
        <f t="shared" si="39"/>
        <v>0</v>
      </c>
      <c r="AC44" t="s">
        <v>2476</v>
      </c>
      <c r="AD44">
        <f t="shared" si="40"/>
        <v>2015</v>
      </c>
      <c r="AE44" t="str">
        <f>IF(Q12_TotalAssets_Year3=0, "No Assets", Q12_TotalLiab_Year3/Q12_TotalAssets_Year3)</f>
        <v>No Assets</v>
      </c>
    </row>
    <row r="45" spans="1:31" x14ac:dyDescent="0.25">
      <c r="A45">
        <f t="shared" si="21"/>
        <v>0</v>
      </c>
      <c r="B45">
        <f t="shared" si="22"/>
        <v>0</v>
      </c>
      <c r="C45">
        <f t="shared" si="23"/>
        <v>0</v>
      </c>
      <c r="D45">
        <f t="shared" si="24"/>
        <v>0</v>
      </c>
      <c r="E45">
        <f t="shared" si="25"/>
        <v>0</v>
      </c>
      <c r="F45">
        <f>'D-RepLevel'!$F$2</f>
        <v>0</v>
      </c>
      <c r="G45">
        <f>'D-RepLevel'!$G$2</f>
        <v>0</v>
      </c>
      <c r="H45">
        <f t="shared" si="26"/>
        <v>0</v>
      </c>
      <c r="I45" t="str">
        <f>IF(ISERROR(INDEX('1b'!$C$5:$C$21, MATCH("Primary Business Line", '1b'!$H$5:$H$21, FALSE), 1)), "None Selected", INDEX('1b'!$C$5:$C$21, MATCH("Primary Business Line", '1b'!$H$5:$H$21, FALSE), 1))</f>
        <v>None Selected</v>
      </c>
      <c r="J45">
        <f>'D-3'!$J$2</f>
        <v>0</v>
      </c>
      <c r="K45">
        <f>COUNTIF('4a'!$E$6:$E$29, "Direct")+COUNTIF('4a'!$E$6:$E$29, "Indirect")+COUNTIF('4a'!$E$6:$E$29, "Both")</f>
        <v>0</v>
      </c>
      <c r="L45">
        <f t="shared" si="27"/>
        <v>0</v>
      </c>
      <c r="M45">
        <f t="shared" si="28"/>
        <v>0</v>
      </c>
      <c r="N45">
        <f t="shared" si="29"/>
        <v>0</v>
      </c>
      <c r="O45">
        <f t="shared" si="30"/>
        <v>2015</v>
      </c>
      <c r="P45">
        <f t="shared" si="31"/>
        <v>0</v>
      </c>
      <c r="Q45">
        <f t="shared" si="32"/>
        <v>0</v>
      </c>
      <c r="R45">
        <f t="shared" si="33"/>
        <v>0</v>
      </c>
      <c r="S45">
        <f t="shared" si="34"/>
        <v>0</v>
      </c>
      <c r="T45">
        <f>COUNTIF('9a'!$K$22:$K$32, "Yes")+COUNTIF('9a'!$O$22:$O$32, "Yes")</f>
        <v>0</v>
      </c>
      <c r="U45" t="str">
        <f t="shared" si="35"/>
        <v>No Expenditures</v>
      </c>
      <c r="V45" t="str">
        <f t="shared" si="36"/>
        <v>No Expenditures</v>
      </c>
      <c r="W45">
        <f t="shared" si="37"/>
        <v>0</v>
      </c>
      <c r="X45" t="str">
        <f>'D-Risk'!$AO$25</f>
        <v>Insufficient Data</v>
      </c>
      <c r="Y45" t="str">
        <f>'D-Risk'!$AO$26</f>
        <v>Insufficient Data</v>
      </c>
      <c r="Z45" t="str">
        <f>'D-Risk'!$AO$27</f>
        <v>Uncalculated</v>
      </c>
      <c r="AA45">
        <f t="shared" si="38"/>
        <v>0</v>
      </c>
      <c r="AB45">
        <f t="shared" si="39"/>
        <v>0</v>
      </c>
      <c r="AC45" t="s">
        <v>2477</v>
      </c>
      <c r="AD45">
        <f t="shared" si="40"/>
        <v>2015</v>
      </c>
      <c r="AE45" t="str">
        <f>IF(Q12_OwnersEq_Year3=0, "No Owner's Equity", Q12_TotalLiab_Year3/Q12_OwnersEq_Year3)</f>
        <v>No Owner's Equity</v>
      </c>
    </row>
    <row r="46" spans="1:31" x14ac:dyDescent="0.25">
      <c r="A46">
        <f t="shared" si="21"/>
        <v>0</v>
      </c>
      <c r="B46">
        <f t="shared" si="22"/>
        <v>0</v>
      </c>
      <c r="C46">
        <f t="shared" si="23"/>
        <v>0</v>
      </c>
      <c r="D46">
        <f t="shared" si="24"/>
        <v>0</v>
      </c>
      <c r="E46">
        <f t="shared" si="25"/>
        <v>0</v>
      </c>
      <c r="F46">
        <f>'D-RepLevel'!$F$2</f>
        <v>0</v>
      </c>
      <c r="G46">
        <f>'D-RepLevel'!$G$2</f>
        <v>0</v>
      </c>
      <c r="H46">
        <f t="shared" si="26"/>
        <v>0</v>
      </c>
      <c r="I46" t="str">
        <f>IF(ISERROR(INDEX('1b'!$C$5:$C$21, MATCH("Primary Business Line", '1b'!$H$5:$H$21, FALSE), 1)), "None Selected", INDEX('1b'!$C$5:$C$21, MATCH("Primary Business Line", '1b'!$H$5:$H$21, FALSE), 1))</f>
        <v>None Selected</v>
      </c>
      <c r="J46">
        <f>'D-3'!$J$2</f>
        <v>0</v>
      </c>
      <c r="K46">
        <f>COUNTIF('4a'!$E$6:$E$29, "Direct")+COUNTIF('4a'!$E$6:$E$29, "Indirect")+COUNTIF('4a'!$E$6:$E$29, "Both")</f>
        <v>0</v>
      </c>
      <c r="L46">
        <f t="shared" si="27"/>
        <v>0</v>
      </c>
      <c r="M46">
        <f t="shared" si="28"/>
        <v>0</v>
      </c>
      <c r="N46">
        <f t="shared" si="29"/>
        <v>0</v>
      </c>
      <c r="O46">
        <f t="shared" si="30"/>
        <v>2015</v>
      </c>
      <c r="P46">
        <f t="shared" si="31"/>
        <v>0</v>
      </c>
      <c r="Q46">
        <f t="shared" si="32"/>
        <v>0</v>
      </c>
      <c r="R46">
        <f t="shared" si="33"/>
        <v>0</v>
      </c>
      <c r="S46">
        <f t="shared" si="34"/>
        <v>0</v>
      </c>
      <c r="T46">
        <f>COUNTIF('9a'!$K$22:$K$32, "Yes")+COUNTIF('9a'!$O$22:$O$32, "Yes")</f>
        <v>0</v>
      </c>
      <c r="U46" t="str">
        <f t="shared" si="35"/>
        <v>No Expenditures</v>
      </c>
      <c r="V46" t="str">
        <f t="shared" si="36"/>
        <v>No Expenditures</v>
      </c>
      <c r="W46">
        <f t="shared" si="37"/>
        <v>0</v>
      </c>
      <c r="X46" t="str">
        <f>'D-Risk'!$AO$25</f>
        <v>Insufficient Data</v>
      </c>
      <c r="Y46" t="str">
        <f>'D-Risk'!$AO$26</f>
        <v>Insufficient Data</v>
      </c>
      <c r="Z46" t="str">
        <f>'D-Risk'!$AO$27</f>
        <v>Uncalculated</v>
      </c>
      <c r="AA46">
        <f t="shared" si="38"/>
        <v>0</v>
      </c>
      <c r="AB46">
        <f t="shared" si="39"/>
        <v>0</v>
      </c>
      <c r="AC46" t="s">
        <v>2478</v>
      </c>
      <c r="AD46">
        <f t="shared" si="40"/>
        <v>2015</v>
      </c>
      <c r="AE46" t="str">
        <f>IF(Q12_OwnersEq_Year3=0, "No Owner's Equity", Q12_TotalAssets_Year3/Q12_OwnersEq_Year3)</f>
        <v>No Owner's Equity</v>
      </c>
    </row>
    <row r="47" spans="1:31" x14ac:dyDescent="0.25">
      <c r="A47">
        <f t="shared" si="21"/>
        <v>0</v>
      </c>
      <c r="B47">
        <f t="shared" si="22"/>
        <v>0</v>
      </c>
      <c r="C47">
        <f t="shared" si="23"/>
        <v>0</v>
      </c>
      <c r="D47">
        <f t="shared" si="24"/>
        <v>0</v>
      </c>
      <c r="E47">
        <f t="shared" si="25"/>
        <v>0</v>
      </c>
      <c r="F47">
        <f>'D-RepLevel'!$F$2</f>
        <v>0</v>
      </c>
      <c r="G47">
        <f>'D-RepLevel'!$G$2</f>
        <v>0</v>
      </c>
      <c r="H47">
        <f t="shared" si="26"/>
        <v>0</v>
      </c>
      <c r="I47" t="str">
        <f>IF(ISERROR(INDEX('1b'!$C$5:$C$21, MATCH("Primary Business Line", '1b'!$H$5:$H$21, FALSE), 1)), "None Selected", INDEX('1b'!$C$5:$C$21, MATCH("Primary Business Line", '1b'!$H$5:$H$21, FALSE), 1))</f>
        <v>None Selected</v>
      </c>
      <c r="J47">
        <f>'D-3'!$J$2</f>
        <v>0</v>
      </c>
      <c r="K47">
        <f>COUNTIF('4a'!$E$6:$E$29, "Direct")+COUNTIF('4a'!$E$6:$E$29, "Indirect")+COUNTIF('4a'!$E$6:$E$29, "Both")</f>
        <v>0</v>
      </c>
      <c r="L47">
        <f t="shared" si="27"/>
        <v>0</v>
      </c>
      <c r="M47">
        <f t="shared" si="28"/>
        <v>0</v>
      </c>
      <c r="N47">
        <f t="shared" si="29"/>
        <v>0</v>
      </c>
      <c r="O47">
        <f t="shared" si="30"/>
        <v>2015</v>
      </c>
      <c r="P47">
        <f t="shared" si="31"/>
        <v>0</v>
      </c>
      <c r="Q47">
        <f t="shared" si="32"/>
        <v>0</v>
      </c>
      <c r="R47">
        <f t="shared" si="33"/>
        <v>0</v>
      </c>
      <c r="S47">
        <f t="shared" si="34"/>
        <v>0</v>
      </c>
      <c r="T47">
        <f>COUNTIF('9a'!$K$22:$K$32, "Yes")+COUNTIF('9a'!$O$22:$O$32, "Yes")</f>
        <v>0</v>
      </c>
      <c r="U47" t="str">
        <f t="shared" si="35"/>
        <v>No Expenditures</v>
      </c>
      <c r="V47" t="str">
        <f t="shared" si="36"/>
        <v>No Expenditures</v>
      </c>
      <c r="W47">
        <f t="shared" si="37"/>
        <v>0</v>
      </c>
      <c r="X47" t="str">
        <f>'D-Risk'!$AO$25</f>
        <v>Insufficient Data</v>
      </c>
      <c r="Y47" t="str">
        <f>'D-Risk'!$AO$26</f>
        <v>Insufficient Data</v>
      </c>
      <c r="Z47" t="str">
        <f>'D-Risk'!$AO$27</f>
        <v>Uncalculated</v>
      </c>
      <c r="AA47">
        <f t="shared" si="38"/>
        <v>0</v>
      </c>
      <c r="AB47">
        <f t="shared" si="39"/>
        <v>0</v>
      </c>
      <c r="AC47" t="s">
        <v>2479</v>
      </c>
      <c r="AD47">
        <f t="shared" si="40"/>
        <v>2015</v>
      </c>
      <c r="AE47" t="str">
        <f>IF(Q12_NetSales_Year3=0, "No Sales", Q12_NetInc_Year3/Q12_NetSales_Year3)</f>
        <v>No Sales</v>
      </c>
    </row>
    <row r="48" spans="1:31" x14ac:dyDescent="0.25">
      <c r="A48">
        <f t="shared" si="21"/>
        <v>0</v>
      </c>
      <c r="B48">
        <f t="shared" si="22"/>
        <v>0</v>
      </c>
      <c r="C48">
        <f t="shared" si="23"/>
        <v>0</v>
      </c>
      <c r="D48">
        <f t="shared" si="24"/>
        <v>0</v>
      </c>
      <c r="E48">
        <f t="shared" si="25"/>
        <v>0</v>
      </c>
      <c r="F48">
        <f>'D-RepLevel'!$F$2</f>
        <v>0</v>
      </c>
      <c r="G48">
        <f>'D-RepLevel'!$G$2</f>
        <v>0</v>
      </c>
      <c r="H48">
        <f t="shared" si="26"/>
        <v>0</v>
      </c>
      <c r="I48" t="str">
        <f>IF(ISERROR(INDEX('1b'!$C$5:$C$21, MATCH("Primary Business Line", '1b'!$H$5:$H$21, FALSE), 1)), "None Selected", INDEX('1b'!$C$5:$C$21, MATCH("Primary Business Line", '1b'!$H$5:$H$21, FALSE), 1))</f>
        <v>None Selected</v>
      </c>
      <c r="J48">
        <f>'D-3'!$J$2</f>
        <v>0</v>
      </c>
      <c r="K48">
        <f>COUNTIF('4a'!$E$6:$E$29, "Direct")+COUNTIF('4a'!$E$6:$E$29, "Indirect")+COUNTIF('4a'!$E$6:$E$29, "Both")</f>
        <v>0</v>
      </c>
      <c r="L48">
        <f t="shared" si="27"/>
        <v>0</v>
      </c>
      <c r="M48">
        <f t="shared" si="28"/>
        <v>0</v>
      </c>
      <c r="N48">
        <f t="shared" si="29"/>
        <v>0</v>
      </c>
      <c r="O48">
        <f t="shared" si="30"/>
        <v>2015</v>
      </c>
      <c r="P48">
        <f t="shared" si="31"/>
        <v>0</v>
      </c>
      <c r="Q48">
        <f t="shared" si="32"/>
        <v>0</v>
      </c>
      <c r="R48">
        <f t="shared" si="33"/>
        <v>0</v>
      </c>
      <c r="S48">
        <f t="shared" si="34"/>
        <v>0</v>
      </c>
      <c r="T48">
        <f>COUNTIF('9a'!$K$22:$K$32, "Yes")+COUNTIF('9a'!$O$22:$O$32, "Yes")</f>
        <v>0</v>
      </c>
      <c r="U48" t="str">
        <f t="shared" si="35"/>
        <v>No Expenditures</v>
      </c>
      <c r="V48" t="str">
        <f t="shared" si="36"/>
        <v>No Expenditures</v>
      </c>
      <c r="W48">
        <f t="shared" si="37"/>
        <v>0</v>
      </c>
      <c r="X48" t="str">
        <f>'D-Risk'!$AO$25</f>
        <v>Insufficient Data</v>
      </c>
      <c r="Y48" t="str">
        <f>'D-Risk'!$AO$26</f>
        <v>Insufficient Data</v>
      </c>
      <c r="Z48" t="str">
        <f>'D-Risk'!$AO$27</f>
        <v>Uncalculated</v>
      </c>
      <c r="AA48">
        <f t="shared" si="38"/>
        <v>0</v>
      </c>
      <c r="AB48">
        <f t="shared" si="39"/>
        <v>0</v>
      </c>
      <c r="AC48" t="s">
        <v>2480</v>
      </c>
      <c r="AD48">
        <f t="shared" si="40"/>
        <v>2015</v>
      </c>
      <c r="AE48" t="str">
        <f>IF(Q12_TotalAssets_Year3=0, "No Assets", Q12_NetInc_Year3/Q12_TotalAssets_Year3)</f>
        <v>No Assets</v>
      </c>
    </row>
    <row r="49" spans="1:31" x14ac:dyDescent="0.25">
      <c r="A49">
        <f t="shared" si="21"/>
        <v>0</v>
      </c>
      <c r="B49">
        <f t="shared" si="22"/>
        <v>0</v>
      </c>
      <c r="C49">
        <f t="shared" si="23"/>
        <v>0</v>
      </c>
      <c r="D49">
        <f t="shared" si="24"/>
        <v>0</v>
      </c>
      <c r="E49">
        <f t="shared" si="25"/>
        <v>0</v>
      </c>
      <c r="F49">
        <f>'D-RepLevel'!$F$2</f>
        <v>0</v>
      </c>
      <c r="G49">
        <f>'D-RepLevel'!$G$2</f>
        <v>0</v>
      </c>
      <c r="H49">
        <f t="shared" si="26"/>
        <v>0</v>
      </c>
      <c r="I49" t="str">
        <f>IF(ISERROR(INDEX('1b'!$C$5:$C$21, MATCH("Primary Business Line", '1b'!$H$5:$H$21, FALSE), 1)), "None Selected", INDEX('1b'!$C$5:$C$21, MATCH("Primary Business Line", '1b'!$H$5:$H$21, FALSE), 1))</f>
        <v>None Selected</v>
      </c>
      <c r="J49">
        <f>'D-3'!$J$2</f>
        <v>0</v>
      </c>
      <c r="K49">
        <f>COUNTIF('4a'!$E$6:$E$29, "Direct")+COUNTIF('4a'!$E$6:$E$29, "Indirect")+COUNTIF('4a'!$E$6:$E$29, "Both")</f>
        <v>0</v>
      </c>
      <c r="L49">
        <f t="shared" si="27"/>
        <v>0</v>
      </c>
      <c r="M49">
        <f t="shared" si="28"/>
        <v>0</v>
      </c>
      <c r="N49">
        <f t="shared" si="29"/>
        <v>0</v>
      </c>
      <c r="O49">
        <f t="shared" si="30"/>
        <v>2015</v>
      </c>
      <c r="P49">
        <f t="shared" si="31"/>
        <v>0</v>
      </c>
      <c r="Q49">
        <f t="shared" si="32"/>
        <v>0</v>
      </c>
      <c r="R49">
        <f t="shared" si="33"/>
        <v>0</v>
      </c>
      <c r="S49">
        <f t="shared" si="34"/>
        <v>0</v>
      </c>
      <c r="T49">
        <f>COUNTIF('9a'!$K$22:$K$32, "Yes")+COUNTIF('9a'!$O$22:$O$32, "Yes")</f>
        <v>0</v>
      </c>
      <c r="U49" t="str">
        <f t="shared" si="35"/>
        <v>No Expenditures</v>
      </c>
      <c r="V49" t="str">
        <f t="shared" si="36"/>
        <v>No Expenditures</v>
      </c>
      <c r="W49">
        <f t="shared" si="37"/>
        <v>0</v>
      </c>
      <c r="X49" t="str">
        <f>'D-Risk'!$AO$25</f>
        <v>Insufficient Data</v>
      </c>
      <c r="Y49" t="str">
        <f>'D-Risk'!$AO$26</f>
        <v>Insufficient Data</v>
      </c>
      <c r="Z49" t="str">
        <f>'D-Risk'!$AO$27</f>
        <v>Uncalculated</v>
      </c>
      <c r="AA49">
        <f t="shared" si="38"/>
        <v>0</v>
      </c>
      <c r="AB49">
        <f t="shared" si="39"/>
        <v>0</v>
      </c>
      <c r="AC49" t="s">
        <v>2481</v>
      </c>
      <c r="AD49">
        <f t="shared" si="40"/>
        <v>2015</v>
      </c>
      <c r="AE49" t="str">
        <f>IF(Q12_TotalAssets_Year3=0, "No Assets", Q12_EBIT_Year3/Q12_TotalAssets_Year3)</f>
        <v>No Assets</v>
      </c>
    </row>
    <row r="50" spans="1:31" x14ac:dyDescent="0.25">
      <c r="A50">
        <f t="shared" si="21"/>
        <v>0</v>
      </c>
      <c r="B50">
        <f t="shared" si="22"/>
        <v>0</v>
      </c>
      <c r="C50">
        <f t="shared" si="23"/>
        <v>0</v>
      </c>
      <c r="D50">
        <f t="shared" si="24"/>
        <v>0</v>
      </c>
      <c r="E50">
        <f t="shared" si="25"/>
        <v>0</v>
      </c>
      <c r="F50">
        <f>'D-RepLevel'!$F$2</f>
        <v>0</v>
      </c>
      <c r="G50">
        <f>'D-RepLevel'!$G$2</f>
        <v>0</v>
      </c>
      <c r="H50">
        <f t="shared" si="26"/>
        <v>0</v>
      </c>
      <c r="I50" t="str">
        <f>IF(ISERROR(INDEX('1b'!$C$5:$C$21, MATCH("Primary Business Line", '1b'!$H$5:$H$21, FALSE), 1)), "None Selected", INDEX('1b'!$C$5:$C$21, MATCH("Primary Business Line", '1b'!$H$5:$H$21, FALSE), 1))</f>
        <v>None Selected</v>
      </c>
      <c r="J50">
        <f>'D-3'!$J$2</f>
        <v>0</v>
      </c>
      <c r="K50">
        <f>COUNTIF('4a'!$E$6:$E$29, "Direct")+COUNTIF('4a'!$E$6:$E$29, "Indirect")+COUNTIF('4a'!$E$6:$E$29, "Both")</f>
        <v>0</v>
      </c>
      <c r="L50">
        <f t="shared" si="27"/>
        <v>0</v>
      </c>
      <c r="M50">
        <f t="shared" si="28"/>
        <v>0</v>
      </c>
      <c r="N50">
        <f t="shared" si="29"/>
        <v>0</v>
      </c>
      <c r="O50">
        <f t="shared" si="30"/>
        <v>2015</v>
      </c>
      <c r="P50">
        <f t="shared" si="31"/>
        <v>0</v>
      </c>
      <c r="Q50">
        <f t="shared" si="32"/>
        <v>0</v>
      </c>
      <c r="R50">
        <f t="shared" si="33"/>
        <v>0</v>
      </c>
      <c r="S50">
        <f t="shared" si="34"/>
        <v>0</v>
      </c>
      <c r="T50">
        <f>COUNTIF('9a'!$K$22:$K$32, "Yes")+COUNTIF('9a'!$O$22:$O$32, "Yes")</f>
        <v>0</v>
      </c>
      <c r="U50" t="str">
        <f t="shared" si="35"/>
        <v>No Expenditures</v>
      </c>
      <c r="V50" t="str">
        <f t="shared" si="36"/>
        <v>No Expenditures</v>
      </c>
      <c r="W50">
        <f t="shared" si="37"/>
        <v>0</v>
      </c>
      <c r="X50" t="str">
        <f>'D-Risk'!$AO$25</f>
        <v>Insufficient Data</v>
      </c>
      <c r="Y50" t="str">
        <f>'D-Risk'!$AO$26</f>
        <v>Insufficient Data</v>
      </c>
      <c r="Z50" t="str">
        <f>'D-Risk'!$AO$27</f>
        <v>Uncalculated</v>
      </c>
      <c r="AA50">
        <f t="shared" si="38"/>
        <v>0</v>
      </c>
      <c r="AB50">
        <f t="shared" si="39"/>
        <v>0</v>
      </c>
      <c r="AC50" t="s">
        <v>2482</v>
      </c>
      <c r="AD50">
        <f t="shared" si="40"/>
        <v>2015</v>
      </c>
      <c r="AE50" t="str">
        <f>IF(Q12_OwnersEq_Year3=0, "No Owner's Equity", Q12_NetInc_Year3/Q12_OwnersEq_Year3)</f>
        <v>No Owner's Equity</v>
      </c>
    </row>
    <row r="51" spans="1:31" x14ac:dyDescent="0.25">
      <c r="A51">
        <f t="shared" si="21"/>
        <v>0</v>
      </c>
      <c r="B51">
        <f t="shared" si="22"/>
        <v>0</v>
      </c>
      <c r="C51">
        <f t="shared" si="23"/>
        <v>0</v>
      </c>
      <c r="D51">
        <f t="shared" si="24"/>
        <v>0</v>
      </c>
      <c r="E51">
        <f t="shared" si="25"/>
        <v>0</v>
      </c>
      <c r="F51">
        <f>'D-RepLevel'!$F$2</f>
        <v>0</v>
      </c>
      <c r="G51">
        <f>'D-RepLevel'!$G$2</f>
        <v>0</v>
      </c>
      <c r="H51">
        <f t="shared" si="26"/>
        <v>0</v>
      </c>
      <c r="I51" t="str">
        <f>IF(ISERROR(INDEX('1b'!$C$5:$C$21, MATCH("Primary Business Line", '1b'!$H$5:$H$21, FALSE), 1)), "None Selected", INDEX('1b'!$C$5:$C$21, MATCH("Primary Business Line", '1b'!$H$5:$H$21, FALSE), 1))</f>
        <v>None Selected</v>
      </c>
      <c r="J51">
        <f>'D-3'!$J$2</f>
        <v>0</v>
      </c>
      <c r="K51">
        <f>COUNTIF('4a'!$E$6:$E$29, "Direct")+COUNTIF('4a'!$E$6:$E$29, "Indirect")+COUNTIF('4a'!$E$6:$E$29, "Both")</f>
        <v>0</v>
      </c>
      <c r="L51">
        <f t="shared" si="27"/>
        <v>0</v>
      </c>
      <c r="M51">
        <f t="shared" si="28"/>
        <v>0</v>
      </c>
      <c r="N51">
        <f t="shared" si="29"/>
        <v>0</v>
      </c>
      <c r="O51">
        <f t="shared" si="30"/>
        <v>2015</v>
      </c>
      <c r="P51">
        <f t="shared" si="31"/>
        <v>0</v>
      </c>
      <c r="Q51">
        <f t="shared" si="32"/>
        <v>0</v>
      </c>
      <c r="R51">
        <f t="shared" si="33"/>
        <v>0</v>
      </c>
      <c r="S51">
        <f t="shared" si="34"/>
        <v>0</v>
      </c>
      <c r="T51">
        <f>COUNTIF('9a'!$K$22:$K$32, "Yes")+COUNTIF('9a'!$O$22:$O$32, "Yes")</f>
        <v>0</v>
      </c>
      <c r="U51" t="str">
        <f t="shared" si="35"/>
        <v>No Expenditures</v>
      </c>
      <c r="V51" t="str">
        <f t="shared" si="36"/>
        <v>No Expenditures</v>
      </c>
      <c r="W51">
        <f t="shared" si="37"/>
        <v>0</v>
      </c>
      <c r="X51" t="str">
        <f>'D-Risk'!$AO$25</f>
        <v>Insufficient Data</v>
      </c>
      <c r="Y51" t="str">
        <f>'D-Risk'!$AO$26</f>
        <v>Insufficient Data</v>
      </c>
      <c r="Z51" t="str">
        <f>'D-Risk'!$AO$27</f>
        <v>Uncalculated</v>
      </c>
      <c r="AA51">
        <f t="shared" si="38"/>
        <v>0</v>
      </c>
      <c r="AB51">
        <f t="shared" si="39"/>
        <v>0</v>
      </c>
      <c r="AC51" t="s">
        <v>2483</v>
      </c>
      <c r="AD51">
        <f t="shared" si="40"/>
        <v>2015</v>
      </c>
      <c r="AE51" t="str">
        <f>IF(Q12_NetSales_Year3=0,"No Sales",(Q12_NetSales_Year3-Q12_COGS_Year3)/Q12_NetSales_Year3)</f>
        <v>No Sales</v>
      </c>
    </row>
    <row r="52" spans="1:31" x14ac:dyDescent="0.25">
      <c r="A52">
        <f t="shared" si="21"/>
        <v>0</v>
      </c>
      <c r="B52">
        <f t="shared" si="22"/>
        <v>0</v>
      </c>
      <c r="C52">
        <f t="shared" si="23"/>
        <v>0</v>
      </c>
      <c r="D52">
        <f t="shared" si="24"/>
        <v>0</v>
      </c>
      <c r="E52">
        <f t="shared" si="25"/>
        <v>0</v>
      </c>
      <c r="F52">
        <f>'D-RepLevel'!$F$2</f>
        <v>0</v>
      </c>
      <c r="G52">
        <f>'D-RepLevel'!$G$2</f>
        <v>0</v>
      </c>
      <c r="H52">
        <f t="shared" si="26"/>
        <v>0</v>
      </c>
      <c r="I52" t="str">
        <f>IF(ISERROR(INDEX('1b'!$C$5:$C$21, MATCH("Primary Business Line", '1b'!$H$5:$H$21, FALSE), 1)), "None Selected", INDEX('1b'!$C$5:$C$21, MATCH("Primary Business Line", '1b'!$H$5:$H$21, FALSE), 1))</f>
        <v>None Selected</v>
      </c>
      <c r="J52">
        <f>'D-3'!$J$2</f>
        <v>0</v>
      </c>
      <c r="K52">
        <f>COUNTIF('4a'!$E$6:$E$29, "Direct")+COUNTIF('4a'!$E$6:$E$29, "Indirect")+COUNTIF('4a'!$E$6:$E$29, "Both")</f>
        <v>0</v>
      </c>
      <c r="L52">
        <f t="shared" si="27"/>
        <v>0</v>
      </c>
      <c r="M52">
        <f t="shared" si="28"/>
        <v>0</v>
      </c>
      <c r="N52">
        <f t="shared" si="29"/>
        <v>0</v>
      </c>
      <c r="O52">
        <f t="shared" si="30"/>
        <v>2015</v>
      </c>
      <c r="P52">
        <f t="shared" si="31"/>
        <v>0</v>
      </c>
      <c r="Q52">
        <f t="shared" si="32"/>
        <v>0</v>
      </c>
      <c r="R52">
        <f t="shared" si="33"/>
        <v>0</v>
      </c>
      <c r="S52">
        <f t="shared" si="34"/>
        <v>0</v>
      </c>
      <c r="T52">
        <f>COUNTIF('9a'!$K$22:$K$32, "Yes")+COUNTIF('9a'!$O$22:$O$32, "Yes")</f>
        <v>0</v>
      </c>
      <c r="U52" t="str">
        <f t="shared" si="35"/>
        <v>No Expenditures</v>
      </c>
      <c r="V52" t="str">
        <f t="shared" si="36"/>
        <v>No Expenditures</v>
      </c>
      <c r="W52">
        <f t="shared" si="37"/>
        <v>0</v>
      </c>
      <c r="X52" t="str">
        <f>'D-Risk'!$AO$25</f>
        <v>Insufficient Data</v>
      </c>
      <c r="Y52" t="str">
        <f>'D-Risk'!$AO$26</f>
        <v>Insufficient Data</v>
      </c>
      <c r="Z52" t="str">
        <f>'D-Risk'!$AO$27</f>
        <v>Uncalculated</v>
      </c>
      <c r="AA52">
        <f t="shared" si="38"/>
        <v>0</v>
      </c>
      <c r="AB52">
        <f t="shared" si="39"/>
        <v>0</v>
      </c>
      <c r="AC52" t="s">
        <v>2484</v>
      </c>
      <c r="AD52">
        <f t="shared" si="40"/>
        <v>2015</v>
      </c>
      <c r="AE52" t="str">
        <f>IF(ISERROR(((Q12_CurrentAssets_Year3-Q12_CurrentLiab_Year3)/Q12_TotalAssets_Year3)*0.717+(Q12_RetainedEarn_Year3/Q12_TotalAssets_Year3)*0.847+(Q12_EBIT_Year3/Q12_TotalAssets_Year3)*3.107+(Q12_OwnersEq_Year3/Q12_TotalLiab_Year3)*0.42+(Q12_NetSales_Year3/Q12_TotalAssets_Year3)*0.998), "Insufficient Data", ((Q12_CurrentAssets_Year3-Q12_CurrentLiab_Year3)/Q12_TotalAssets_Year3)*0.717+(Q12_RetainedEarn_Year3/Q12_TotalAssets_Year3)*0.847+(Q12_EBIT_Year3/Q12_TotalAssets_Year3)*3.107+(Q12_OwnersEq_Year3/Q12_TotalLiab_Year3)*0.42+(Q12_NetSales_Year3/Q12_TotalAssets_Year3)*0.998)</f>
        <v>Insufficient Data</v>
      </c>
    </row>
    <row r="53" spans="1:31" x14ac:dyDescent="0.25">
      <c r="A53">
        <f t="shared" si="21"/>
        <v>0</v>
      </c>
      <c r="B53">
        <f t="shared" si="22"/>
        <v>0</v>
      </c>
      <c r="C53">
        <f t="shared" si="23"/>
        <v>0</v>
      </c>
      <c r="D53">
        <f t="shared" si="24"/>
        <v>0</v>
      </c>
      <c r="E53">
        <f t="shared" si="25"/>
        <v>0</v>
      </c>
      <c r="F53">
        <f>'D-RepLevel'!$F$2</f>
        <v>0</v>
      </c>
      <c r="G53">
        <f>'D-RepLevel'!$G$2</f>
        <v>0</v>
      </c>
      <c r="H53">
        <f t="shared" si="26"/>
        <v>0</v>
      </c>
      <c r="I53" t="str">
        <f>IF(ISERROR(INDEX('1b'!$C$5:$C$21, MATCH("Primary Business Line", '1b'!$H$5:$H$21, FALSE), 1)), "None Selected", INDEX('1b'!$C$5:$C$21, MATCH("Primary Business Line", '1b'!$H$5:$H$21, FALSE), 1))</f>
        <v>None Selected</v>
      </c>
      <c r="J53">
        <f>'D-3'!$J$2</f>
        <v>0</v>
      </c>
      <c r="K53">
        <f>COUNTIF('4a'!$E$6:$E$29, "Direct")+COUNTIF('4a'!$E$6:$E$29, "Indirect")+COUNTIF('4a'!$E$6:$E$29, "Both")</f>
        <v>0</v>
      </c>
      <c r="L53">
        <f t="shared" si="27"/>
        <v>0</v>
      </c>
      <c r="M53">
        <f t="shared" si="28"/>
        <v>0</v>
      </c>
      <c r="N53">
        <f t="shared" si="29"/>
        <v>0</v>
      </c>
      <c r="O53">
        <f t="shared" si="30"/>
        <v>2015</v>
      </c>
      <c r="P53">
        <f t="shared" si="31"/>
        <v>0</v>
      </c>
      <c r="Q53">
        <f t="shared" si="32"/>
        <v>0</v>
      </c>
      <c r="R53">
        <f t="shared" si="33"/>
        <v>0</v>
      </c>
      <c r="S53">
        <f t="shared" si="34"/>
        <v>0</v>
      </c>
      <c r="T53">
        <f>COUNTIF('9a'!$K$22:$K$32, "Yes")+COUNTIF('9a'!$O$22:$O$32, "Yes")</f>
        <v>0</v>
      </c>
      <c r="U53" t="str">
        <f t="shared" si="35"/>
        <v>No Expenditures</v>
      </c>
      <c r="V53" t="str">
        <f t="shared" si="36"/>
        <v>No Expenditures</v>
      </c>
      <c r="W53">
        <f t="shared" si="37"/>
        <v>0</v>
      </c>
      <c r="X53" t="str">
        <f>'D-Risk'!$AO$25</f>
        <v>Insufficient Data</v>
      </c>
      <c r="Y53" t="str">
        <f>'D-Risk'!$AO$26</f>
        <v>Insufficient Data</v>
      </c>
      <c r="Z53" t="str">
        <f>'D-Risk'!$AO$27</f>
        <v>Uncalculated</v>
      </c>
      <c r="AA53">
        <f t="shared" si="38"/>
        <v>0</v>
      </c>
      <c r="AB53">
        <f t="shared" si="39"/>
        <v>0</v>
      </c>
      <c r="AC53" t="s">
        <v>2485</v>
      </c>
      <c r="AD53">
        <f t="shared" si="40"/>
        <v>2015</v>
      </c>
      <c r="AE53" t="str">
        <f>IF(ISERROR(((Q12_CurrentAssets_Year3-Q12_CurrentLiab_Year3)/Q12_TotalAssets_Year3)*6.56+(Q12_RetainedEarn_Year3/Q12_TotalAssets_Year3)*3.26+(Q12_EBIT_Year3/Q12_TotalAssets_Year3)*6.72+(Q12_OwnersEq_Year3/Q12_TotalLiab_Year3)*1.05), "Insufficient Data", ((Q12_CurrentAssets_Year3-Q12_CurrentLiab_Year3)/Q12_TotalAssets_Year3)*6.56+(Q12_RetainedEarn_Year3/Q12_TotalAssets_Year3)*3.26+(Q12_EBIT_Year3/Q12_TotalAssets_Year3)*6.72+(Q12_OwnersEq_Year3/Q12_TotalLiab_Year3)*1.05)</f>
        <v>Insufficient Data</v>
      </c>
    </row>
    <row r="54" spans="1:31" x14ac:dyDescent="0.25">
      <c r="A54">
        <f t="shared" si="21"/>
        <v>0</v>
      </c>
      <c r="B54">
        <f t="shared" si="22"/>
        <v>0</v>
      </c>
      <c r="C54">
        <f t="shared" si="23"/>
        <v>0</v>
      </c>
      <c r="D54">
        <f t="shared" si="24"/>
        <v>0</v>
      </c>
      <c r="E54">
        <f t="shared" si="25"/>
        <v>0</v>
      </c>
      <c r="F54">
        <f>'D-RepLevel'!$F$2</f>
        <v>0</v>
      </c>
      <c r="G54">
        <f>'D-RepLevel'!$G$2</f>
        <v>0</v>
      </c>
      <c r="H54">
        <f t="shared" si="26"/>
        <v>0</v>
      </c>
      <c r="I54" t="str">
        <f>IF(ISERROR(INDEX('1b'!$C$5:$C$21, MATCH("Primary Business Line", '1b'!$H$5:$H$21, FALSE), 1)), "None Selected", INDEX('1b'!$C$5:$C$21, MATCH("Primary Business Line", '1b'!$H$5:$H$21, FALSE), 1))</f>
        <v>None Selected</v>
      </c>
      <c r="J54">
        <f>'D-3'!$J$2</f>
        <v>0</v>
      </c>
      <c r="K54">
        <f>COUNTIF('4a'!$E$6:$E$29, "Direct")+COUNTIF('4a'!$E$6:$E$29, "Indirect")+COUNTIF('4a'!$E$6:$E$29, "Both")</f>
        <v>0</v>
      </c>
      <c r="L54">
        <f t="shared" si="27"/>
        <v>0</v>
      </c>
      <c r="M54">
        <f t="shared" si="28"/>
        <v>0</v>
      </c>
      <c r="N54">
        <f t="shared" si="29"/>
        <v>0</v>
      </c>
      <c r="O54">
        <f t="shared" si="30"/>
        <v>2015</v>
      </c>
      <c r="P54">
        <f t="shared" si="31"/>
        <v>0</v>
      </c>
      <c r="Q54">
        <f t="shared" si="32"/>
        <v>0</v>
      </c>
      <c r="R54">
        <f t="shared" si="33"/>
        <v>0</v>
      </c>
      <c r="S54">
        <f t="shared" si="34"/>
        <v>0</v>
      </c>
      <c r="T54">
        <f>COUNTIF('9a'!$K$22:$K$32, "Yes")+COUNTIF('9a'!$O$22:$O$32, "Yes")</f>
        <v>0</v>
      </c>
      <c r="U54" t="str">
        <f t="shared" si="35"/>
        <v>No Expenditures</v>
      </c>
      <c r="V54" t="str">
        <f t="shared" si="36"/>
        <v>No Expenditures</v>
      </c>
      <c r="W54">
        <f t="shared" si="37"/>
        <v>0</v>
      </c>
      <c r="X54" t="str">
        <f>'D-Risk'!$AO$25</f>
        <v>Insufficient Data</v>
      </c>
      <c r="Y54" t="str">
        <f>'D-Risk'!$AO$26</f>
        <v>Insufficient Data</v>
      </c>
      <c r="Z54" t="str">
        <f>'D-Risk'!$AO$27</f>
        <v>Uncalculated</v>
      </c>
      <c r="AA54">
        <f t="shared" si="38"/>
        <v>0</v>
      </c>
      <c r="AB54">
        <f t="shared" si="39"/>
        <v>0</v>
      </c>
      <c r="AC54" t="s">
        <v>2486</v>
      </c>
      <c r="AD54">
        <f t="shared" si="40"/>
        <v>2015</v>
      </c>
      <c r="AE54" t="str">
        <f>IF(Q12_Inv_Year3=0, "No Inventory", Q12_NetSales_Year3/Q12_Inv_Year3)</f>
        <v>No Inventory</v>
      </c>
    </row>
    <row r="55" spans="1:31" x14ac:dyDescent="0.25">
      <c r="A55">
        <f t="shared" si="21"/>
        <v>0</v>
      </c>
      <c r="B55">
        <f t="shared" si="22"/>
        <v>0</v>
      </c>
      <c r="C55">
        <f t="shared" si="23"/>
        <v>0</v>
      </c>
      <c r="D55">
        <f t="shared" si="24"/>
        <v>0</v>
      </c>
      <c r="E55">
        <f t="shared" si="25"/>
        <v>0</v>
      </c>
      <c r="F55">
        <f>'D-RepLevel'!$F$2</f>
        <v>0</v>
      </c>
      <c r="G55">
        <f>'D-RepLevel'!$G$2</f>
        <v>0</v>
      </c>
      <c r="H55">
        <f t="shared" si="26"/>
        <v>0</v>
      </c>
      <c r="I55" t="str">
        <f>IF(ISERROR(INDEX('1b'!$C$5:$C$21, MATCH("Primary Business Line", '1b'!$H$5:$H$21, FALSE), 1)), "None Selected", INDEX('1b'!$C$5:$C$21, MATCH("Primary Business Line", '1b'!$H$5:$H$21, FALSE), 1))</f>
        <v>None Selected</v>
      </c>
      <c r="J55">
        <f>'D-3'!$J$2</f>
        <v>0</v>
      </c>
      <c r="K55">
        <f>COUNTIF('4a'!$E$6:$E$29, "Direct")+COUNTIF('4a'!$E$6:$E$29, "Indirect")+COUNTIF('4a'!$E$6:$E$29, "Both")</f>
        <v>0</v>
      </c>
      <c r="L55">
        <f t="shared" si="27"/>
        <v>0</v>
      </c>
      <c r="M55">
        <f t="shared" si="28"/>
        <v>0</v>
      </c>
      <c r="N55">
        <f t="shared" si="29"/>
        <v>0</v>
      </c>
      <c r="O55">
        <f t="shared" si="30"/>
        <v>2015</v>
      </c>
      <c r="P55">
        <f t="shared" si="31"/>
        <v>0</v>
      </c>
      <c r="Q55">
        <f t="shared" si="32"/>
        <v>0</v>
      </c>
      <c r="R55">
        <f t="shared" si="33"/>
        <v>0</v>
      </c>
      <c r="S55">
        <f t="shared" si="34"/>
        <v>0</v>
      </c>
      <c r="T55">
        <f>COUNTIF('9a'!$K$22:$K$32, "Yes")+COUNTIF('9a'!$O$22:$O$32, "Yes")</f>
        <v>0</v>
      </c>
      <c r="U55" t="str">
        <f t="shared" si="35"/>
        <v>No Expenditures</v>
      </c>
      <c r="V55" t="str">
        <f t="shared" si="36"/>
        <v>No Expenditures</v>
      </c>
      <c r="W55">
        <f t="shared" si="37"/>
        <v>0</v>
      </c>
      <c r="X55" t="str">
        <f>'D-Risk'!$AO$25</f>
        <v>Insufficient Data</v>
      </c>
      <c r="Y55" t="str">
        <f>'D-Risk'!$AO$26</f>
        <v>Insufficient Data</v>
      </c>
      <c r="Z55" t="str">
        <f>'D-Risk'!$AO$27</f>
        <v>Uncalculated</v>
      </c>
      <c r="AA55">
        <f t="shared" si="38"/>
        <v>0</v>
      </c>
      <c r="AB55">
        <f t="shared" si="39"/>
        <v>0</v>
      </c>
      <c r="AC55" t="s">
        <v>2487</v>
      </c>
      <c r="AD55">
        <f t="shared" si="40"/>
        <v>2015</v>
      </c>
      <c r="AE55" t="str">
        <f>IF(Q12_NetSales_Year3=0, "No Sales", Q12_OpInc_Year3/Q12_NetSales_Year3)</f>
        <v>No Sales</v>
      </c>
    </row>
    <row r="56" spans="1:31" x14ac:dyDescent="0.25">
      <c r="A56">
        <f t="shared" si="21"/>
        <v>0</v>
      </c>
      <c r="B56">
        <f t="shared" si="22"/>
        <v>0</v>
      </c>
      <c r="C56">
        <f t="shared" si="23"/>
        <v>0</v>
      </c>
      <c r="D56">
        <f t="shared" si="24"/>
        <v>0</v>
      </c>
      <c r="E56">
        <f t="shared" si="25"/>
        <v>0</v>
      </c>
      <c r="F56">
        <f>'D-RepLevel'!$F$2</f>
        <v>0</v>
      </c>
      <c r="G56">
        <f>'D-RepLevel'!$G$2</f>
        <v>0</v>
      </c>
      <c r="H56">
        <f t="shared" si="26"/>
        <v>0</v>
      </c>
      <c r="I56" t="str">
        <f>IF(ISERROR(INDEX('1b'!$C$5:$C$21, MATCH("Primary Business Line", '1b'!$H$5:$H$21, FALSE), 1)), "None Selected", INDEX('1b'!$C$5:$C$21, MATCH("Primary Business Line", '1b'!$H$5:$H$21, FALSE), 1))</f>
        <v>None Selected</v>
      </c>
      <c r="J56">
        <f>'D-3'!$J$2</f>
        <v>0</v>
      </c>
      <c r="K56">
        <f>COUNTIF('4a'!$E$6:$E$29, "Direct")+COUNTIF('4a'!$E$6:$E$29, "Indirect")+COUNTIF('4a'!$E$6:$E$29, "Both")</f>
        <v>0</v>
      </c>
      <c r="L56">
        <f t="shared" si="27"/>
        <v>0</v>
      </c>
      <c r="M56">
        <f t="shared" si="28"/>
        <v>0</v>
      </c>
      <c r="N56">
        <f t="shared" si="29"/>
        <v>0</v>
      </c>
      <c r="O56">
        <f t="shared" si="30"/>
        <v>2015</v>
      </c>
      <c r="P56">
        <f t="shared" si="31"/>
        <v>0</v>
      </c>
      <c r="Q56">
        <f t="shared" si="32"/>
        <v>0</v>
      </c>
      <c r="R56">
        <f t="shared" si="33"/>
        <v>0</v>
      </c>
      <c r="S56">
        <f t="shared" si="34"/>
        <v>0</v>
      </c>
      <c r="T56">
        <f>COUNTIF('9a'!$K$22:$K$32, "Yes")+COUNTIF('9a'!$O$22:$O$32, "Yes")</f>
        <v>0</v>
      </c>
      <c r="U56" t="str">
        <f t="shared" si="35"/>
        <v>No Expenditures</v>
      </c>
      <c r="V56" t="str">
        <f t="shared" si="36"/>
        <v>No Expenditures</v>
      </c>
      <c r="W56">
        <f t="shared" si="37"/>
        <v>0</v>
      </c>
      <c r="X56" t="str">
        <f>'D-Risk'!$AO$25</f>
        <v>Insufficient Data</v>
      </c>
      <c r="Y56" t="str">
        <f>'D-Risk'!$AO$26</f>
        <v>Insufficient Data</v>
      </c>
      <c r="Z56" t="str">
        <f>'D-Risk'!$AO$27</f>
        <v>Uncalculated</v>
      </c>
      <c r="AA56">
        <f t="shared" si="38"/>
        <v>0</v>
      </c>
      <c r="AB56">
        <f t="shared" si="39"/>
        <v>0</v>
      </c>
      <c r="AC56" t="s">
        <v>2488</v>
      </c>
      <c r="AD56">
        <f t="shared" si="40"/>
        <v>2015</v>
      </c>
      <c r="AE56" t="str">
        <f>IF(Q12_NetSales_Year3=0, "No Sales", Q12_EBIT_Year3/Q12_NetSales_Year3)</f>
        <v>No Sales</v>
      </c>
    </row>
    <row r="57" spans="1:31" x14ac:dyDescent="0.25">
      <c r="A57">
        <f t="shared" si="21"/>
        <v>0</v>
      </c>
      <c r="B57">
        <f t="shared" si="22"/>
        <v>0</v>
      </c>
      <c r="C57">
        <f t="shared" si="23"/>
        <v>0</v>
      </c>
      <c r="D57">
        <f t="shared" si="24"/>
        <v>0</v>
      </c>
      <c r="E57">
        <f t="shared" si="25"/>
        <v>0</v>
      </c>
      <c r="F57">
        <f>'D-RepLevel'!$F$2</f>
        <v>0</v>
      </c>
      <c r="G57">
        <f>'D-RepLevel'!$G$2</f>
        <v>0</v>
      </c>
      <c r="H57">
        <f t="shared" si="26"/>
        <v>0</v>
      </c>
      <c r="I57" t="str">
        <f>IF(ISERROR(INDEX('1b'!$C$5:$C$21, MATCH("Primary Business Line", '1b'!$H$5:$H$21, FALSE), 1)), "None Selected", INDEX('1b'!$C$5:$C$21, MATCH("Primary Business Line", '1b'!$H$5:$H$21, FALSE), 1))</f>
        <v>None Selected</v>
      </c>
      <c r="J57">
        <f>'D-3'!$J$2</f>
        <v>0</v>
      </c>
      <c r="K57">
        <f>COUNTIF('4a'!$E$6:$E$29, "Direct")+COUNTIF('4a'!$E$6:$E$29, "Indirect")+COUNTIF('4a'!$E$6:$E$29, "Both")</f>
        <v>0</v>
      </c>
      <c r="L57">
        <f t="shared" si="27"/>
        <v>0</v>
      </c>
      <c r="M57">
        <f t="shared" si="28"/>
        <v>0</v>
      </c>
      <c r="N57">
        <f t="shared" si="29"/>
        <v>0</v>
      </c>
      <c r="O57">
        <f t="shared" si="30"/>
        <v>2015</v>
      </c>
      <c r="P57">
        <f t="shared" si="31"/>
        <v>0</v>
      </c>
      <c r="Q57">
        <f t="shared" si="32"/>
        <v>0</v>
      </c>
      <c r="R57">
        <f t="shared" si="33"/>
        <v>0</v>
      </c>
      <c r="S57">
        <f t="shared" si="34"/>
        <v>0</v>
      </c>
      <c r="T57">
        <f>COUNTIF('9a'!$K$22:$K$32, "Yes")+COUNTIF('9a'!$O$22:$O$32, "Yes")</f>
        <v>0</v>
      </c>
      <c r="U57" t="str">
        <f t="shared" si="35"/>
        <v>No Expenditures</v>
      </c>
      <c r="V57" t="str">
        <f t="shared" si="36"/>
        <v>No Expenditures</v>
      </c>
      <c r="W57">
        <f t="shared" si="37"/>
        <v>0</v>
      </c>
      <c r="X57" t="str">
        <f>'D-Risk'!$AO$25</f>
        <v>Insufficient Data</v>
      </c>
      <c r="Y57" t="str">
        <f>'D-Risk'!$AO$26</f>
        <v>Insufficient Data</v>
      </c>
      <c r="Z57" t="str">
        <f>'D-Risk'!$AO$27</f>
        <v>Uncalculated</v>
      </c>
      <c r="AA57">
        <f t="shared" si="38"/>
        <v>0</v>
      </c>
      <c r="AB57">
        <f t="shared" si="39"/>
        <v>0</v>
      </c>
      <c r="AC57" t="s">
        <v>2489</v>
      </c>
      <c r="AD57">
        <f t="shared" si="40"/>
        <v>2015</v>
      </c>
      <c r="AE57" t="str">
        <f>IF(Q6_A_Employees_Year1=0, "No Employees", Q12_NetSales_Year3/Q6_A_Employees_Year1)</f>
        <v>No Employees</v>
      </c>
    </row>
    <row r="58" spans="1:31" x14ac:dyDescent="0.25">
      <c r="A58">
        <f t="shared" si="21"/>
        <v>0</v>
      </c>
      <c r="B58">
        <f t="shared" si="22"/>
        <v>0</v>
      </c>
      <c r="C58">
        <f t="shared" si="23"/>
        <v>0</v>
      </c>
      <c r="D58">
        <f t="shared" si="24"/>
        <v>0</v>
      </c>
      <c r="E58">
        <f t="shared" si="25"/>
        <v>0</v>
      </c>
      <c r="F58">
        <f>'D-RepLevel'!$F$2</f>
        <v>0</v>
      </c>
      <c r="G58">
        <f>'D-RepLevel'!$G$2</f>
        <v>0</v>
      </c>
      <c r="H58">
        <f t="shared" si="26"/>
        <v>0</v>
      </c>
      <c r="I58" t="str">
        <f>IF(ISERROR(INDEX('1b'!$C$5:$C$21, MATCH("Primary Business Line", '1b'!$H$5:$H$21, FALSE), 1)), "None Selected", INDEX('1b'!$C$5:$C$21, MATCH("Primary Business Line", '1b'!$H$5:$H$21, FALSE), 1))</f>
        <v>None Selected</v>
      </c>
      <c r="J58">
        <f>'D-3'!$J$2</f>
        <v>0</v>
      </c>
      <c r="K58">
        <f>COUNTIF('4a'!$E$6:$E$29, "Direct")+COUNTIF('4a'!$E$6:$E$29, "Indirect")+COUNTIF('4a'!$E$6:$E$29, "Both")</f>
        <v>0</v>
      </c>
      <c r="L58">
        <f t="shared" si="27"/>
        <v>0</v>
      </c>
      <c r="M58">
        <f t="shared" si="28"/>
        <v>0</v>
      </c>
      <c r="N58">
        <f t="shared" si="29"/>
        <v>0</v>
      </c>
      <c r="O58">
        <f t="shared" si="30"/>
        <v>2015</v>
      </c>
      <c r="P58">
        <f t="shared" si="31"/>
        <v>0</v>
      </c>
      <c r="Q58">
        <f t="shared" si="32"/>
        <v>0</v>
      </c>
      <c r="R58">
        <f t="shared" si="33"/>
        <v>0</v>
      </c>
      <c r="S58">
        <f t="shared" si="34"/>
        <v>0</v>
      </c>
      <c r="T58">
        <f>COUNTIF('9a'!$K$22:$K$32, "Yes")+COUNTIF('9a'!$O$22:$O$32, "Yes")</f>
        <v>0</v>
      </c>
      <c r="U58" t="str">
        <f t="shared" si="35"/>
        <v>No Expenditures</v>
      </c>
      <c r="V58" t="str">
        <f t="shared" si="36"/>
        <v>No Expenditures</v>
      </c>
      <c r="W58">
        <f t="shared" si="37"/>
        <v>0</v>
      </c>
      <c r="X58" t="str">
        <f>'D-Risk'!$AO$25</f>
        <v>Insufficient Data</v>
      </c>
      <c r="Y58" t="str">
        <f>'D-Risk'!$AO$26</f>
        <v>Insufficient Data</v>
      </c>
      <c r="Z58" t="str">
        <f>'D-Risk'!$AO$27</f>
        <v>Uncalculated</v>
      </c>
      <c r="AA58">
        <f t="shared" si="38"/>
        <v>0</v>
      </c>
      <c r="AB58">
        <f t="shared" si="39"/>
        <v>0</v>
      </c>
      <c r="AC58" t="s">
        <v>2490</v>
      </c>
      <c r="AD58">
        <f t="shared" si="40"/>
        <v>2015</v>
      </c>
      <c r="AE58" t="str">
        <f>IF(Q12_NetSales_Year3=0, "No Sales", Q11_Expend_Total_Year3/Q12_NetSales_Year3)</f>
        <v>No Sales</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41"/>
  <sheetViews>
    <sheetView showGridLines="0" showRowColHeaders="0" workbookViewId="0">
      <selection activeCell="H14" sqref="H14:K14"/>
    </sheetView>
  </sheetViews>
  <sheetFormatPr defaultRowHeight="12.75" x14ac:dyDescent="0.25"/>
  <cols>
    <col min="1" max="1" width="9.140625" style="19"/>
    <col min="2" max="2" width="3.85546875" style="19" customWidth="1"/>
    <col min="3" max="3" width="7.85546875" style="19" customWidth="1"/>
    <col min="4" max="4" width="11.140625" style="19" customWidth="1"/>
    <col min="5" max="5" width="14.85546875" style="19" customWidth="1"/>
    <col min="6" max="6" width="21.140625" style="19" customWidth="1"/>
    <col min="7" max="7" width="13.28515625" style="19" customWidth="1"/>
    <col min="8" max="8" width="18.5703125" style="19" customWidth="1"/>
    <col min="9" max="11" width="17.28515625" style="19" customWidth="1"/>
    <col min="12" max="16384" width="9.140625" style="19"/>
  </cols>
  <sheetData>
    <row r="1" spans="2:11" ht="13.5" thickBot="1" x14ac:dyDescent="0.3"/>
    <row r="2" spans="2:11" x14ac:dyDescent="0.25">
      <c r="B2" s="23" t="s">
        <v>10</v>
      </c>
      <c r="C2" s="21"/>
      <c r="D2" s="21"/>
      <c r="E2" s="21"/>
      <c r="F2" s="405" t="s">
        <v>11</v>
      </c>
      <c r="G2" s="405"/>
      <c r="H2" s="405"/>
      <c r="I2" s="21"/>
      <c r="J2" s="21"/>
      <c r="K2" s="26" t="s">
        <v>0</v>
      </c>
    </row>
    <row r="3" spans="2:11" ht="13.5" thickBot="1" x14ac:dyDescent="0.3">
      <c r="B3" s="52" t="s">
        <v>95</v>
      </c>
      <c r="C3" s="57"/>
      <c r="D3" s="57"/>
      <c r="E3" s="57"/>
      <c r="F3" s="57"/>
      <c r="G3" s="57"/>
      <c r="H3" s="57"/>
      <c r="I3" s="57"/>
      <c r="J3" s="57"/>
      <c r="K3" s="58"/>
    </row>
    <row r="4" spans="2:11" ht="22.5" customHeight="1" x14ac:dyDescent="0.25">
      <c r="B4" s="440" t="s">
        <v>34</v>
      </c>
      <c r="C4" s="429" t="s">
        <v>96</v>
      </c>
      <c r="D4" s="429"/>
      <c r="E4" s="429"/>
      <c r="F4" s="429"/>
      <c r="G4" s="429"/>
      <c r="H4" s="429"/>
      <c r="I4" s="429"/>
      <c r="J4" s="429"/>
      <c r="K4" s="430"/>
    </row>
    <row r="5" spans="2:11" x14ac:dyDescent="0.25">
      <c r="B5" s="441"/>
      <c r="C5" s="445" t="s">
        <v>97</v>
      </c>
      <c r="D5" s="445"/>
      <c r="E5" s="446"/>
      <c r="F5" s="451"/>
      <c r="G5" s="451"/>
      <c r="H5" s="451"/>
      <c r="I5" s="451"/>
      <c r="J5" s="451"/>
      <c r="K5" s="452"/>
    </row>
    <row r="6" spans="2:11" x14ac:dyDescent="0.25">
      <c r="B6" s="441"/>
      <c r="C6" s="447" t="s">
        <v>98</v>
      </c>
      <c r="D6" s="447"/>
      <c r="E6" s="448"/>
      <c r="F6" s="451"/>
      <c r="G6" s="451"/>
      <c r="H6" s="451"/>
      <c r="I6" s="451"/>
      <c r="J6" s="451"/>
      <c r="K6" s="452"/>
    </row>
    <row r="7" spans="2:11" x14ac:dyDescent="0.25">
      <c r="B7" s="441"/>
      <c r="C7" s="449" t="s">
        <v>99</v>
      </c>
      <c r="D7" s="449"/>
      <c r="E7" s="449"/>
      <c r="F7" s="451"/>
      <c r="G7" s="451"/>
      <c r="H7" s="451"/>
      <c r="I7" s="451"/>
      <c r="J7" s="451"/>
      <c r="K7" s="452"/>
    </row>
    <row r="8" spans="2:11" x14ac:dyDescent="0.25">
      <c r="B8" s="441"/>
      <c r="C8" s="450" t="s">
        <v>100</v>
      </c>
      <c r="D8" s="445"/>
      <c r="E8" s="446"/>
      <c r="F8" s="451"/>
      <c r="G8" s="451"/>
      <c r="H8" s="451"/>
      <c r="I8" s="451"/>
      <c r="J8" s="451"/>
      <c r="K8" s="452"/>
    </row>
    <row r="9" spans="2:11" x14ac:dyDescent="0.25">
      <c r="B9" s="441"/>
      <c r="C9" s="450" t="s">
        <v>101</v>
      </c>
      <c r="D9" s="445"/>
      <c r="E9" s="446"/>
      <c r="F9" s="451"/>
      <c r="G9" s="451"/>
      <c r="H9" s="451"/>
      <c r="I9" s="451"/>
      <c r="J9" s="451"/>
      <c r="K9" s="452"/>
    </row>
    <row r="10" spans="2:11" x14ac:dyDescent="0.25">
      <c r="B10" s="441"/>
      <c r="C10" s="450" t="s">
        <v>102</v>
      </c>
      <c r="D10" s="445"/>
      <c r="E10" s="446"/>
      <c r="F10" s="453"/>
      <c r="G10" s="453"/>
      <c r="H10" s="453"/>
      <c r="I10" s="453"/>
      <c r="J10" s="453"/>
      <c r="K10" s="454"/>
    </row>
    <row r="11" spans="2:11" x14ac:dyDescent="0.25">
      <c r="B11" s="441"/>
      <c r="C11" s="471" t="s">
        <v>103</v>
      </c>
      <c r="D11" s="447"/>
      <c r="E11" s="448"/>
      <c r="F11" s="451"/>
      <c r="G11" s="451"/>
      <c r="H11" s="451"/>
      <c r="I11" s="451"/>
      <c r="J11" s="451"/>
      <c r="K11" s="452"/>
    </row>
    <row r="12" spans="2:11" x14ac:dyDescent="0.25">
      <c r="B12" s="441"/>
      <c r="C12" s="471" t="s">
        <v>104</v>
      </c>
      <c r="D12" s="447"/>
      <c r="E12" s="448"/>
      <c r="F12" s="451"/>
      <c r="G12" s="451"/>
      <c r="H12" s="451"/>
      <c r="I12" s="451"/>
      <c r="J12" s="451"/>
      <c r="K12" s="452"/>
    </row>
    <row r="13" spans="2:11" ht="22.5" customHeight="1" thickBot="1" x14ac:dyDescent="0.3">
      <c r="B13" s="442"/>
      <c r="C13" s="463" t="s">
        <v>2638</v>
      </c>
      <c r="D13" s="463"/>
      <c r="E13" s="463"/>
      <c r="F13" s="463"/>
      <c r="G13" s="225"/>
      <c r="H13" s="68"/>
      <c r="I13" s="63"/>
      <c r="J13" s="63"/>
      <c r="K13" s="65"/>
    </row>
    <row r="14" spans="2:11" ht="22.5" customHeight="1" x14ac:dyDescent="0.25">
      <c r="B14" s="440" t="s">
        <v>35</v>
      </c>
      <c r="C14" s="455" t="s">
        <v>2633</v>
      </c>
      <c r="D14" s="456"/>
      <c r="E14" s="456"/>
      <c r="F14" s="456"/>
      <c r="G14" s="370"/>
      <c r="H14" s="457" t="s">
        <v>2634</v>
      </c>
      <c r="I14" s="458"/>
      <c r="J14" s="458"/>
      <c r="K14" s="459"/>
    </row>
    <row r="15" spans="2:11" x14ac:dyDescent="0.25">
      <c r="B15" s="441"/>
      <c r="C15" s="464"/>
      <c r="D15" s="465"/>
      <c r="E15" s="466"/>
      <c r="F15" s="467" t="s">
        <v>105</v>
      </c>
      <c r="G15" s="467"/>
      <c r="H15" s="467"/>
      <c r="I15" s="468" t="s">
        <v>106</v>
      </c>
      <c r="J15" s="469"/>
      <c r="K15" s="470"/>
    </row>
    <row r="16" spans="2:11" x14ac:dyDescent="0.25">
      <c r="B16" s="441"/>
      <c r="C16" s="450" t="s">
        <v>98</v>
      </c>
      <c r="D16" s="445"/>
      <c r="E16" s="446"/>
      <c r="F16" s="477"/>
      <c r="G16" s="477"/>
      <c r="H16" s="477"/>
      <c r="I16" s="477"/>
      <c r="J16" s="477"/>
      <c r="K16" s="478"/>
    </row>
    <row r="17" spans="2:11" x14ac:dyDescent="0.25">
      <c r="B17" s="441"/>
      <c r="C17" s="450" t="s">
        <v>99</v>
      </c>
      <c r="D17" s="445"/>
      <c r="E17" s="446"/>
      <c r="F17" s="477"/>
      <c r="G17" s="477"/>
      <c r="H17" s="477"/>
      <c r="I17" s="477"/>
      <c r="J17" s="477"/>
      <c r="K17" s="478"/>
    </row>
    <row r="18" spans="2:11" x14ac:dyDescent="0.25">
      <c r="B18" s="441"/>
      <c r="C18" s="450" t="s">
        <v>100</v>
      </c>
      <c r="D18" s="445"/>
      <c r="E18" s="446"/>
      <c r="F18" s="477"/>
      <c r="G18" s="477"/>
      <c r="H18" s="477"/>
      <c r="I18" s="477"/>
      <c r="J18" s="477"/>
      <c r="K18" s="478"/>
    </row>
    <row r="19" spans="2:11" x14ac:dyDescent="0.25">
      <c r="B19" s="441"/>
      <c r="C19" s="450" t="s">
        <v>107</v>
      </c>
      <c r="D19" s="445"/>
      <c r="E19" s="446"/>
      <c r="F19" s="477"/>
      <c r="G19" s="477"/>
      <c r="H19" s="477"/>
      <c r="I19" s="477"/>
      <c r="J19" s="477"/>
      <c r="K19" s="478"/>
    </row>
    <row r="20" spans="2:11" x14ac:dyDescent="0.25">
      <c r="B20" s="441"/>
      <c r="C20" s="450" t="s">
        <v>108</v>
      </c>
      <c r="D20" s="445"/>
      <c r="E20" s="446"/>
      <c r="F20" s="477"/>
      <c r="G20" s="477"/>
      <c r="H20" s="477"/>
      <c r="I20" s="477"/>
      <c r="J20" s="477"/>
      <c r="K20" s="478"/>
    </row>
    <row r="21" spans="2:11" x14ac:dyDescent="0.25">
      <c r="B21" s="441"/>
      <c r="C21" s="450" t="s">
        <v>109</v>
      </c>
      <c r="D21" s="445"/>
      <c r="E21" s="446"/>
      <c r="F21" s="477"/>
      <c r="G21" s="477"/>
      <c r="H21" s="477"/>
      <c r="I21" s="477"/>
      <c r="J21" s="477"/>
      <c r="K21" s="478"/>
    </row>
    <row r="22" spans="2:11" ht="13.5" thickBot="1" x14ac:dyDescent="0.3">
      <c r="B22" s="442"/>
      <c r="C22" s="460" t="s">
        <v>110</v>
      </c>
      <c r="D22" s="461"/>
      <c r="E22" s="462"/>
      <c r="F22" s="491"/>
      <c r="G22" s="491"/>
      <c r="H22" s="491"/>
      <c r="I22" s="491"/>
      <c r="J22" s="491"/>
      <c r="K22" s="492"/>
    </row>
    <row r="23" spans="2:11" ht="27" customHeight="1" thickBot="1" x14ac:dyDescent="0.3">
      <c r="B23" s="62" t="s">
        <v>37</v>
      </c>
      <c r="C23" s="481" t="s">
        <v>111</v>
      </c>
      <c r="D23" s="482"/>
      <c r="E23" s="482"/>
      <c r="F23" s="483"/>
      <c r="G23" s="315"/>
      <c r="H23" s="473" t="s">
        <v>112</v>
      </c>
      <c r="I23" s="473"/>
      <c r="J23" s="473"/>
      <c r="K23" s="227"/>
    </row>
    <row r="24" spans="2:11" ht="33" customHeight="1" x14ac:dyDescent="0.25">
      <c r="B24" s="437" t="s">
        <v>38</v>
      </c>
      <c r="C24" s="489" t="s">
        <v>113</v>
      </c>
      <c r="D24" s="490"/>
      <c r="E24" s="490"/>
      <c r="F24" s="490"/>
      <c r="G24" s="490"/>
      <c r="H24" s="490"/>
      <c r="I24" s="490"/>
      <c r="J24" s="490"/>
      <c r="K24" s="228"/>
    </row>
    <row r="25" spans="2:11" x14ac:dyDescent="0.25">
      <c r="B25" s="484"/>
      <c r="C25" s="468" t="s">
        <v>114</v>
      </c>
      <c r="D25" s="469"/>
      <c r="E25" s="469"/>
      <c r="F25" s="469"/>
      <c r="G25" s="467" t="s">
        <v>115</v>
      </c>
      <c r="H25" s="467"/>
      <c r="I25" s="467"/>
      <c r="J25" s="467"/>
      <c r="K25" s="474"/>
    </row>
    <row r="26" spans="2:11" x14ac:dyDescent="0.25">
      <c r="B26" s="484"/>
      <c r="C26" s="475"/>
      <c r="D26" s="472"/>
      <c r="E26" s="472"/>
      <c r="F26" s="472"/>
      <c r="G26" s="475"/>
      <c r="H26" s="475"/>
      <c r="I26" s="475"/>
      <c r="J26" s="475"/>
      <c r="K26" s="476"/>
    </row>
    <row r="27" spans="2:11" x14ac:dyDescent="0.25">
      <c r="B27" s="484"/>
      <c r="C27" s="472"/>
      <c r="D27" s="472"/>
      <c r="E27" s="472"/>
      <c r="F27" s="472"/>
      <c r="G27" s="475"/>
      <c r="H27" s="475"/>
      <c r="I27" s="475"/>
      <c r="J27" s="475"/>
      <c r="K27" s="476"/>
    </row>
    <row r="28" spans="2:11" x14ac:dyDescent="0.25">
      <c r="B28" s="484"/>
      <c r="C28" s="472"/>
      <c r="D28" s="472"/>
      <c r="E28" s="472"/>
      <c r="F28" s="472"/>
      <c r="G28" s="475"/>
      <c r="H28" s="475"/>
      <c r="I28" s="475"/>
      <c r="J28" s="475"/>
      <c r="K28" s="476"/>
    </row>
    <row r="29" spans="2:11" x14ac:dyDescent="0.25">
      <c r="B29" s="484"/>
      <c r="C29" s="472"/>
      <c r="D29" s="472"/>
      <c r="E29" s="472"/>
      <c r="F29" s="472"/>
      <c r="G29" s="475"/>
      <c r="H29" s="475"/>
      <c r="I29" s="475"/>
      <c r="J29" s="475"/>
      <c r="K29" s="476"/>
    </row>
    <row r="30" spans="2:11" x14ac:dyDescent="0.25">
      <c r="B30" s="484"/>
      <c r="C30" s="472"/>
      <c r="D30" s="472"/>
      <c r="E30" s="472"/>
      <c r="F30" s="472"/>
      <c r="G30" s="475"/>
      <c r="H30" s="475"/>
      <c r="I30" s="475"/>
      <c r="J30" s="475"/>
      <c r="K30" s="476"/>
    </row>
    <row r="31" spans="2:11" x14ac:dyDescent="0.25">
      <c r="B31" s="484"/>
      <c r="C31" s="472"/>
      <c r="D31" s="472"/>
      <c r="E31" s="472"/>
      <c r="F31" s="472"/>
      <c r="G31" s="475"/>
      <c r="H31" s="475"/>
      <c r="I31" s="475"/>
      <c r="J31" s="475"/>
      <c r="K31" s="476"/>
    </row>
    <row r="32" spans="2:11" x14ac:dyDescent="0.25">
      <c r="B32" s="484"/>
      <c r="C32" s="472"/>
      <c r="D32" s="472"/>
      <c r="E32" s="472"/>
      <c r="F32" s="472"/>
      <c r="G32" s="475"/>
      <c r="H32" s="475"/>
      <c r="I32" s="475"/>
      <c r="J32" s="475"/>
      <c r="K32" s="476"/>
    </row>
    <row r="33" spans="2:11" x14ac:dyDescent="0.25">
      <c r="B33" s="484"/>
      <c r="C33" s="472"/>
      <c r="D33" s="472"/>
      <c r="E33" s="472"/>
      <c r="F33" s="472"/>
      <c r="G33" s="475"/>
      <c r="H33" s="475"/>
      <c r="I33" s="475"/>
      <c r="J33" s="475"/>
      <c r="K33" s="476"/>
    </row>
    <row r="34" spans="2:11" x14ac:dyDescent="0.25">
      <c r="B34" s="484"/>
      <c r="C34" s="472"/>
      <c r="D34" s="472"/>
      <c r="E34" s="472"/>
      <c r="F34" s="472"/>
      <c r="G34" s="475"/>
      <c r="H34" s="475"/>
      <c r="I34" s="475"/>
      <c r="J34" s="475"/>
      <c r="K34" s="476"/>
    </row>
    <row r="35" spans="2:11" ht="13.5" thickBot="1" x14ac:dyDescent="0.3">
      <c r="B35" s="485"/>
      <c r="C35" s="488"/>
      <c r="D35" s="488"/>
      <c r="E35" s="488"/>
      <c r="F35" s="488"/>
      <c r="G35" s="479"/>
      <c r="H35" s="479"/>
      <c r="I35" s="479"/>
      <c r="J35" s="479"/>
      <c r="K35" s="480"/>
    </row>
    <row r="36" spans="2:11" x14ac:dyDescent="0.25">
      <c r="B36" s="437" t="s">
        <v>40</v>
      </c>
      <c r="C36" s="455" t="s">
        <v>116</v>
      </c>
      <c r="D36" s="456"/>
      <c r="E36" s="456"/>
      <c r="F36" s="456"/>
      <c r="G36" s="456"/>
      <c r="H36" s="456"/>
      <c r="I36" s="456"/>
      <c r="J36" s="456"/>
      <c r="K36" s="486"/>
    </row>
    <row r="37" spans="2:11" x14ac:dyDescent="0.25">
      <c r="B37" s="484"/>
      <c r="C37" s="468" t="s">
        <v>117</v>
      </c>
      <c r="D37" s="469"/>
      <c r="E37" s="487"/>
      <c r="F37" s="70" t="s">
        <v>118</v>
      </c>
      <c r="G37" s="467" t="s">
        <v>104</v>
      </c>
      <c r="H37" s="467"/>
      <c r="I37" s="468" t="s">
        <v>119</v>
      </c>
      <c r="J37" s="487"/>
      <c r="K37" s="69" t="s">
        <v>101</v>
      </c>
    </row>
    <row r="38" spans="2:11" ht="13.5" thickBot="1" x14ac:dyDescent="0.3">
      <c r="B38" s="485"/>
      <c r="C38" s="488"/>
      <c r="D38" s="488"/>
      <c r="E38" s="488"/>
      <c r="F38" s="234"/>
      <c r="G38" s="488"/>
      <c r="H38" s="488"/>
      <c r="I38" s="488"/>
      <c r="J38" s="488"/>
      <c r="K38" s="249"/>
    </row>
    <row r="39" spans="2:11" ht="27" customHeight="1" thickBot="1" x14ac:dyDescent="0.3">
      <c r="B39" s="484" t="s">
        <v>94</v>
      </c>
      <c r="C39" s="467"/>
      <c r="D39" s="467"/>
      <c r="E39" s="426"/>
      <c r="F39" s="427"/>
      <c r="G39" s="427"/>
      <c r="H39" s="427"/>
      <c r="I39" s="427"/>
      <c r="J39" s="427"/>
      <c r="K39" s="428"/>
    </row>
    <row r="40" spans="2:11" x14ac:dyDescent="0.25">
      <c r="B40" s="20"/>
      <c r="C40" s="21"/>
      <c r="D40" s="21"/>
      <c r="E40" s="21"/>
      <c r="F40" s="21"/>
      <c r="G40" s="21"/>
      <c r="H40" s="21"/>
      <c r="I40" s="21"/>
      <c r="J40" s="21"/>
      <c r="K40" s="22"/>
    </row>
    <row r="41" spans="2:11" ht="13.5" thickBot="1" x14ac:dyDescent="0.3">
      <c r="B41" s="390" t="s">
        <v>9</v>
      </c>
      <c r="C41" s="391"/>
      <c r="D41" s="391"/>
      <c r="E41" s="391"/>
      <c r="F41" s="391"/>
      <c r="G41" s="391"/>
      <c r="H41" s="391"/>
      <c r="I41" s="391"/>
      <c r="J41" s="391"/>
      <c r="K41" s="392"/>
    </row>
  </sheetData>
  <sheetProtection password="C288" sheet="1" objects="1" scenarios="1"/>
  <mergeCells count="84">
    <mergeCell ref="E39:K39"/>
    <mergeCell ref="C24:J24"/>
    <mergeCell ref="F20:H20"/>
    <mergeCell ref="I20:K20"/>
    <mergeCell ref="F21:H21"/>
    <mergeCell ref="I21:K21"/>
    <mergeCell ref="F22:H22"/>
    <mergeCell ref="I22:K22"/>
    <mergeCell ref="B39:D39"/>
    <mergeCell ref="G37:H37"/>
    <mergeCell ref="I37:J37"/>
    <mergeCell ref="C38:E38"/>
    <mergeCell ref="C35:F35"/>
    <mergeCell ref="C27:F27"/>
    <mergeCell ref="B36:B38"/>
    <mergeCell ref="C36:K36"/>
    <mergeCell ref="C37:E37"/>
    <mergeCell ref="G38:H38"/>
    <mergeCell ref="I38:J38"/>
    <mergeCell ref="G28:K28"/>
    <mergeCell ref="G29:K29"/>
    <mergeCell ref="G30:K30"/>
    <mergeCell ref="B41:K41"/>
    <mergeCell ref="F16:H16"/>
    <mergeCell ref="I16:K16"/>
    <mergeCell ref="F17:H17"/>
    <mergeCell ref="I17:K17"/>
    <mergeCell ref="F18:H18"/>
    <mergeCell ref="I18:K18"/>
    <mergeCell ref="F19:H19"/>
    <mergeCell ref="I19:K19"/>
    <mergeCell ref="G34:K34"/>
    <mergeCell ref="G35:K35"/>
    <mergeCell ref="C23:F23"/>
    <mergeCell ref="B24:B35"/>
    <mergeCell ref="C34:F34"/>
    <mergeCell ref="H23:J23"/>
    <mergeCell ref="C25:F25"/>
    <mergeCell ref="G25:K25"/>
    <mergeCell ref="C26:F26"/>
    <mergeCell ref="C28:F28"/>
    <mergeCell ref="G31:K31"/>
    <mergeCell ref="G32:K32"/>
    <mergeCell ref="G33:K33"/>
    <mergeCell ref="C29:F29"/>
    <mergeCell ref="C30:F30"/>
    <mergeCell ref="C31:F31"/>
    <mergeCell ref="C32:F32"/>
    <mergeCell ref="C33:F33"/>
    <mergeCell ref="G26:K26"/>
    <mergeCell ref="G27:K27"/>
    <mergeCell ref="C17:E17"/>
    <mergeCell ref="C18:E18"/>
    <mergeCell ref="C19:E19"/>
    <mergeCell ref="C20:E20"/>
    <mergeCell ref="C21:E21"/>
    <mergeCell ref="C22:E22"/>
    <mergeCell ref="F12:K12"/>
    <mergeCell ref="B4:B13"/>
    <mergeCell ref="C13:F13"/>
    <mergeCell ref="C4:K4"/>
    <mergeCell ref="B14:B22"/>
    <mergeCell ref="C15:E15"/>
    <mergeCell ref="F15:H15"/>
    <mergeCell ref="I15:K15"/>
    <mergeCell ref="C16:E16"/>
    <mergeCell ref="C11:E11"/>
    <mergeCell ref="C12:E12"/>
    <mergeCell ref="F5:K5"/>
    <mergeCell ref="F6:K6"/>
    <mergeCell ref="F7:K7"/>
    <mergeCell ref="F8:K8"/>
    <mergeCell ref="F9:K9"/>
    <mergeCell ref="F10:K10"/>
    <mergeCell ref="C14:F14"/>
    <mergeCell ref="H14:K14"/>
    <mergeCell ref="F11:K11"/>
    <mergeCell ref="C9:E9"/>
    <mergeCell ref="C10:E10"/>
    <mergeCell ref="F2:H2"/>
    <mergeCell ref="C5:E5"/>
    <mergeCell ref="C6:E6"/>
    <mergeCell ref="C7:E7"/>
    <mergeCell ref="C8:E8"/>
  </mergeCells>
  <dataValidations count="6">
    <dataValidation type="list" allowBlank="1" showInputMessage="1" showErrorMessage="1" sqref="F9:K9 K38">
      <formula1>State</formula1>
    </dataValidation>
    <dataValidation type="textLength" operator="equal" allowBlank="1" showInputMessage="1" showErrorMessage="1" sqref="F10:K10">
      <formula1>5</formula1>
    </dataValidation>
    <dataValidation type="list" allowBlank="1" showInputMessage="1" showErrorMessage="1" sqref="G13 G14">
      <formula1>YesNo</formula1>
    </dataValidation>
    <dataValidation type="list" allowBlank="1" showInputMessage="1" showErrorMessage="1" sqref="F20:H20 I20:K20">
      <formula1>Country</formula1>
    </dataValidation>
    <dataValidation type="list" allowBlank="1" showInputMessage="1" showErrorMessage="1" sqref="G23">
      <formula1>PubPriv</formula1>
    </dataValidation>
    <dataValidation type="list" allowBlank="1" showInputMessage="1" showErrorMessage="1" sqref="K24">
      <formula1>YesNoNA</formula1>
    </dataValidation>
  </dataValidations>
  <hyperlinks>
    <hyperlink ref="B2" location="'Reporting Level'!A1" display="Previous Page"/>
    <hyperlink ref="K2" location="'1b'!A1" display="Next Page"/>
    <hyperlink ref="F2:H2" location="'Table of Contents'!A1" display="Table of Contents"/>
  </hyperlinks>
  <printOptions horizontalCentered="1"/>
  <pageMargins left="0.25" right="0.25" top="0.75" bottom="0.75" header="0.3" footer="0.3"/>
  <pageSetup scale="88" orientation="landscape" verticalDpi="12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27"/>
  <sheetViews>
    <sheetView zoomScale="70" zoomScaleNormal="70" workbookViewId="0">
      <selection activeCell="C7" sqref="C7:D7"/>
    </sheetView>
  </sheetViews>
  <sheetFormatPr defaultRowHeight="15" x14ac:dyDescent="0.25"/>
  <cols>
    <col min="31" max="31" width="24.7109375" customWidth="1"/>
    <col min="35" max="35" width="26.85546875" customWidth="1"/>
  </cols>
  <sheetData>
    <row r="1" spans="1:47" s="219" customFormat="1" ht="63" customHeight="1" thickBot="1" x14ac:dyDescent="0.3">
      <c r="A1" s="281" t="s">
        <v>1928</v>
      </c>
      <c r="B1" s="281" t="s">
        <v>1929</v>
      </c>
      <c r="C1" s="281" t="s">
        <v>98</v>
      </c>
      <c r="D1" s="281" t="s">
        <v>1930</v>
      </c>
      <c r="E1" s="281" t="s">
        <v>1931</v>
      </c>
      <c r="F1" s="281" t="s">
        <v>1932</v>
      </c>
      <c r="G1" s="281" t="s">
        <v>1933</v>
      </c>
      <c r="H1" s="281" t="s">
        <v>1934</v>
      </c>
      <c r="I1" s="281" t="s">
        <v>1935</v>
      </c>
      <c r="J1" s="281" t="s">
        <v>1936</v>
      </c>
      <c r="K1" s="281" t="s">
        <v>1937</v>
      </c>
      <c r="L1" s="281" t="s">
        <v>1938</v>
      </c>
      <c r="M1" s="281" t="s">
        <v>1939</v>
      </c>
      <c r="N1" s="281" t="s">
        <v>1940</v>
      </c>
      <c r="O1" s="281" t="s">
        <v>1941</v>
      </c>
      <c r="P1" s="281" t="s">
        <v>1942</v>
      </c>
      <c r="Q1" s="281" t="s">
        <v>1943</v>
      </c>
      <c r="R1" s="281" t="s">
        <v>1944</v>
      </c>
      <c r="S1" s="281" t="s">
        <v>1945</v>
      </c>
      <c r="T1" s="281" t="s">
        <v>1946</v>
      </c>
      <c r="U1" s="281" t="s">
        <v>1947</v>
      </c>
      <c r="V1" s="281" t="s">
        <v>1948</v>
      </c>
      <c r="W1" s="281" t="s">
        <v>1949</v>
      </c>
      <c r="X1" s="281" t="s">
        <v>1950</v>
      </c>
      <c r="Y1" s="281" t="s">
        <v>1951</v>
      </c>
      <c r="Z1" s="281" t="s">
        <v>1952</v>
      </c>
      <c r="AA1" s="220" t="s">
        <v>2491</v>
      </c>
      <c r="AB1" s="220" t="s">
        <v>2492</v>
      </c>
      <c r="AC1" s="220" t="s">
        <v>2493</v>
      </c>
      <c r="AD1" s="219" t="s">
        <v>1081</v>
      </c>
      <c r="AE1" s="219" t="s">
        <v>2494</v>
      </c>
      <c r="AF1" s="219">
        <v>2013</v>
      </c>
      <c r="AG1" s="219">
        <v>2014</v>
      </c>
      <c r="AH1" s="219">
        <v>2015</v>
      </c>
      <c r="AI1" s="221" t="s">
        <v>2495</v>
      </c>
      <c r="AJ1" s="219" t="s">
        <v>2496</v>
      </c>
      <c r="AK1" s="219">
        <v>2013</v>
      </c>
      <c r="AL1" s="219">
        <v>2014</v>
      </c>
      <c r="AM1" s="219">
        <v>2015</v>
      </c>
      <c r="AN1" s="219" t="s">
        <v>2497</v>
      </c>
      <c r="AO1" s="219" t="s">
        <v>2494</v>
      </c>
      <c r="AQ1" s="219" t="s">
        <v>2498</v>
      </c>
      <c r="AR1" s="219">
        <v>2013</v>
      </c>
      <c r="AS1" s="219">
        <v>2014</v>
      </c>
      <c r="AT1" s="219">
        <v>2015</v>
      </c>
      <c r="AU1" s="219" t="s">
        <v>2497</v>
      </c>
    </row>
    <row r="2" spans="1:47" x14ac:dyDescent="0.25">
      <c r="A2">
        <f t="shared" ref="A2:A27" si="0">Q_RP_B_DSSCAGE_01</f>
        <v>0</v>
      </c>
      <c r="B2">
        <f t="shared" ref="B2:B27" si="1">Q1a_A_LocationName</f>
        <v>0</v>
      </c>
      <c r="C2">
        <f t="shared" ref="C2:C27" si="2">Q1a_A_LocOrgName</f>
        <v>0</v>
      </c>
      <c r="D2">
        <f t="shared" ref="D2:D27" si="3">Q1a_B_Parent1_Name</f>
        <v>0</v>
      </c>
      <c r="E2">
        <f t="shared" ref="E2:E27" si="4">Q_RP_A_MultiResponse</f>
        <v>0</v>
      </c>
      <c r="F2">
        <f>'D-RepLevel'!$F$2</f>
        <v>0</v>
      </c>
      <c r="G2">
        <f>'D-RepLevel'!$G$2</f>
        <v>0</v>
      </c>
      <c r="H2">
        <f t="shared" ref="H2:H27"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27" si="6">Q4b_A_NumUSGPrograms</f>
        <v>0</v>
      </c>
      <c r="M2">
        <f t="shared" ref="M2:M27" si="7">Q6_A_Employees_Year3</f>
        <v>0</v>
      </c>
      <c r="N2">
        <f t="shared" ref="N2:N27" si="8">Q6_B_Employee_H1B_Total+Q6_B_Employee_H2B_Total+Q6_B_Employee_F1_Total+Q6_B_Employee_GreenCard_Total+Q6_B_Employee_Other_Total</f>
        <v>0</v>
      </c>
      <c r="O2">
        <f t="shared" ref="O2:O27" si="9">Year3</f>
        <v>2015</v>
      </c>
      <c r="P2">
        <f t="shared" ref="P2:P27" si="10">Q7_A_TotalSales_US_Year3+Q7_A_TotalSales_NonUS_Year3</f>
        <v>0</v>
      </c>
      <c r="Q2">
        <f t="shared" ref="Q2:Q27" si="11">Q7_B_DefSales_US_Year3_Pct*Q7_A_TotalSales_US_Year3+Q7_B_DefSales_NonUS_Year3_Pct*Q7_A_TotalSales_NonUS_Year3</f>
        <v>0</v>
      </c>
      <c r="R2">
        <f t="shared" ref="R2:R27" si="12">Q9a_B_Physical_Year3</f>
        <v>0</v>
      </c>
      <c r="S2">
        <f t="shared" ref="S2:S27" si="13">Q9a_B_Cyber_Year3</f>
        <v>0</v>
      </c>
      <c r="T2">
        <f>COUNTIF('9a'!$K$22:$K$32, "Yes")+COUNTIF('9a'!$O$22:$O$32, "Yes")</f>
        <v>0</v>
      </c>
      <c r="U2" t="str">
        <f t="shared" ref="U2:U27" si="14">IF(Q12_OpEx_Year3=0, "No Expenditures", Q9b_A_PhysicalSpending_Year3/(Q12_OpEx_Year3))</f>
        <v>No Expenditures</v>
      </c>
      <c r="V2" t="str">
        <f t="shared" ref="V2:V27" si="15">IF(Q12_OpEx_Year3=0, "No Expenditures", Q9b_A_CyberSpending_Year3/(Q12_OpEx_Year3))</f>
        <v>No Expenditures</v>
      </c>
      <c r="W2">
        <f t="shared" ref="W2:W27" si="16">Q9b_C_Pct_CSI_External</f>
        <v>0</v>
      </c>
      <c r="X2" t="str">
        <f>'D-Risk'!$AO$25</f>
        <v>Insufficient Data</v>
      </c>
      <c r="Y2" t="str">
        <f>'D-Risk'!$AO$26</f>
        <v>Insufficient Data</v>
      </c>
      <c r="Z2" t="str">
        <f>'D-Risk'!$AO$27</f>
        <v>Uncalculated</v>
      </c>
      <c r="AA2">
        <f t="shared" ref="AA2:AA27" si="17">$AV$25</f>
        <v>0</v>
      </c>
      <c r="AB2">
        <f t="shared" ref="AB2:AB27" si="18">$AV$26</f>
        <v>0</v>
      </c>
      <c r="AC2" t="str">
        <f t="shared" ref="AC2:AC27" si="19">$AV$27</f>
        <v>Low/Neutral Risk</v>
      </c>
      <c r="AD2" t="s">
        <v>2499</v>
      </c>
      <c r="AE2" t="s">
        <v>2500</v>
      </c>
      <c r="AF2" t="str">
        <f>'D-Ratios (Pivot)'!AE17</f>
        <v>No Sales</v>
      </c>
      <c r="AG2" t="str">
        <f>'D-Ratios (Pivot)'!AE36</f>
        <v>No Sales</v>
      </c>
      <c r="AH2" t="str">
        <f>'D-Ratios (Pivot)'!AE55</f>
        <v>No Sales</v>
      </c>
      <c r="AJ2" s="1" t="s">
        <v>2501</v>
      </c>
      <c r="AK2" s="2" t="str">
        <f t="shared" ref="AK2:AM4" si="20">IF(NOT(ISNUMBER(AF2)), AF2, IF(AF2&lt;0, 1, 0))</f>
        <v>No Sales</v>
      </c>
      <c r="AL2" s="2" t="str">
        <f t="shared" si="20"/>
        <v>No Sales</v>
      </c>
      <c r="AM2" s="2" t="str">
        <f t="shared" si="20"/>
        <v>No Sales</v>
      </c>
      <c r="AN2" s="3" t="str">
        <f t="shared" ref="AN2:AN10" si="21">IF(ISERROR(AVERAGE(AK2:AM2)), "Insufficient Data", AVERAGE(AK2:AM2))</f>
        <v>Insufficient Data</v>
      </c>
      <c r="AR2" s="1">
        <f t="shared" ref="AR2:AR11" si="22">IF(ISERROR(AK2/1), 0, AK2)</f>
        <v>0</v>
      </c>
      <c r="AS2" s="2">
        <f t="shared" ref="AS2:AS11" si="23">IF(ISERROR(AL2/1), 0, AL2)</f>
        <v>0</v>
      </c>
      <c r="AT2" s="2">
        <f t="shared" ref="AT2:AT11" si="24">IF(ISERROR(AM2/1), 0, AM2)</f>
        <v>0</v>
      </c>
      <c r="AU2" s="3">
        <f t="shared" ref="AU2:AU20" si="25">AVERAGE(AR2:AT2)</f>
        <v>0</v>
      </c>
    </row>
    <row r="3" spans="1:47"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f t="shared" si="17"/>
        <v>0</v>
      </c>
      <c r="AB3">
        <f t="shared" si="18"/>
        <v>0</v>
      </c>
      <c r="AC3" t="str">
        <f t="shared" si="19"/>
        <v>Low/Neutral Risk</v>
      </c>
      <c r="AD3" t="s">
        <v>2499</v>
      </c>
      <c r="AE3" t="s">
        <v>2502</v>
      </c>
      <c r="AF3" t="str">
        <f>'D-Ratios (Pivot)'!AE18</f>
        <v>No Sales</v>
      </c>
      <c r="AG3" t="str">
        <f>'D-Ratios (Pivot)'!AE37</f>
        <v>No Sales</v>
      </c>
      <c r="AH3" t="str">
        <f>'D-Ratios (Pivot)'!AE56</f>
        <v>No Sales</v>
      </c>
      <c r="AJ3" s="4" t="s">
        <v>2501</v>
      </c>
      <c r="AK3" s="5" t="str">
        <f t="shared" si="20"/>
        <v>No Sales</v>
      </c>
      <c r="AL3" s="5" t="str">
        <f t="shared" si="20"/>
        <v>No Sales</v>
      </c>
      <c r="AM3" s="5" t="str">
        <f t="shared" si="20"/>
        <v>No Sales</v>
      </c>
      <c r="AN3" s="6" t="str">
        <f t="shared" si="21"/>
        <v>Insufficient Data</v>
      </c>
      <c r="AR3" s="4">
        <f t="shared" si="22"/>
        <v>0</v>
      </c>
      <c r="AS3" s="5">
        <f t="shared" si="23"/>
        <v>0</v>
      </c>
      <c r="AT3" s="5">
        <f t="shared" si="24"/>
        <v>0</v>
      </c>
      <c r="AU3" s="6">
        <f t="shared" si="25"/>
        <v>0</v>
      </c>
    </row>
    <row r="4" spans="1:47"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f t="shared" si="17"/>
        <v>0</v>
      </c>
      <c r="AB4">
        <f t="shared" si="18"/>
        <v>0</v>
      </c>
      <c r="AC4" t="str">
        <f t="shared" si="19"/>
        <v>Low/Neutral Risk</v>
      </c>
      <c r="AD4" t="s">
        <v>2499</v>
      </c>
      <c r="AE4" t="s">
        <v>2503</v>
      </c>
      <c r="AF4" t="str">
        <f>'D-Ratios (Pivot)'!AE9</f>
        <v>No Sales</v>
      </c>
      <c r="AG4" t="str">
        <f>'D-Ratios (Pivot)'!AE28</f>
        <v>No Sales</v>
      </c>
      <c r="AH4" t="str">
        <f>'D-Ratios (Pivot)'!AE47</f>
        <v>No Sales</v>
      </c>
      <c r="AJ4" s="4" t="s">
        <v>2501</v>
      </c>
      <c r="AK4" s="5" t="str">
        <f t="shared" si="20"/>
        <v>No Sales</v>
      </c>
      <c r="AL4" s="5" t="str">
        <f t="shared" si="20"/>
        <v>No Sales</v>
      </c>
      <c r="AM4" s="5" t="str">
        <f t="shared" si="20"/>
        <v>No Sales</v>
      </c>
      <c r="AN4" s="6" t="str">
        <f t="shared" si="21"/>
        <v>Insufficient Data</v>
      </c>
      <c r="AR4" s="4">
        <f t="shared" si="22"/>
        <v>0</v>
      </c>
      <c r="AS4" s="5">
        <f t="shared" si="23"/>
        <v>0</v>
      </c>
      <c r="AT4" s="5">
        <f t="shared" si="24"/>
        <v>0</v>
      </c>
      <c r="AU4" s="6">
        <f t="shared" si="25"/>
        <v>0</v>
      </c>
    </row>
    <row r="5" spans="1:47"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f t="shared" si="17"/>
        <v>0</v>
      </c>
      <c r="AB5">
        <f t="shared" si="18"/>
        <v>0</v>
      </c>
      <c r="AC5" t="str">
        <f t="shared" si="19"/>
        <v>Low/Neutral Risk</v>
      </c>
      <c r="AD5" t="s">
        <v>2504</v>
      </c>
      <c r="AE5" t="s">
        <v>2505</v>
      </c>
      <c r="AF5" t="str">
        <f>'D-Ratios (Pivot)'!AE6</f>
        <v>No Assets</v>
      </c>
      <c r="AG5" t="str">
        <f>'D-Ratios (Pivot)'!AE25</f>
        <v>No Assets</v>
      </c>
      <c r="AH5" t="str">
        <f>'D-Ratios (Pivot)'!AE44</f>
        <v>No Assets</v>
      </c>
      <c r="AJ5" s="4" t="s">
        <v>2506</v>
      </c>
      <c r="AK5" s="5" t="str">
        <f>IF(NOT(ISNUMBER(AF5)), AF5, IF(AF5&gt;2,2,IF(AF5&gt;1,1,0)))</f>
        <v>No Assets</v>
      </c>
      <c r="AL5" s="5" t="str">
        <f>IF(NOT(ISNUMBER(AG5)), AG5, IF(AG5&gt;2,2,IF(AG5&gt;1,1,0)))</f>
        <v>No Assets</v>
      </c>
      <c r="AM5" s="5" t="str">
        <f>IF(NOT(ISNUMBER(AH5)), AH5, IF(AH5&gt;2,2,IF(AH5&gt;1,1,0)))</f>
        <v>No Assets</v>
      </c>
      <c r="AN5" s="6" t="str">
        <f t="shared" si="21"/>
        <v>Insufficient Data</v>
      </c>
      <c r="AR5" s="4">
        <f t="shared" si="22"/>
        <v>0</v>
      </c>
      <c r="AS5" s="5">
        <f t="shared" si="23"/>
        <v>0</v>
      </c>
      <c r="AT5" s="5">
        <f t="shared" si="24"/>
        <v>0</v>
      </c>
      <c r="AU5" s="6">
        <f t="shared" si="25"/>
        <v>0</v>
      </c>
    </row>
    <row r="6" spans="1:47"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f t="shared" si="17"/>
        <v>0</v>
      </c>
      <c r="AB6">
        <f t="shared" si="18"/>
        <v>0</v>
      </c>
      <c r="AC6" t="str">
        <f t="shared" si="19"/>
        <v>Low/Neutral Risk</v>
      </c>
      <c r="AD6" t="s">
        <v>2504</v>
      </c>
      <c r="AE6" t="s">
        <v>2507</v>
      </c>
      <c r="AF6" t="str">
        <f>'D-Ratios (Pivot)'!AE7</f>
        <v>No Owner's Equity</v>
      </c>
      <c r="AG6" t="str">
        <f>'D-Ratios (Pivot)'!AE26</f>
        <v>No Owner's Equity</v>
      </c>
      <c r="AH6" t="str">
        <f>'D-Ratios (Pivot)'!AE45</f>
        <v>No Owner's Equity</v>
      </c>
      <c r="AJ6" s="4" t="s">
        <v>2508</v>
      </c>
      <c r="AK6" s="5" t="str">
        <f>IF(NOT(ISNUMBER(AF6)), AF6, IF(AF6&gt;2, 1, 0))</f>
        <v>No Owner's Equity</v>
      </c>
      <c r="AL6" s="5" t="str">
        <f>IF(NOT(ISNUMBER(AG6)), AG6, IF(AG6&gt;2, 1, 0))</f>
        <v>No Owner's Equity</v>
      </c>
      <c r="AM6" s="5" t="str">
        <f>IF(NOT(ISNUMBER(AH6)), AH6, IF(AH6&gt;2, 1, 0))</f>
        <v>No Owner's Equity</v>
      </c>
      <c r="AN6" s="6" t="str">
        <f t="shared" si="21"/>
        <v>Insufficient Data</v>
      </c>
      <c r="AR6" s="4">
        <f t="shared" si="22"/>
        <v>0</v>
      </c>
      <c r="AS6" s="5">
        <f t="shared" si="23"/>
        <v>0</v>
      </c>
      <c r="AT6" s="5">
        <f t="shared" si="24"/>
        <v>0</v>
      </c>
      <c r="AU6" s="6">
        <f t="shared" si="25"/>
        <v>0</v>
      </c>
    </row>
    <row r="7" spans="1:47"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f t="shared" si="17"/>
        <v>0</v>
      </c>
      <c r="AB7">
        <f t="shared" si="18"/>
        <v>0</v>
      </c>
      <c r="AC7" t="str">
        <f t="shared" si="19"/>
        <v>Low/Neutral Risk</v>
      </c>
      <c r="AD7" t="s">
        <v>2504</v>
      </c>
      <c r="AE7" t="s">
        <v>2509</v>
      </c>
      <c r="AF7" t="str">
        <f>'D-Ratios (Pivot)'!AE2</f>
        <v>No Current Liabilities</v>
      </c>
      <c r="AG7" t="str">
        <f>'D-Ratios (Pivot)'!AE21</f>
        <v>No Current Liabilities</v>
      </c>
      <c r="AH7" t="str">
        <f>'D-Ratios (Pivot)'!AE40</f>
        <v>No Current Liabilities</v>
      </c>
      <c r="AJ7" s="4" t="s">
        <v>2510</v>
      </c>
      <c r="AK7" s="5">
        <f>IF(NOT(ISNUMBER(AF7)), 0, IF(AF7&lt;0.85,2,IF(AF7&lt;1,1,0)))</f>
        <v>0</v>
      </c>
      <c r="AL7" s="5">
        <f>IF(NOT(ISNUMBER(AG7)), 0, IF(AG7&lt;0.85,2,IF(AG7&lt;1,1,0)))</f>
        <v>0</v>
      </c>
      <c r="AM7" s="5">
        <f>IF(NOT(ISNUMBER(AH7)), 0, IF(AH7&lt;0.85,2,IF(AH7&lt;1,1,0)))</f>
        <v>0</v>
      </c>
      <c r="AN7" s="6">
        <f t="shared" si="21"/>
        <v>0</v>
      </c>
      <c r="AR7" s="4">
        <f t="shared" si="22"/>
        <v>0</v>
      </c>
      <c r="AS7" s="5">
        <f t="shared" si="23"/>
        <v>0</v>
      </c>
      <c r="AT7" s="5">
        <f t="shared" si="24"/>
        <v>0</v>
      </c>
      <c r="AU7" s="6">
        <f t="shared" si="25"/>
        <v>0</v>
      </c>
    </row>
    <row r="8" spans="1:47"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f t="shared" si="17"/>
        <v>0</v>
      </c>
      <c r="AB8">
        <f t="shared" si="18"/>
        <v>0</v>
      </c>
      <c r="AC8" t="str">
        <f t="shared" si="19"/>
        <v>Low/Neutral Risk</v>
      </c>
      <c r="AD8" t="s">
        <v>2504</v>
      </c>
      <c r="AE8" s="5" t="s">
        <v>2511</v>
      </c>
      <c r="AF8" t="str">
        <f>'D-Ratios (Pivot)'!AE3</f>
        <v>No Current Liabilities</v>
      </c>
      <c r="AG8" t="str">
        <f>'D-Ratios (Pivot)'!AE22</f>
        <v>No Current Liabilities</v>
      </c>
      <c r="AH8" t="str">
        <f>'D-Ratios (Pivot)'!AE40</f>
        <v>No Current Liabilities</v>
      </c>
      <c r="AJ8" s="4" t="s">
        <v>2512</v>
      </c>
      <c r="AK8" s="5">
        <f>IF(NOT(ISNUMBER(AF8)), 0, IF(AF8&lt;0.65, 1, 0))</f>
        <v>0</v>
      </c>
      <c r="AL8" s="5">
        <f>IF(NOT(ISNUMBER(AG8)), 0, IF(AG8&lt;0.65, 1, 0))</f>
        <v>0</v>
      </c>
      <c r="AM8" s="5">
        <f>IF(NOT(ISNUMBER(AH8)), 0, IF(AH8&lt;0.65, 1, 0))</f>
        <v>0</v>
      </c>
      <c r="AN8" s="6">
        <f t="shared" si="21"/>
        <v>0</v>
      </c>
      <c r="AR8" s="4">
        <f t="shared" si="22"/>
        <v>0</v>
      </c>
      <c r="AS8" s="5">
        <f t="shared" si="23"/>
        <v>0</v>
      </c>
      <c r="AT8" s="5">
        <f t="shared" si="24"/>
        <v>0</v>
      </c>
      <c r="AU8" s="6">
        <f t="shared" si="25"/>
        <v>0</v>
      </c>
    </row>
    <row r="9" spans="1:47"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f t="shared" si="17"/>
        <v>0</v>
      </c>
      <c r="AB9">
        <f t="shared" si="18"/>
        <v>0</v>
      </c>
      <c r="AC9" t="str">
        <f t="shared" si="19"/>
        <v>Low/Neutral Risk</v>
      </c>
      <c r="AD9" t="s">
        <v>2513</v>
      </c>
      <c r="AE9" t="s">
        <v>2514</v>
      </c>
      <c r="AF9" t="str">
        <f>'D-Ratios (Pivot)'!AE14</f>
        <v>Insufficient Data</v>
      </c>
      <c r="AG9" t="str">
        <f>'D-Ratios (Pivot)'!AE33</f>
        <v>Insufficient Data</v>
      </c>
      <c r="AH9" t="str">
        <f>'D-Ratios (Pivot)'!AE52</f>
        <v>Insufficient Data</v>
      </c>
      <c r="AJ9" s="4" t="s">
        <v>2515</v>
      </c>
      <c r="AK9" s="5" t="str">
        <f>IF(NOT(ISNUMBER(AF9)), AF9, IF(AF9&lt;1.23,3,IF(AF9&lt;2.9,2,0)))</f>
        <v>Insufficient Data</v>
      </c>
      <c r="AL9" s="5" t="str">
        <f>IF(NOT(ISNUMBER(AG9)), AG9, IF(AG9&lt;1.23,3,IF(AG9&lt;2.9,2,0)))</f>
        <v>Insufficient Data</v>
      </c>
      <c r="AM9" s="5" t="str">
        <f>IF(NOT(ISNUMBER(AH9)), AH9, IF(AH9&lt;1.23,3,IF(AH9&lt;2.9,2,0)))</f>
        <v>Insufficient Data</v>
      </c>
      <c r="AN9" s="6" t="str">
        <f t="shared" si="21"/>
        <v>Insufficient Data</v>
      </c>
      <c r="AR9" s="4">
        <f t="shared" si="22"/>
        <v>0</v>
      </c>
      <c r="AS9" s="5">
        <f t="shared" si="23"/>
        <v>0</v>
      </c>
      <c r="AT9" s="5">
        <f t="shared" si="24"/>
        <v>0</v>
      </c>
      <c r="AU9" s="6">
        <f t="shared" si="25"/>
        <v>0</v>
      </c>
    </row>
    <row r="10" spans="1:47"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f t="shared" si="17"/>
        <v>0</v>
      </c>
      <c r="AB10">
        <f t="shared" si="18"/>
        <v>0</v>
      </c>
      <c r="AC10" t="str">
        <f t="shared" si="19"/>
        <v>Low/Neutral Risk</v>
      </c>
      <c r="AD10" t="s">
        <v>2513</v>
      </c>
      <c r="AE10" t="s">
        <v>2516</v>
      </c>
      <c r="AF10" t="str">
        <f>'D-Ratios (Pivot)'!AE15</f>
        <v>Insufficient Data</v>
      </c>
      <c r="AG10" t="str">
        <f>'D-Ratios (Pivot)'!AE34</f>
        <v>Insufficient Data</v>
      </c>
      <c r="AH10" t="str">
        <f>'D-Ratios (Pivot)'!AE53</f>
        <v>Insufficient Data</v>
      </c>
      <c r="AJ10" s="4" t="s">
        <v>2517</v>
      </c>
      <c r="AK10" s="5" t="str">
        <f>IF(NOT(ISNUMBER(AF10)), AF10, IF(AF10&lt;1.1,3,IF(AF10&lt;2.6,2,0)))</f>
        <v>Insufficient Data</v>
      </c>
      <c r="AL10" s="5" t="str">
        <f>IF(NOT(ISNUMBER(AG10)), AG10, IF(AG10&lt;1.1,3,IF(AG10&lt;2.6,2,0)))</f>
        <v>Insufficient Data</v>
      </c>
      <c r="AM10" s="5" t="str">
        <f>IF(NOT(ISNUMBER(AH10)), AH10, IF(AH10&lt;1.1,3,IF(AH10&lt;2.6,2,0)))</f>
        <v>Insufficient Data</v>
      </c>
      <c r="AN10" s="6" t="str">
        <f t="shared" si="21"/>
        <v>Insufficient Data</v>
      </c>
      <c r="AR10" s="4">
        <f t="shared" si="22"/>
        <v>0</v>
      </c>
      <c r="AS10" s="5">
        <f t="shared" si="23"/>
        <v>0</v>
      </c>
      <c r="AT10" s="5">
        <f t="shared" si="24"/>
        <v>0</v>
      </c>
      <c r="AU10" s="6">
        <f t="shared" si="25"/>
        <v>0</v>
      </c>
    </row>
    <row r="11" spans="1:47" ht="15.75" thickBot="1" x14ac:dyDescent="0.3">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f t="shared" si="17"/>
        <v>0</v>
      </c>
      <c r="AB11">
        <f t="shared" si="18"/>
        <v>0</v>
      </c>
      <c r="AC11" t="str">
        <f t="shared" si="19"/>
        <v>Low/Neutral Risk</v>
      </c>
      <c r="AD11" t="s">
        <v>2518</v>
      </c>
      <c r="AE11" t="s">
        <v>2519</v>
      </c>
      <c r="AF11">
        <f>Q3g_Dependent_YN</f>
        <v>0</v>
      </c>
      <c r="AG11">
        <f>Q3g_Dependent_YN</f>
        <v>0</v>
      </c>
      <c r="AH11">
        <f>Q3g_Dependent_YN</f>
        <v>0</v>
      </c>
      <c r="AI11" s="215">
        <f>AH11</f>
        <v>0</v>
      </c>
      <c r="AJ11" s="282" t="s">
        <v>2520</v>
      </c>
      <c r="AK11" s="283">
        <f>IF($AI11="yes", 1, 0)</f>
        <v>0</v>
      </c>
      <c r="AL11" s="283">
        <f>IF($AI11="yes", 1, 0)</f>
        <v>0</v>
      </c>
      <c r="AM11" s="283">
        <f>IF($AI11="yes", 1, 0)</f>
        <v>0</v>
      </c>
      <c r="AN11" s="284">
        <f>AVERAGE(AK11:AM11)</f>
        <v>0</v>
      </c>
      <c r="AR11" s="4">
        <f t="shared" si="22"/>
        <v>0</v>
      </c>
      <c r="AS11" s="5">
        <f t="shared" si="23"/>
        <v>0</v>
      </c>
      <c r="AT11" s="5">
        <f t="shared" si="24"/>
        <v>0</v>
      </c>
      <c r="AU11" s="6">
        <f t="shared" si="25"/>
        <v>0</v>
      </c>
    </row>
    <row r="12" spans="1:47" ht="15.75" thickBot="1" x14ac:dyDescent="0.3">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f t="shared" si="17"/>
        <v>0</v>
      </c>
      <c r="AB12">
        <f t="shared" si="18"/>
        <v>0</v>
      </c>
      <c r="AC12" t="str">
        <f t="shared" si="19"/>
        <v>Low/Neutral Risk</v>
      </c>
      <c r="AJ12" s="285" t="s">
        <v>2521</v>
      </c>
      <c r="AK12" s="286" t="str">
        <f>IF(ISERROR(SUM(AK2+AK3+AK4+AK5+AK6+AK7+AK8+AK9+AK10+AK11)), "Insufficient Data",SUM(AK2:AK11))</f>
        <v>Insufficient Data</v>
      </c>
      <c r="AL12" s="286" t="str">
        <f>IF(ISERROR(SUM(AL2+AL3+AL4+AL5+AL6+AL7+AL8+AL9+AL10+AL11)), "Insufficient Data",SUM(AL2:AL11))</f>
        <v>Insufficient Data</v>
      </c>
      <c r="AM12" s="286" t="str">
        <f>IF(ISERROR(SUM(AM2+AM3+AM4+AM5+AM6+AM7+AM8+AM9+AM10+AM11)), "Insufficient Data",SUM(AM2:AM11))</f>
        <v>Insufficient Data</v>
      </c>
      <c r="AN12" s="287" t="str">
        <f>IF(ISERROR(AVERAGE(AK12:AM12)), "Insufficient Data", AVERAGE(AK12:AM12))</f>
        <v>Insufficient Data</v>
      </c>
      <c r="AR12" s="288">
        <f>SUM(AR2:AR11)</f>
        <v>0</v>
      </c>
      <c r="AS12" s="286">
        <f>SUM(AS2:AS11)</f>
        <v>0</v>
      </c>
      <c r="AT12" s="286">
        <f>SUM(AT2:AT11)</f>
        <v>0</v>
      </c>
      <c r="AU12" s="289">
        <f t="shared" si="25"/>
        <v>0</v>
      </c>
    </row>
    <row r="13" spans="1:47"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f t="shared" si="17"/>
        <v>0</v>
      </c>
      <c r="AB13">
        <f t="shared" si="18"/>
        <v>0</v>
      </c>
      <c r="AC13" t="str">
        <f t="shared" si="19"/>
        <v>Low/Neutral Risk</v>
      </c>
      <c r="AD13" t="s">
        <v>2522</v>
      </c>
      <c r="AE13" t="s">
        <v>2523</v>
      </c>
      <c r="AF13" t="str">
        <f>IF(ISERROR(Q12_COGS_Year1/Q12_Inv_Year1), "No Inventory", Q12_COGS_Year1/Q12_Inv_Year1)</f>
        <v>No Inventory</v>
      </c>
      <c r="AG13" t="str">
        <f>IF(ISERROR(Q12_COGS_Year2/Q12_Inv_Year2), "No Inventory", Q12_COGS_Year2/Q12_Inv_Year2)</f>
        <v>No Inventory</v>
      </c>
      <c r="AH13" t="str">
        <f>IF(ISERROR(Q12_COGS_Year3/Q12_Inv_Year3), "No Inventory", Q12_COGS_Year3/Q12_Inv_Year3)</f>
        <v>No Inventory</v>
      </c>
      <c r="AI13" s="215">
        <f>IF(ISERROR(IF((AH13-AF13)&lt;-1, 1, 0)), 0, IF((AH13-AF13)&lt;-1, 1, 0))</f>
        <v>0</v>
      </c>
      <c r="AJ13" s="290" t="s">
        <v>2524</v>
      </c>
      <c r="AK13" s="291">
        <f>IF($AI13="No Inventory", 0, $AI13)</f>
        <v>0</v>
      </c>
      <c r="AL13" s="291">
        <f>IF($AI13="No Inventory", 0, $AI13)</f>
        <v>0</v>
      </c>
      <c r="AM13" s="291">
        <f>IF($AI13="No Inventory", 0, $AI13)</f>
        <v>0</v>
      </c>
      <c r="AN13" s="291">
        <f>IF($AI13="No Inventory", 0, $AI13)</f>
        <v>0</v>
      </c>
      <c r="AR13" s="4">
        <f t="shared" ref="AR13:AT17" si="26">IF(ISERROR(AK13/1), 0, AK13)</f>
        <v>0</v>
      </c>
      <c r="AS13" s="5">
        <f t="shared" si="26"/>
        <v>0</v>
      </c>
      <c r="AT13" s="5">
        <f t="shared" si="26"/>
        <v>0</v>
      </c>
      <c r="AU13" s="6">
        <f t="shared" si="25"/>
        <v>0</v>
      </c>
    </row>
    <row r="14" spans="1:47"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f t="shared" si="17"/>
        <v>0</v>
      </c>
      <c r="AB14">
        <f t="shared" si="18"/>
        <v>0</v>
      </c>
      <c r="AC14" t="str">
        <f t="shared" si="19"/>
        <v>Low/Neutral Risk</v>
      </c>
      <c r="AD14" t="s">
        <v>2522</v>
      </c>
      <c r="AE14" t="s">
        <v>2525</v>
      </c>
      <c r="AF14" t="str">
        <f>IF(ISERROR(Q11_Expend_Total_Year1/Q12_NetSales_Year1), "No Sales", Q11_Expend_Total_Year1/Q12_NetSales_Year1)</f>
        <v>No Sales</v>
      </c>
      <c r="AG14" t="str">
        <f>IF(ISERROR(Q11_Expend_Total_Year2/Q12_NetSales_Year2), "No Sales", Q11_Expend_Total_Year2/Q12_NetSales_Year2)</f>
        <v>No Sales</v>
      </c>
      <c r="AH14" t="str">
        <f>IF(ISERROR(Q11_Expend_Total_Year3/Q12_NetSales_Year3), "No Sales", Q11_Expend_Total_Year3/Q12_NetSales_Year3)</f>
        <v>No Sales</v>
      </c>
      <c r="AI14" s="215">
        <f>IF(ISERROR(IF((AH14-AF14)&lt;-0.01, 1, 0)),0, IF((AH14-AF14)&lt;-0.01, 1, 0))</f>
        <v>0</v>
      </c>
      <c r="AJ14" s="292" t="s">
        <v>2526</v>
      </c>
      <c r="AK14" s="293">
        <f t="shared" ref="AK14:AN16" si="27">$AI14</f>
        <v>0</v>
      </c>
      <c r="AL14" s="293">
        <f t="shared" si="27"/>
        <v>0</v>
      </c>
      <c r="AM14" s="293">
        <f t="shared" si="27"/>
        <v>0</v>
      </c>
      <c r="AN14" s="294">
        <f t="shared" si="27"/>
        <v>0</v>
      </c>
      <c r="AR14" s="4">
        <f t="shared" si="26"/>
        <v>0</v>
      </c>
      <c r="AS14" s="5">
        <f t="shared" si="26"/>
        <v>0</v>
      </c>
      <c r="AT14" s="5">
        <f t="shared" si="26"/>
        <v>0</v>
      </c>
      <c r="AU14" s="6">
        <f t="shared" si="25"/>
        <v>0</v>
      </c>
    </row>
    <row r="15" spans="1:47"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f t="shared" si="17"/>
        <v>0</v>
      </c>
      <c r="AB15">
        <f t="shared" si="18"/>
        <v>0</v>
      </c>
      <c r="AC15" t="str">
        <f t="shared" si="19"/>
        <v>Low/Neutral Risk</v>
      </c>
      <c r="AD15" t="s">
        <v>2522</v>
      </c>
      <c r="AE15" t="s">
        <v>2527</v>
      </c>
      <c r="AF15">
        <f>Q12_NetSales_Year1</f>
        <v>0</v>
      </c>
      <c r="AG15">
        <f>Q12_NetSales_Year2</f>
        <v>0</v>
      </c>
      <c r="AH15">
        <f>Q12_NetSales_Year3</f>
        <v>0</v>
      </c>
      <c r="AI15" s="215">
        <f>IF(ISERROR(IF((AH15/AF15)&lt;0.9, 1, 0)), 0, IF((AH15/AF15)&lt;0.9, 1, 0))</f>
        <v>0</v>
      </c>
      <c r="AJ15" s="292" t="s">
        <v>2528</v>
      </c>
      <c r="AK15" s="293">
        <f t="shared" si="27"/>
        <v>0</v>
      </c>
      <c r="AL15" s="293">
        <f t="shared" si="27"/>
        <v>0</v>
      </c>
      <c r="AM15" s="293">
        <f t="shared" si="27"/>
        <v>0</v>
      </c>
      <c r="AN15" s="294">
        <f t="shared" si="27"/>
        <v>0</v>
      </c>
      <c r="AR15" s="4">
        <f t="shared" si="26"/>
        <v>0</v>
      </c>
      <c r="AS15" s="5">
        <f t="shared" si="26"/>
        <v>0</v>
      </c>
      <c r="AT15" s="5">
        <f t="shared" si="26"/>
        <v>0</v>
      </c>
      <c r="AU15" s="6">
        <f t="shared" si="25"/>
        <v>0</v>
      </c>
    </row>
    <row r="16" spans="1:47"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f t="shared" si="17"/>
        <v>0</v>
      </c>
      <c r="AB16">
        <f t="shared" si="18"/>
        <v>0</v>
      </c>
      <c r="AC16" t="str">
        <f t="shared" si="19"/>
        <v>Low/Neutral Risk</v>
      </c>
      <c r="AD16" t="s">
        <v>2522</v>
      </c>
      <c r="AE16" t="s">
        <v>2529</v>
      </c>
      <c r="AF16">
        <f>Q12_OpInc_Year1</f>
        <v>0</v>
      </c>
      <c r="AG16">
        <f>Q12_OpInc_Year2</f>
        <v>0</v>
      </c>
      <c r="AH16">
        <f>Q12_OpInc_Year3</f>
        <v>0</v>
      </c>
      <c r="AI16" s="215">
        <f>IF(ISERROR(IF((AH16-AF16)&lt;0, 1, 0)), 0, IF((AH16-AF16)&lt;0, 1, 0))</f>
        <v>0</v>
      </c>
      <c r="AJ16" s="292" t="s">
        <v>2530</v>
      </c>
      <c r="AK16" s="293">
        <f t="shared" si="27"/>
        <v>0</v>
      </c>
      <c r="AL16" s="293">
        <f t="shared" si="27"/>
        <v>0</v>
      </c>
      <c r="AM16" s="293">
        <f t="shared" si="27"/>
        <v>0</v>
      </c>
      <c r="AN16" s="294">
        <f t="shared" si="27"/>
        <v>0</v>
      </c>
      <c r="AR16" s="4">
        <f t="shared" si="26"/>
        <v>0</v>
      </c>
      <c r="AS16" s="5">
        <f t="shared" si="26"/>
        <v>0</v>
      </c>
      <c r="AT16" s="5">
        <f t="shared" si="26"/>
        <v>0</v>
      </c>
      <c r="AU16" s="6">
        <f t="shared" si="25"/>
        <v>0</v>
      </c>
    </row>
    <row r="17" spans="1:48" ht="15.75" thickBot="1" x14ac:dyDescent="0.3">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f t="shared" si="17"/>
        <v>0</v>
      </c>
      <c r="AB17">
        <f t="shared" si="18"/>
        <v>0</v>
      </c>
      <c r="AC17" t="str">
        <f t="shared" si="19"/>
        <v>Low/Neutral Risk</v>
      </c>
      <c r="AD17" t="s">
        <v>2531</v>
      </c>
      <c r="AE17" t="s">
        <v>2532</v>
      </c>
      <c r="AF17" t="str">
        <f>IF(ISERROR(USG_Dependent_Year1), "No Sales", USG_Dependent_Year1)</f>
        <v>No Sales</v>
      </c>
      <c r="AG17" t="str">
        <f>IF(ISERROR(USG_Dependent_Year2), "No Sales", USG_Dependent_Year2)</f>
        <v>No Sales</v>
      </c>
      <c r="AH17" t="str">
        <f>IF(ISERROR(USG_Dependent_Year3), "No Sales", USG_Dependent_Year3)</f>
        <v>No Sales</v>
      </c>
      <c r="AJ17" s="7" t="s">
        <v>2533</v>
      </c>
      <c r="AK17" s="8">
        <f>IF(NOT(ISNUMBER(AF17)), 0, IF(AF17&gt;0.25, 1, 0))</f>
        <v>0</v>
      </c>
      <c r="AL17" s="8">
        <f>IF(NOT(ISNUMBER(AG17)), 0, IF(AG17&gt;0.25, 1, 0))</f>
        <v>0</v>
      </c>
      <c r="AM17" s="8">
        <f>IF(NOT(ISNUMBER(AH17)), 0, IF(AH17&gt;0.25, 1, 0))</f>
        <v>0</v>
      </c>
      <c r="AN17" s="9">
        <f>IF(ISERROR(AVERAGE(AK17:AM17)), "Insufficient Data", AVERAGE(AK17:AM17))</f>
        <v>0</v>
      </c>
      <c r="AR17" s="4">
        <f t="shared" si="26"/>
        <v>0</v>
      </c>
      <c r="AS17" s="5">
        <f t="shared" si="26"/>
        <v>0</v>
      </c>
      <c r="AT17" s="5">
        <f t="shared" si="26"/>
        <v>0</v>
      </c>
      <c r="AU17" s="6">
        <f t="shared" si="25"/>
        <v>0</v>
      </c>
    </row>
    <row r="18" spans="1:48" ht="15.75" thickBot="1" x14ac:dyDescent="0.3">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f t="shared" si="17"/>
        <v>0</v>
      </c>
      <c r="AB18">
        <f t="shared" si="18"/>
        <v>0</v>
      </c>
      <c r="AC18" t="str">
        <f t="shared" si="19"/>
        <v>Low/Neutral Risk</v>
      </c>
      <c r="AJ18" s="288" t="s">
        <v>2534</v>
      </c>
      <c r="AK18" s="286" t="str">
        <f>IF(ISERROR(AK12+AK13+AK14+AK15+AK16+AK17), "Insufficient Data", AK12+AK13+AK14+AK15+AK16+AK17)</f>
        <v>Insufficient Data</v>
      </c>
      <c r="AL18" s="286" t="str">
        <f>IF(ISERROR(AL12+AL13+AL14+AL15+AL16+AL17), "Insufficient Data", AL12+AL13+AL14+AL15+AL16+AL17)</f>
        <v>Insufficient Data</v>
      </c>
      <c r="AM18" s="286" t="str">
        <f>IF(ISERROR(AM12+AM13+AM14+AM15+AM16+AM17), "Insufficient Data", AM12+AM13+AM14+AM15+AM16+AM17)</f>
        <v>Insufficient Data</v>
      </c>
      <c r="AN18" s="289" t="str">
        <f>IF(ISERROR(AVERAGE(AK18:AM18)), "Insufficient Data", AVERAGE(AK18:AM18))</f>
        <v>Insufficient Data</v>
      </c>
      <c r="AR18" s="288">
        <f>SUM(AR12:AR17)</f>
        <v>0</v>
      </c>
      <c r="AS18" s="286">
        <f>SUM(AS12:AS17)</f>
        <v>0</v>
      </c>
      <c r="AT18" s="286">
        <f>SUM(AT12:AT17)</f>
        <v>0</v>
      </c>
      <c r="AU18" s="289">
        <f t="shared" si="25"/>
        <v>0</v>
      </c>
    </row>
    <row r="19" spans="1:48" ht="15.75" thickBot="1" x14ac:dyDescent="0.3">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f t="shared" si="17"/>
        <v>0</v>
      </c>
      <c r="AB19">
        <f t="shared" si="18"/>
        <v>0</v>
      </c>
      <c r="AC19" t="str">
        <f t="shared" si="19"/>
        <v>Low/Neutral Risk</v>
      </c>
      <c r="AD19" t="s">
        <v>2535</v>
      </c>
      <c r="AE19" t="s">
        <v>2536</v>
      </c>
      <c r="AF19" t="str">
        <f>AK18</f>
        <v>Insufficient Data</v>
      </c>
      <c r="AG19" t="str">
        <f>AL18</f>
        <v>Insufficient Data</v>
      </c>
      <c r="AH19" t="str">
        <f>AM18</f>
        <v>Insufficient Data</v>
      </c>
      <c r="AI19" s="215">
        <f>IF(ISERROR(IF(AH19-AF19&lt;-3,-1,IF(AH19-AF19&gt;3,2,IF(AH19-AF19&gt;0,1,0)))), 0, IF(AH19-AF19&lt;-3,-1,IF(AH19-AF19&gt;3,2,IF(AH19-AF19&gt;0,1,0))))</f>
        <v>0</v>
      </c>
      <c r="AJ19" s="295" t="s">
        <v>2537</v>
      </c>
      <c r="AK19" s="293">
        <f>$AI19</f>
        <v>0</v>
      </c>
      <c r="AL19" s="293">
        <f>$AI19</f>
        <v>0</v>
      </c>
      <c r="AM19" s="293">
        <f>$AI19</f>
        <v>0</v>
      </c>
      <c r="AN19" s="294">
        <f>IF(ISERROR(AVERAGE(AK19:AM19)), "Insufficient Data", AVERAGE(AK19:AM19))</f>
        <v>0</v>
      </c>
      <c r="AR19" s="4">
        <f>IF(ISERROR(AK19/1), 0, AK19)</f>
        <v>0</v>
      </c>
      <c r="AS19" s="5">
        <f>IF(ISERROR(AL19/1), 0, AL19)</f>
        <v>0</v>
      </c>
      <c r="AT19" s="5">
        <f>IF(ISERROR(AM19/1), 0, AM19)</f>
        <v>0</v>
      </c>
      <c r="AU19" s="6">
        <f t="shared" si="25"/>
        <v>0</v>
      </c>
    </row>
    <row r="20" spans="1:48" ht="15.75" thickBot="1" x14ac:dyDescent="0.3">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f t="shared" si="17"/>
        <v>0</v>
      </c>
      <c r="AB20">
        <f t="shared" si="18"/>
        <v>0</v>
      </c>
      <c r="AC20" t="str">
        <f t="shared" si="19"/>
        <v>Low/Neutral Risk</v>
      </c>
      <c r="AJ20" s="288" t="s">
        <v>2538</v>
      </c>
      <c r="AK20" s="286" t="str">
        <f>IF(ISERROR(AK18+AK19), "Insufficient Data", AK18+AK19)</f>
        <v>Insufficient Data</v>
      </c>
      <c r="AL20" s="286" t="str">
        <f>IF(ISERROR(AL18+AL19), "Insufficient Data", AL18+AL19)</f>
        <v>Insufficient Data</v>
      </c>
      <c r="AM20" s="286" t="str">
        <f>IF(ISERROR(AM18+AM19), "Insufficient Data", AM18+AM19)</f>
        <v>Insufficient Data</v>
      </c>
      <c r="AN20" s="289" t="str">
        <f>IF(ISERROR(AVERAGE(AK20:AM20)), "Insufficient Data", AVERAGE(AK20:AM20))</f>
        <v>Insufficient Data</v>
      </c>
      <c r="AR20" s="296">
        <f>SUM(AR18:AR19)</f>
        <v>0</v>
      </c>
      <c r="AS20" s="297">
        <f>SUM(AS18:AS19)</f>
        <v>0</v>
      </c>
      <c r="AT20" s="297">
        <f>SUM(AT18:AT19)</f>
        <v>0</v>
      </c>
      <c r="AU20" s="298">
        <f t="shared" si="25"/>
        <v>0</v>
      </c>
    </row>
    <row r="21" spans="1:48"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f t="shared" si="17"/>
        <v>0</v>
      </c>
      <c r="AB21">
        <f t="shared" si="18"/>
        <v>0</v>
      </c>
      <c r="AC21" t="str">
        <f t="shared" si="19"/>
        <v>Low/Neutral Risk</v>
      </c>
      <c r="AJ21" t="s">
        <v>2539</v>
      </c>
      <c r="AO21" s="299" t="str">
        <f>IF(ISERROR(AK20+AL20+AM20), "Insufficient Data", AK20+AL20+AM20)</f>
        <v>Insufficient Data</v>
      </c>
      <c r="AV21" s="215">
        <f>SUM(AR20:AT20)</f>
        <v>0</v>
      </c>
    </row>
    <row r="22" spans="1:48"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f t="shared" si="17"/>
        <v>0</v>
      </c>
      <c r="AB22">
        <f t="shared" si="18"/>
        <v>0</v>
      </c>
      <c r="AC22" t="str">
        <f t="shared" si="19"/>
        <v>Low/Neutral Risk</v>
      </c>
      <c r="AJ22" t="s">
        <v>2540</v>
      </c>
      <c r="AL22" t="s">
        <v>2541</v>
      </c>
      <c r="AO22" s="299" t="str">
        <f>IF(AO21&lt;=20, "Low/Neutral Risk", IF(AO21&lt;=40, "Moderate/Elevated Risk", IF(AO21&lt;=66, "High/Severe Risk", "Uncalculated")))</f>
        <v>Uncalculated</v>
      </c>
      <c r="AV22" s="215" t="str">
        <f>IF(AV21&lt;=20, "Low/Neutral Risk", IF(AV21&lt;=40, "Moderate/Elevated Risk", IF(AV21&lt;=66, "High/Severe Risk", "Uncalculated")))</f>
        <v>Low/Neutral Risk</v>
      </c>
    </row>
    <row r="23" spans="1:48"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f t="shared" si="17"/>
        <v>0</v>
      </c>
      <c r="AB23">
        <f t="shared" si="18"/>
        <v>0</v>
      </c>
      <c r="AC23" t="str">
        <f t="shared" si="19"/>
        <v>Low/Neutral Risk</v>
      </c>
      <c r="AD23" t="s">
        <v>2542</v>
      </c>
      <c r="AE23">
        <f>Q12_Source_Income</f>
        <v>0</v>
      </c>
      <c r="AL23" t="s">
        <v>2543</v>
      </c>
    </row>
    <row r="24" spans="1:48"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f t="shared" si="17"/>
        <v>0</v>
      </c>
      <c r="AB24">
        <f t="shared" si="18"/>
        <v>0</v>
      </c>
      <c r="AC24" t="str">
        <f t="shared" si="19"/>
        <v>Low/Neutral Risk</v>
      </c>
      <c r="AD24" t="s">
        <v>2544</v>
      </c>
      <c r="AE24">
        <f>Q12_Source_Balance</f>
        <v>0</v>
      </c>
      <c r="AL24" t="s">
        <v>2545</v>
      </c>
    </row>
    <row r="25" spans="1:48"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f t="shared" si="17"/>
        <v>0</v>
      </c>
      <c r="AB25">
        <f t="shared" si="18"/>
        <v>0</v>
      </c>
      <c r="AC25" t="str">
        <f t="shared" si="19"/>
        <v>Low/Neutral Risk</v>
      </c>
      <c r="AJ25" t="s">
        <v>2546</v>
      </c>
      <c r="AO25" s="299" t="str">
        <f>IF(AND(AE23&lt;&gt;0, AE24&lt;&gt;0), IF(AE23&lt;&gt;AE24, "Source Data Mismatch", RiskYear3), RiskYear3)</f>
        <v>Insufficient Data</v>
      </c>
      <c r="AV25" s="215">
        <f>AT12</f>
        <v>0</v>
      </c>
    </row>
    <row r="26" spans="1:48"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f t="shared" si="17"/>
        <v>0</v>
      </c>
      <c r="AB26">
        <f t="shared" si="18"/>
        <v>0</v>
      </c>
      <c r="AC26" t="str">
        <f t="shared" si="19"/>
        <v>Low/Neutral Risk</v>
      </c>
      <c r="AJ26" t="s">
        <v>2547</v>
      </c>
      <c r="AO26" s="299" t="str">
        <f>IF(AND(AE23&lt;&gt;0, AE24&lt;&gt;0), IF(AE23&lt;&gt;AE24, "Source Data Mismatch", RiskFinalScore), RiskFinalScore)</f>
        <v>Insufficient Data</v>
      </c>
      <c r="AV26" s="215">
        <f>AV21</f>
        <v>0</v>
      </c>
    </row>
    <row r="27" spans="1:48"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f t="shared" si="17"/>
        <v>0</v>
      </c>
      <c r="AB27">
        <f t="shared" si="18"/>
        <v>0</v>
      </c>
      <c r="AC27" t="str">
        <f t="shared" si="19"/>
        <v>Low/Neutral Risk</v>
      </c>
      <c r="AJ27" t="s">
        <v>2548</v>
      </c>
      <c r="AO27" s="299" t="str">
        <f>IF(AND(AE23&lt;&gt;0, AE24&lt;&gt;0), IF(AE23&lt;&gt;AE24, "Source Data Mismatch", RiskFinalRating), RiskFinalRating)</f>
        <v>Uncalculated</v>
      </c>
      <c r="AV27" s="215" t="str">
        <f>AV22</f>
        <v>Low/Neutral Risk</v>
      </c>
    </row>
  </sheetData>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0"/>
  <sheetViews>
    <sheetView zoomScale="70" zoomScaleNormal="70" workbookViewId="0">
      <selection activeCell="C7" sqref="C7:D7"/>
    </sheetView>
  </sheetViews>
  <sheetFormatPr defaultRowHeight="15" x14ac:dyDescent="0.25"/>
  <sheetData>
    <row r="1" spans="1:32"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2320</v>
      </c>
      <c r="AB1" t="s">
        <v>2321</v>
      </c>
      <c r="AC1" t="s">
        <v>2549</v>
      </c>
      <c r="AD1" t="s">
        <v>156</v>
      </c>
      <c r="AE1" t="s">
        <v>2459</v>
      </c>
      <c r="AF1" t="s">
        <v>2324</v>
      </c>
    </row>
    <row r="2" spans="1:32" x14ac:dyDescent="0.25">
      <c r="A2">
        <f t="shared" ref="A2:A40" si="0">Q_RP_B_DSSCAGE_01</f>
        <v>0</v>
      </c>
      <c r="B2">
        <f t="shared" ref="B2:B40" si="1">Q1a_A_LocationName</f>
        <v>0</v>
      </c>
      <c r="C2">
        <f t="shared" ref="C2:C40" si="2">Q1a_A_LocOrgName</f>
        <v>0</v>
      </c>
      <c r="D2">
        <f t="shared" ref="D2:D40" si="3">Q1a_B_Parent1_Name</f>
        <v>0</v>
      </c>
      <c r="E2">
        <f t="shared" ref="E2:E40" si="4">Q_RP_A_MultiResponse</f>
        <v>0</v>
      </c>
      <c r="F2">
        <f>'D-RepLevel'!$F$2</f>
        <v>0</v>
      </c>
      <c r="G2">
        <f>'D-RepLevel'!$G$2</f>
        <v>0</v>
      </c>
      <c r="H2">
        <f t="shared" ref="H2:H40"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40" si="6">Q4b_A_NumUSGPrograms</f>
        <v>0</v>
      </c>
      <c r="M2">
        <f t="shared" ref="M2:M40" si="7">Q6_A_Employees_Year3</f>
        <v>0</v>
      </c>
      <c r="N2">
        <f t="shared" ref="N2:N40" si="8">Q6_B_Employee_H1B_Total+Q6_B_Employee_H2B_Total+Q6_B_Employee_F1_Total+Q6_B_Employee_GreenCard_Total+Q6_B_Employee_Other_Total</f>
        <v>0</v>
      </c>
      <c r="O2">
        <f t="shared" ref="O2:O40" si="9">Year3</f>
        <v>2015</v>
      </c>
      <c r="P2">
        <f t="shared" ref="P2:P40" si="10">Q7_A_TotalSales_US_Year3+Q7_A_TotalSales_NonUS_Year3</f>
        <v>0</v>
      </c>
      <c r="Q2">
        <f t="shared" ref="Q2:Q40" si="11">Q7_B_DefSales_US_Year3_Pct*Q7_A_TotalSales_US_Year3+Q7_B_DefSales_NonUS_Year3_Pct*Q7_A_TotalSales_NonUS_Year3</f>
        <v>0</v>
      </c>
      <c r="R2">
        <f t="shared" ref="R2:R40" si="12">Q9a_B_Physical_Year3</f>
        <v>0</v>
      </c>
      <c r="S2">
        <f t="shared" ref="S2:S40" si="13">Q9a_B_Cyber_Year3</f>
        <v>0</v>
      </c>
      <c r="T2">
        <f>COUNTIF('9a'!$K$22:$K$32, "Yes")+COUNTIF('9a'!$O$22:$O$32, "Yes")</f>
        <v>0</v>
      </c>
      <c r="U2" t="str">
        <f t="shared" ref="U2:U40" si="14">IF(Q12_OpEx_Year3=0, "No Expenditures", Q9b_A_PhysicalSpending_Year3/(Q12_OpEx_Year3))</f>
        <v>No Expenditures</v>
      </c>
      <c r="V2" t="str">
        <f t="shared" ref="V2:V40" si="15">IF(Q12_OpEx_Year3=0, "No Expenditures", Q9b_A_CyberSpending_Year3/(Q12_OpEx_Year3))</f>
        <v>No Expenditures</v>
      </c>
      <c r="W2">
        <f t="shared" ref="W2:W40" si="16">Q9b_C_Pct_CSI_External</f>
        <v>0</v>
      </c>
      <c r="X2" t="str">
        <f>'D-Risk'!$AO$25</f>
        <v>Insufficient Data</v>
      </c>
      <c r="Y2" t="str">
        <f>'D-Risk'!$AO$26</f>
        <v>Insufficient Data</v>
      </c>
      <c r="Z2" t="str">
        <f>'D-Risk'!$AO$27</f>
        <v>Uncalculated</v>
      </c>
      <c r="AA2">
        <f t="shared" ref="AA2:AA16" si="17">Q12_Schedule_Income</f>
        <v>0</v>
      </c>
      <c r="AB2">
        <f t="shared" ref="AB2:AB16" si="18">Q12_Source_Income</f>
        <v>0</v>
      </c>
      <c r="AC2" t="s">
        <v>2550</v>
      </c>
      <c r="AD2">
        <f>Year1</f>
        <v>2013</v>
      </c>
      <c r="AE2" t="s">
        <v>995</v>
      </c>
      <c r="AF2">
        <f>Q12_NetSales_Year1</f>
        <v>0</v>
      </c>
    </row>
    <row r="3" spans="1:32"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f t="shared" si="17"/>
        <v>0</v>
      </c>
      <c r="AB3">
        <f t="shared" si="18"/>
        <v>0</v>
      </c>
      <c r="AC3" t="s">
        <v>2550</v>
      </c>
      <c r="AD3">
        <f>Year1</f>
        <v>2013</v>
      </c>
      <c r="AE3" t="s">
        <v>996</v>
      </c>
      <c r="AF3">
        <f>Q12_COGS_Year1</f>
        <v>0</v>
      </c>
    </row>
    <row r="4" spans="1:32"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f t="shared" si="17"/>
        <v>0</v>
      </c>
      <c r="AB4">
        <f t="shared" si="18"/>
        <v>0</v>
      </c>
      <c r="AC4" t="s">
        <v>2550</v>
      </c>
      <c r="AD4">
        <f>Year1</f>
        <v>2013</v>
      </c>
      <c r="AE4" t="s">
        <v>998</v>
      </c>
      <c r="AF4">
        <f>Q12_OpInc_Year1</f>
        <v>0</v>
      </c>
    </row>
    <row r="5" spans="1:32"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f t="shared" si="17"/>
        <v>0</v>
      </c>
      <c r="AB5">
        <f t="shared" si="18"/>
        <v>0</v>
      </c>
      <c r="AC5" t="s">
        <v>2550</v>
      </c>
      <c r="AD5">
        <f>Year1</f>
        <v>2013</v>
      </c>
      <c r="AE5" t="s">
        <v>999</v>
      </c>
      <c r="AF5">
        <f>Q12_EBIT_Year1</f>
        <v>0</v>
      </c>
    </row>
    <row r="6" spans="1:32"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f t="shared" si="17"/>
        <v>0</v>
      </c>
      <c r="AB6">
        <f t="shared" si="18"/>
        <v>0</v>
      </c>
      <c r="AC6" t="s">
        <v>2550</v>
      </c>
      <c r="AD6">
        <f>Year1</f>
        <v>2013</v>
      </c>
      <c r="AE6" t="s">
        <v>1000</v>
      </c>
      <c r="AF6">
        <f>Q12_NetInc_Year1</f>
        <v>0</v>
      </c>
    </row>
    <row r="7" spans="1:32"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f t="shared" si="17"/>
        <v>0</v>
      </c>
      <c r="AB7">
        <f t="shared" si="18"/>
        <v>0</v>
      </c>
      <c r="AC7" t="s">
        <v>2550</v>
      </c>
      <c r="AD7">
        <f>Year2</f>
        <v>2014</v>
      </c>
      <c r="AE7" t="s">
        <v>995</v>
      </c>
      <c r="AF7">
        <f>Q12_NetSales_Year2</f>
        <v>0</v>
      </c>
    </row>
    <row r="8" spans="1:32"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f t="shared" si="17"/>
        <v>0</v>
      </c>
      <c r="AB8">
        <f t="shared" si="18"/>
        <v>0</v>
      </c>
      <c r="AC8" t="s">
        <v>2550</v>
      </c>
      <c r="AD8">
        <f>Year2</f>
        <v>2014</v>
      </c>
      <c r="AE8" t="s">
        <v>996</v>
      </c>
      <c r="AF8">
        <f>Q12_COGS_Year2</f>
        <v>0</v>
      </c>
    </row>
    <row r="9" spans="1:32"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f t="shared" si="17"/>
        <v>0</v>
      </c>
      <c r="AB9">
        <f t="shared" si="18"/>
        <v>0</v>
      </c>
      <c r="AC9" t="s">
        <v>2550</v>
      </c>
      <c r="AD9">
        <f>Year2</f>
        <v>2014</v>
      </c>
      <c r="AE9" t="s">
        <v>998</v>
      </c>
      <c r="AF9">
        <f>Q12_OpInc_Year2</f>
        <v>0</v>
      </c>
    </row>
    <row r="10" spans="1:32"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f t="shared" si="17"/>
        <v>0</v>
      </c>
      <c r="AB10">
        <f t="shared" si="18"/>
        <v>0</v>
      </c>
      <c r="AC10" t="s">
        <v>2550</v>
      </c>
      <c r="AD10">
        <f>Year2</f>
        <v>2014</v>
      </c>
      <c r="AE10" t="s">
        <v>999</v>
      </c>
      <c r="AF10">
        <f>Q12_EBIT_Year2</f>
        <v>0</v>
      </c>
    </row>
    <row r="11" spans="1:32"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f t="shared" si="17"/>
        <v>0</v>
      </c>
      <c r="AB11">
        <f t="shared" si="18"/>
        <v>0</v>
      </c>
      <c r="AC11" t="s">
        <v>2550</v>
      </c>
      <c r="AD11">
        <f>Year2</f>
        <v>2014</v>
      </c>
      <c r="AE11" t="s">
        <v>1000</v>
      </c>
      <c r="AF11">
        <f>Q12_NetInc_Year2</f>
        <v>0</v>
      </c>
    </row>
    <row r="12" spans="1:32"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f t="shared" si="17"/>
        <v>0</v>
      </c>
      <c r="AB12">
        <f t="shared" si="18"/>
        <v>0</v>
      </c>
      <c r="AC12" t="s">
        <v>2550</v>
      </c>
      <c r="AD12">
        <f>Year3</f>
        <v>2015</v>
      </c>
      <c r="AE12" t="s">
        <v>995</v>
      </c>
      <c r="AF12">
        <f>Q12_NetSales_Year3</f>
        <v>0</v>
      </c>
    </row>
    <row r="13" spans="1:32"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f t="shared" si="17"/>
        <v>0</v>
      </c>
      <c r="AB13">
        <f t="shared" si="18"/>
        <v>0</v>
      </c>
      <c r="AC13" t="s">
        <v>2550</v>
      </c>
      <c r="AD13">
        <f>Year3</f>
        <v>2015</v>
      </c>
      <c r="AE13" t="s">
        <v>996</v>
      </c>
      <c r="AF13">
        <f>Q12_COGS_Year3</f>
        <v>0</v>
      </c>
    </row>
    <row r="14" spans="1:32"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f t="shared" si="17"/>
        <v>0</v>
      </c>
      <c r="AB14">
        <f t="shared" si="18"/>
        <v>0</v>
      </c>
      <c r="AC14" t="s">
        <v>2550</v>
      </c>
      <c r="AD14">
        <f>Year3</f>
        <v>2015</v>
      </c>
      <c r="AE14" t="s">
        <v>998</v>
      </c>
      <c r="AF14">
        <f>Q12_OpInc_Year3</f>
        <v>0</v>
      </c>
    </row>
    <row r="15" spans="1:32"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f t="shared" si="17"/>
        <v>0</v>
      </c>
      <c r="AB15">
        <f t="shared" si="18"/>
        <v>0</v>
      </c>
      <c r="AC15" t="s">
        <v>2550</v>
      </c>
      <c r="AD15">
        <f>Year3</f>
        <v>2015</v>
      </c>
      <c r="AE15" t="s">
        <v>999</v>
      </c>
      <c r="AF15">
        <f>Q12_EBIT_Year3</f>
        <v>0</v>
      </c>
    </row>
    <row r="16" spans="1:32"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f t="shared" si="17"/>
        <v>0</v>
      </c>
      <c r="AB16">
        <f t="shared" si="18"/>
        <v>0</v>
      </c>
      <c r="AC16" t="s">
        <v>2550</v>
      </c>
      <c r="AD16">
        <f>Year3</f>
        <v>2015</v>
      </c>
      <c r="AE16" t="s">
        <v>1000</v>
      </c>
      <c r="AF16">
        <f>Q12_NetInc_Year3</f>
        <v>0</v>
      </c>
    </row>
    <row r="17" spans="1:32"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f t="shared" ref="AA17:AA40" si="19">Q12_Schedule_Balance</f>
        <v>0</v>
      </c>
      <c r="AB17">
        <f t="shared" ref="AB17:AB40" si="20">Q12_Source_Balance</f>
        <v>0</v>
      </c>
      <c r="AC17" t="s">
        <v>2551</v>
      </c>
      <c r="AD17">
        <f t="shared" ref="AD17:AD24" si="21">Year1</f>
        <v>2013</v>
      </c>
      <c r="AE17" t="s">
        <v>1003</v>
      </c>
      <c r="AF17">
        <f>Q12_Cash_Year1</f>
        <v>0</v>
      </c>
    </row>
    <row r="18" spans="1:32"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f t="shared" si="19"/>
        <v>0</v>
      </c>
      <c r="AB18">
        <f t="shared" si="20"/>
        <v>0</v>
      </c>
      <c r="AC18" t="s">
        <v>2551</v>
      </c>
      <c r="AD18">
        <f t="shared" si="21"/>
        <v>2013</v>
      </c>
      <c r="AE18" t="s">
        <v>1004</v>
      </c>
      <c r="AF18">
        <f>Q12_Inv_Year1</f>
        <v>0</v>
      </c>
    </row>
    <row r="19" spans="1:32"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f t="shared" si="19"/>
        <v>0</v>
      </c>
      <c r="AB19">
        <f t="shared" si="20"/>
        <v>0</v>
      </c>
      <c r="AC19" t="s">
        <v>2551</v>
      </c>
      <c r="AD19">
        <f t="shared" si="21"/>
        <v>2013</v>
      </c>
      <c r="AE19" t="s">
        <v>2552</v>
      </c>
      <c r="AF19">
        <f>Q12_CurrentAssets_Year1</f>
        <v>0</v>
      </c>
    </row>
    <row r="20" spans="1:32"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f t="shared" si="19"/>
        <v>0</v>
      </c>
      <c r="AB20">
        <f t="shared" si="20"/>
        <v>0</v>
      </c>
      <c r="AC20" t="s">
        <v>2551</v>
      </c>
      <c r="AD20">
        <f t="shared" si="21"/>
        <v>2013</v>
      </c>
      <c r="AE20" t="s">
        <v>1006</v>
      </c>
      <c r="AF20">
        <f>Q12_TotalAssets_Year1</f>
        <v>0</v>
      </c>
    </row>
    <row r="21" spans="1:32"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f t="shared" si="19"/>
        <v>0</v>
      </c>
      <c r="AB21">
        <f t="shared" si="20"/>
        <v>0</v>
      </c>
      <c r="AC21" t="s">
        <v>2551</v>
      </c>
      <c r="AD21">
        <f t="shared" si="21"/>
        <v>2013</v>
      </c>
      <c r="AE21" t="s">
        <v>2553</v>
      </c>
      <c r="AF21">
        <f>Q12_CurrentLiab_Year1</f>
        <v>0</v>
      </c>
    </row>
    <row r="22" spans="1:32"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f t="shared" si="19"/>
        <v>0</v>
      </c>
      <c r="AB22">
        <f t="shared" si="20"/>
        <v>0</v>
      </c>
      <c r="AC22" t="s">
        <v>2551</v>
      </c>
      <c r="AD22">
        <f t="shared" si="21"/>
        <v>2013</v>
      </c>
      <c r="AE22" t="s">
        <v>1008</v>
      </c>
      <c r="AF22">
        <f>Q12_TotalLiab_Year1</f>
        <v>0</v>
      </c>
    </row>
    <row r="23" spans="1:32"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f t="shared" si="19"/>
        <v>0</v>
      </c>
      <c r="AB23">
        <f t="shared" si="20"/>
        <v>0</v>
      </c>
      <c r="AC23" t="s">
        <v>2551</v>
      </c>
      <c r="AD23">
        <f t="shared" si="21"/>
        <v>2013</v>
      </c>
      <c r="AE23" t="s">
        <v>1009</v>
      </c>
      <c r="AF23">
        <f>Q12_RetainedEarn_Year1</f>
        <v>0</v>
      </c>
    </row>
    <row r="24" spans="1:32"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f t="shared" si="19"/>
        <v>0</v>
      </c>
      <c r="AB24">
        <f t="shared" si="20"/>
        <v>0</v>
      </c>
      <c r="AC24" t="s">
        <v>2551</v>
      </c>
      <c r="AD24">
        <f t="shared" si="21"/>
        <v>2013</v>
      </c>
      <c r="AE24" t="s">
        <v>1010</v>
      </c>
      <c r="AF24">
        <f>Q12_OwnersEq_Year1</f>
        <v>0</v>
      </c>
    </row>
    <row r="25" spans="1:32"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f t="shared" si="19"/>
        <v>0</v>
      </c>
      <c r="AB25">
        <f t="shared" si="20"/>
        <v>0</v>
      </c>
      <c r="AC25" t="s">
        <v>2551</v>
      </c>
      <c r="AD25">
        <f t="shared" ref="AD25:AD32" si="22">Year2</f>
        <v>2014</v>
      </c>
      <c r="AE25" t="s">
        <v>1003</v>
      </c>
      <c r="AF25">
        <f>Q12_Cash_Year2</f>
        <v>0</v>
      </c>
    </row>
    <row r="26" spans="1:32"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f t="shared" si="19"/>
        <v>0</v>
      </c>
      <c r="AB26">
        <f t="shared" si="20"/>
        <v>0</v>
      </c>
      <c r="AC26" t="s">
        <v>2551</v>
      </c>
      <c r="AD26">
        <f t="shared" si="22"/>
        <v>2014</v>
      </c>
      <c r="AE26" t="s">
        <v>1004</v>
      </c>
      <c r="AF26">
        <f>Q12_Inv_Year2</f>
        <v>0</v>
      </c>
    </row>
    <row r="27" spans="1:32"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f t="shared" si="19"/>
        <v>0</v>
      </c>
      <c r="AB27">
        <f t="shared" si="20"/>
        <v>0</v>
      </c>
      <c r="AC27" t="s">
        <v>2551</v>
      </c>
      <c r="AD27">
        <f t="shared" si="22"/>
        <v>2014</v>
      </c>
      <c r="AE27" t="s">
        <v>2552</v>
      </c>
      <c r="AF27">
        <f>Q12_CurrentAssets_Year2</f>
        <v>0</v>
      </c>
    </row>
    <row r="28" spans="1:32" x14ac:dyDescent="0.25">
      <c r="A28">
        <f t="shared" si="0"/>
        <v>0</v>
      </c>
      <c r="B28">
        <f t="shared" si="1"/>
        <v>0</v>
      </c>
      <c r="C28">
        <f t="shared" si="2"/>
        <v>0</v>
      </c>
      <c r="D28">
        <f t="shared" si="3"/>
        <v>0</v>
      </c>
      <c r="E28">
        <f t="shared" si="4"/>
        <v>0</v>
      </c>
      <c r="F28">
        <f>'D-RepLevel'!$F$2</f>
        <v>0</v>
      </c>
      <c r="G28">
        <f>'D-RepLevel'!$G$2</f>
        <v>0</v>
      </c>
      <c r="H28">
        <f t="shared" si="5"/>
        <v>0</v>
      </c>
      <c r="I28" t="str">
        <f>IF(ISERROR(INDEX('1b'!$C$5:$C$21, MATCH("Primary Business Line", '1b'!$H$5:$H$21, FALSE), 1)), "None Selected", INDEX('1b'!$C$5:$C$21, MATCH("Primary Business Line", '1b'!$H$5:$H$21, FALSE), 1))</f>
        <v>None Selected</v>
      </c>
      <c r="J28">
        <f>'D-3'!$J$2</f>
        <v>0</v>
      </c>
      <c r="K28">
        <f>COUNTIF('4a'!$E$6:$E$29, "Direct")+COUNTIF('4a'!$E$6:$E$29, "Indirect")+COUNTIF('4a'!$E$6:$E$29, "Both")</f>
        <v>0</v>
      </c>
      <c r="L28">
        <f t="shared" si="6"/>
        <v>0</v>
      </c>
      <c r="M28">
        <f t="shared" si="7"/>
        <v>0</v>
      </c>
      <c r="N28">
        <f t="shared" si="8"/>
        <v>0</v>
      </c>
      <c r="O28">
        <f t="shared" si="9"/>
        <v>2015</v>
      </c>
      <c r="P28">
        <f t="shared" si="10"/>
        <v>0</v>
      </c>
      <c r="Q28">
        <f t="shared" si="11"/>
        <v>0</v>
      </c>
      <c r="R28">
        <f t="shared" si="12"/>
        <v>0</v>
      </c>
      <c r="S28">
        <f t="shared" si="13"/>
        <v>0</v>
      </c>
      <c r="T28">
        <f>COUNTIF('9a'!$K$22:$K$32, "Yes")+COUNTIF('9a'!$O$22:$O$32, "Yes")</f>
        <v>0</v>
      </c>
      <c r="U28" t="str">
        <f t="shared" si="14"/>
        <v>No Expenditures</v>
      </c>
      <c r="V28" t="str">
        <f t="shared" si="15"/>
        <v>No Expenditures</v>
      </c>
      <c r="W28">
        <f t="shared" si="16"/>
        <v>0</v>
      </c>
      <c r="X28" t="str">
        <f>'D-Risk'!$AO$25</f>
        <v>Insufficient Data</v>
      </c>
      <c r="Y28" t="str">
        <f>'D-Risk'!$AO$26</f>
        <v>Insufficient Data</v>
      </c>
      <c r="Z28" t="str">
        <f>'D-Risk'!$AO$27</f>
        <v>Uncalculated</v>
      </c>
      <c r="AA28">
        <f t="shared" si="19"/>
        <v>0</v>
      </c>
      <c r="AB28">
        <f t="shared" si="20"/>
        <v>0</v>
      </c>
      <c r="AC28" t="s">
        <v>2551</v>
      </c>
      <c r="AD28">
        <f t="shared" si="22"/>
        <v>2014</v>
      </c>
      <c r="AE28" t="s">
        <v>1006</v>
      </c>
      <c r="AF28">
        <f>Q12_TotalAssets_Year2</f>
        <v>0</v>
      </c>
    </row>
    <row r="29" spans="1:32" x14ac:dyDescent="0.25">
      <c r="A29">
        <f t="shared" si="0"/>
        <v>0</v>
      </c>
      <c r="B29">
        <f t="shared" si="1"/>
        <v>0</v>
      </c>
      <c r="C29">
        <f t="shared" si="2"/>
        <v>0</v>
      </c>
      <c r="D29">
        <f t="shared" si="3"/>
        <v>0</v>
      </c>
      <c r="E29">
        <f t="shared" si="4"/>
        <v>0</v>
      </c>
      <c r="F29">
        <f>'D-RepLevel'!$F$2</f>
        <v>0</v>
      </c>
      <c r="G29">
        <f>'D-RepLevel'!$G$2</f>
        <v>0</v>
      </c>
      <c r="H29">
        <f t="shared" si="5"/>
        <v>0</v>
      </c>
      <c r="I29" t="str">
        <f>IF(ISERROR(INDEX('1b'!$C$5:$C$21, MATCH("Primary Business Line", '1b'!$H$5:$H$21, FALSE), 1)), "None Selected", INDEX('1b'!$C$5:$C$21, MATCH("Primary Business Line", '1b'!$H$5:$H$21, FALSE), 1))</f>
        <v>None Selected</v>
      </c>
      <c r="J29">
        <f>'D-3'!$J$2</f>
        <v>0</v>
      </c>
      <c r="K29">
        <f>COUNTIF('4a'!$E$6:$E$29, "Direct")+COUNTIF('4a'!$E$6:$E$29, "Indirect")+COUNTIF('4a'!$E$6:$E$29, "Both")</f>
        <v>0</v>
      </c>
      <c r="L29">
        <f t="shared" si="6"/>
        <v>0</v>
      </c>
      <c r="M29">
        <f t="shared" si="7"/>
        <v>0</v>
      </c>
      <c r="N29">
        <f t="shared" si="8"/>
        <v>0</v>
      </c>
      <c r="O29">
        <f t="shared" si="9"/>
        <v>2015</v>
      </c>
      <c r="P29">
        <f t="shared" si="10"/>
        <v>0</v>
      </c>
      <c r="Q29">
        <f t="shared" si="11"/>
        <v>0</v>
      </c>
      <c r="R29">
        <f t="shared" si="12"/>
        <v>0</v>
      </c>
      <c r="S29">
        <f t="shared" si="13"/>
        <v>0</v>
      </c>
      <c r="T29">
        <f>COUNTIF('9a'!$K$22:$K$32, "Yes")+COUNTIF('9a'!$O$22:$O$32, "Yes")</f>
        <v>0</v>
      </c>
      <c r="U29" t="str">
        <f t="shared" si="14"/>
        <v>No Expenditures</v>
      </c>
      <c r="V29" t="str">
        <f t="shared" si="15"/>
        <v>No Expenditures</v>
      </c>
      <c r="W29">
        <f t="shared" si="16"/>
        <v>0</v>
      </c>
      <c r="X29" t="str">
        <f>'D-Risk'!$AO$25</f>
        <v>Insufficient Data</v>
      </c>
      <c r="Y29" t="str">
        <f>'D-Risk'!$AO$26</f>
        <v>Insufficient Data</v>
      </c>
      <c r="Z29" t="str">
        <f>'D-Risk'!$AO$27</f>
        <v>Uncalculated</v>
      </c>
      <c r="AA29">
        <f t="shared" si="19"/>
        <v>0</v>
      </c>
      <c r="AB29">
        <f t="shared" si="20"/>
        <v>0</v>
      </c>
      <c r="AC29" t="s">
        <v>2551</v>
      </c>
      <c r="AD29">
        <f t="shared" si="22"/>
        <v>2014</v>
      </c>
      <c r="AE29" t="s">
        <v>2553</v>
      </c>
      <c r="AF29">
        <f>Q12_CurrentLiab_Year2</f>
        <v>0</v>
      </c>
    </row>
    <row r="30" spans="1:32" x14ac:dyDescent="0.25">
      <c r="A30">
        <f t="shared" si="0"/>
        <v>0</v>
      </c>
      <c r="B30">
        <f t="shared" si="1"/>
        <v>0</v>
      </c>
      <c r="C30">
        <f t="shared" si="2"/>
        <v>0</v>
      </c>
      <c r="D30">
        <f t="shared" si="3"/>
        <v>0</v>
      </c>
      <c r="E30">
        <f t="shared" si="4"/>
        <v>0</v>
      </c>
      <c r="F30">
        <f>'D-RepLevel'!$F$2</f>
        <v>0</v>
      </c>
      <c r="G30">
        <f>'D-RepLevel'!$G$2</f>
        <v>0</v>
      </c>
      <c r="H30">
        <f t="shared" si="5"/>
        <v>0</v>
      </c>
      <c r="I30" t="str">
        <f>IF(ISERROR(INDEX('1b'!$C$5:$C$21, MATCH("Primary Business Line", '1b'!$H$5:$H$21, FALSE), 1)), "None Selected", INDEX('1b'!$C$5:$C$21, MATCH("Primary Business Line", '1b'!$H$5:$H$21, FALSE), 1))</f>
        <v>None Selected</v>
      </c>
      <c r="J30">
        <f>'D-3'!$J$2</f>
        <v>0</v>
      </c>
      <c r="K30">
        <f>COUNTIF('4a'!$E$6:$E$29, "Direct")+COUNTIF('4a'!$E$6:$E$29, "Indirect")+COUNTIF('4a'!$E$6:$E$29, "Both")</f>
        <v>0</v>
      </c>
      <c r="L30">
        <f t="shared" si="6"/>
        <v>0</v>
      </c>
      <c r="M30">
        <f t="shared" si="7"/>
        <v>0</v>
      </c>
      <c r="N30">
        <f t="shared" si="8"/>
        <v>0</v>
      </c>
      <c r="O30">
        <f t="shared" si="9"/>
        <v>2015</v>
      </c>
      <c r="P30">
        <f t="shared" si="10"/>
        <v>0</v>
      </c>
      <c r="Q30">
        <f t="shared" si="11"/>
        <v>0</v>
      </c>
      <c r="R30">
        <f t="shared" si="12"/>
        <v>0</v>
      </c>
      <c r="S30">
        <f t="shared" si="13"/>
        <v>0</v>
      </c>
      <c r="T30">
        <f>COUNTIF('9a'!$K$22:$K$32, "Yes")+COUNTIF('9a'!$O$22:$O$32, "Yes")</f>
        <v>0</v>
      </c>
      <c r="U30" t="str">
        <f t="shared" si="14"/>
        <v>No Expenditures</v>
      </c>
      <c r="V30" t="str">
        <f t="shared" si="15"/>
        <v>No Expenditures</v>
      </c>
      <c r="W30">
        <f t="shared" si="16"/>
        <v>0</v>
      </c>
      <c r="X30" t="str">
        <f>'D-Risk'!$AO$25</f>
        <v>Insufficient Data</v>
      </c>
      <c r="Y30" t="str">
        <f>'D-Risk'!$AO$26</f>
        <v>Insufficient Data</v>
      </c>
      <c r="Z30" t="str">
        <f>'D-Risk'!$AO$27</f>
        <v>Uncalculated</v>
      </c>
      <c r="AA30">
        <f t="shared" si="19"/>
        <v>0</v>
      </c>
      <c r="AB30">
        <f t="shared" si="20"/>
        <v>0</v>
      </c>
      <c r="AC30" t="s">
        <v>2551</v>
      </c>
      <c r="AD30">
        <f t="shared" si="22"/>
        <v>2014</v>
      </c>
      <c r="AE30" t="s">
        <v>1008</v>
      </c>
      <c r="AF30">
        <f>Q12_TotalLiab_Year2</f>
        <v>0</v>
      </c>
    </row>
    <row r="31" spans="1:32" x14ac:dyDescent="0.25">
      <c r="A31">
        <f t="shared" si="0"/>
        <v>0</v>
      </c>
      <c r="B31">
        <f t="shared" si="1"/>
        <v>0</v>
      </c>
      <c r="C31">
        <f t="shared" si="2"/>
        <v>0</v>
      </c>
      <c r="D31">
        <f t="shared" si="3"/>
        <v>0</v>
      </c>
      <c r="E31">
        <f t="shared" si="4"/>
        <v>0</v>
      </c>
      <c r="F31">
        <f>'D-RepLevel'!$F$2</f>
        <v>0</v>
      </c>
      <c r="G31">
        <f>'D-RepLevel'!$G$2</f>
        <v>0</v>
      </c>
      <c r="H31">
        <f t="shared" si="5"/>
        <v>0</v>
      </c>
      <c r="I31" t="str">
        <f>IF(ISERROR(INDEX('1b'!$C$5:$C$21, MATCH("Primary Business Line", '1b'!$H$5:$H$21, FALSE), 1)), "None Selected", INDEX('1b'!$C$5:$C$21, MATCH("Primary Business Line", '1b'!$H$5:$H$21, FALSE), 1))</f>
        <v>None Selected</v>
      </c>
      <c r="J31">
        <f>'D-3'!$J$2</f>
        <v>0</v>
      </c>
      <c r="K31">
        <f>COUNTIF('4a'!$E$6:$E$29, "Direct")+COUNTIF('4a'!$E$6:$E$29, "Indirect")+COUNTIF('4a'!$E$6:$E$29, "Both")</f>
        <v>0</v>
      </c>
      <c r="L31">
        <f t="shared" si="6"/>
        <v>0</v>
      </c>
      <c r="M31">
        <f t="shared" si="7"/>
        <v>0</v>
      </c>
      <c r="N31">
        <f t="shared" si="8"/>
        <v>0</v>
      </c>
      <c r="O31">
        <f t="shared" si="9"/>
        <v>2015</v>
      </c>
      <c r="P31">
        <f t="shared" si="10"/>
        <v>0</v>
      </c>
      <c r="Q31">
        <f t="shared" si="11"/>
        <v>0</v>
      </c>
      <c r="R31">
        <f t="shared" si="12"/>
        <v>0</v>
      </c>
      <c r="S31">
        <f t="shared" si="13"/>
        <v>0</v>
      </c>
      <c r="T31">
        <f>COUNTIF('9a'!$K$22:$K$32, "Yes")+COUNTIF('9a'!$O$22:$O$32, "Yes")</f>
        <v>0</v>
      </c>
      <c r="U31" t="str">
        <f t="shared" si="14"/>
        <v>No Expenditures</v>
      </c>
      <c r="V31" t="str">
        <f t="shared" si="15"/>
        <v>No Expenditures</v>
      </c>
      <c r="W31">
        <f t="shared" si="16"/>
        <v>0</v>
      </c>
      <c r="X31" t="str">
        <f>'D-Risk'!$AO$25</f>
        <v>Insufficient Data</v>
      </c>
      <c r="Y31" t="str">
        <f>'D-Risk'!$AO$26</f>
        <v>Insufficient Data</v>
      </c>
      <c r="Z31" t="str">
        <f>'D-Risk'!$AO$27</f>
        <v>Uncalculated</v>
      </c>
      <c r="AA31">
        <f t="shared" si="19"/>
        <v>0</v>
      </c>
      <c r="AB31">
        <f t="shared" si="20"/>
        <v>0</v>
      </c>
      <c r="AC31" t="s">
        <v>2551</v>
      </c>
      <c r="AD31">
        <f t="shared" si="22"/>
        <v>2014</v>
      </c>
      <c r="AE31" t="s">
        <v>1009</v>
      </c>
      <c r="AF31">
        <f>Q12_RetainedEarn_Year2</f>
        <v>0</v>
      </c>
    </row>
    <row r="32" spans="1:32" x14ac:dyDescent="0.25">
      <c r="A32">
        <f t="shared" si="0"/>
        <v>0</v>
      </c>
      <c r="B32">
        <f t="shared" si="1"/>
        <v>0</v>
      </c>
      <c r="C32">
        <f t="shared" si="2"/>
        <v>0</v>
      </c>
      <c r="D32">
        <f t="shared" si="3"/>
        <v>0</v>
      </c>
      <c r="E32">
        <f t="shared" si="4"/>
        <v>0</v>
      </c>
      <c r="F32">
        <f>'D-RepLevel'!$F$2</f>
        <v>0</v>
      </c>
      <c r="G32">
        <f>'D-RepLevel'!$G$2</f>
        <v>0</v>
      </c>
      <c r="H32">
        <f t="shared" si="5"/>
        <v>0</v>
      </c>
      <c r="I32" t="str">
        <f>IF(ISERROR(INDEX('1b'!$C$5:$C$21, MATCH("Primary Business Line", '1b'!$H$5:$H$21, FALSE), 1)), "None Selected", INDEX('1b'!$C$5:$C$21, MATCH("Primary Business Line", '1b'!$H$5:$H$21, FALSE), 1))</f>
        <v>None Selected</v>
      </c>
      <c r="J32">
        <f>'D-3'!$J$2</f>
        <v>0</v>
      </c>
      <c r="K32">
        <f>COUNTIF('4a'!$E$6:$E$29, "Direct")+COUNTIF('4a'!$E$6:$E$29, "Indirect")+COUNTIF('4a'!$E$6:$E$29, "Both")</f>
        <v>0</v>
      </c>
      <c r="L32">
        <f t="shared" si="6"/>
        <v>0</v>
      </c>
      <c r="M32">
        <f t="shared" si="7"/>
        <v>0</v>
      </c>
      <c r="N32">
        <f t="shared" si="8"/>
        <v>0</v>
      </c>
      <c r="O32">
        <f t="shared" si="9"/>
        <v>2015</v>
      </c>
      <c r="P32">
        <f t="shared" si="10"/>
        <v>0</v>
      </c>
      <c r="Q32">
        <f t="shared" si="11"/>
        <v>0</v>
      </c>
      <c r="R32">
        <f t="shared" si="12"/>
        <v>0</v>
      </c>
      <c r="S32">
        <f t="shared" si="13"/>
        <v>0</v>
      </c>
      <c r="T32">
        <f>COUNTIF('9a'!$K$22:$K$32, "Yes")+COUNTIF('9a'!$O$22:$O$32, "Yes")</f>
        <v>0</v>
      </c>
      <c r="U32" t="str">
        <f t="shared" si="14"/>
        <v>No Expenditures</v>
      </c>
      <c r="V32" t="str">
        <f t="shared" si="15"/>
        <v>No Expenditures</v>
      </c>
      <c r="W32">
        <f t="shared" si="16"/>
        <v>0</v>
      </c>
      <c r="X32" t="str">
        <f>'D-Risk'!$AO$25</f>
        <v>Insufficient Data</v>
      </c>
      <c r="Y32" t="str">
        <f>'D-Risk'!$AO$26</f>
        <v>Insufficient Data</v>
      </c>
      <c r="Z32" t="str">
        <f>'D-Risk'!$AO$27</f>
        <v>Uncalculated</v>
      </c>
      <c r="AA32">
        <f t="shared" si="19"/>
        <v>0</v>
      </c>
      <c r="AB32">
        <f t="shared" si="20"/>
        <v>0</v>
      </c>
      <c r="AC32" t="s">
        <v>2551</v>
      </c>
      <c r="AD32">
        <f t="shared" si="22"/>
        <v>2014</v>
      </c>
      <c r="AE32" t="s">
        <v>1010</v>
      </c>
      <c r="AF32">
        <f>Q12_OwnersEq_Year2</f>
        <v>0</v>
      </c>
    </row>
    <row r="33" spans="1:32" x14ac:dyDescent="0.25">
      <c r="A33">
        <f t="shared" si="0"/>
        <v>0</v>
      </c>
      <c r="B33">
        <f t="shared" si="1"/>
        <v>0</v>
      </c>
      <c r="C33">
        <f t="shared" si="2"/>
        <v>0</v>
      </c>
      <c r="D33">
        <f t="shared" si="3"/>
        <v>0</v>
      </c>
      <c r="E33">
        <f t="shared" si="4"/>
        <v>0</v>
      </c>
      <c r="F33">
        <f>'D-RepLevel'!$F$2</f>
        <v>0</v>
      </c>
      <c r="G33">
        <f>'D-RepLevel'!$G$2</f>
        <v>0</v>
      </c>
      <c r="H33">
        <f t="shared" si="5"/>
        <v>0</v>
      </c>
      <c r="I33" t="str">
        <f>IF(ISERROR(INDEX('1b'!$C$5:$C$21, MATCH("Primary Business Line", '1b'!$H$5:$H$21, FALSE), 1)), "None Selected", INDEX('1b'!$C$5:$C$21, MATCH("Primary Business Line", '1b'!$H$5:$H$21, FALSE), 1))</f>
        <v>None Selected</v>
      </c>
      <c r="J33">
        <f>'D-3'!$J$2</f>
        <v>0</v>
      </c>
      <c r="K33">
        <f>COUNTIF('4a'!$E$6:$E$29, "Direct")+COUNTIF('4a'!$E$6:$E$29, "Indirect")+COUNTIF('4a'!$E$6:$E$29, "Both")</f>
        <v>0</v>
      </c>
      <c r="L33">
        <f t="shared" si="6"/>
        <v>0</v>
      </c>
      <c r="M33">
        <f t="shared" si="7"/>
        <v>0</v>
      </c>
      <c r="N33">
        <f t="shared" si="8"/>
        <v>0</v>
      </c>
      <c r="O33">
        <f t="shared" si="9"/>
        <v>2015</v>
      </c>
      <c r="P33">
        <f t="shared" si="10"/>
        <v>0</v>
      </c>
      <c r="Q33">
        <f t="shared" si="11"/>
        <v>0</v>
      </c>
      <c r="R33">
        <f t="shared" si="12"/>
        <v>0</v>
      </c>
      <c r="S33">
        <f t="shared" si="13"/>
        <v>0</v>
      </c>
      <c r="T33">
        <f>COUNTIF('9a'!$K$22:$K$32, "Yes")+COUNTIF('9a'!$O$22:$O$32, "Yes")</f>
        <v>0</v>
      </c>
      <c r="U33" t="str">
        <f t="shared" si="14"/>
        <v>No Expenditures</v>
      </c>
      <c r="V33" t="str">
        <f t="shared" si="15"/>
        <v>No Expenditures</v>
      </c>
      <c r="W33">
        <f t="shared" si="16"/>
        <v>0</v>
      </c>
      <c r="X33" t="str">
        <f>'D-Risk'!$AO$25</f>
        <v>Insufficient Data</v>
      </c>
      <c r="Y33" t="str">
        <f>'D-Risk'!$AO$26</f>
        <v>Insufficient Data</v>
      </c>
      <c r="Z33" t="str">
        <f>'D-Risk'!$AO$27</f>
        <v>Uncalculated</v>
      </c>
      <c r="AA33">
        <f t="shared" si="19"/>
        <v>0</v>
      </c>
      <c r="AB33">
        <f t="shared" si="20"/>
        <v>0</v>
      </c>
      <c r="AC33" t="s">
        <v>2551</v>
      </c>
      <c r="AD33">
        <f t="shared" ref="AD33:AD40" si="23">Year3</f>
        <v>2015</v>
      </c>
      <c r="AE33" t="s">
        <v>1003</v>
      </c>
      <c r="AF33">
        <f>Q12_Cash_Year3</f>
        <v>0</v>
      </c>
    </row>
    <row r="34" spans="1:32" x14ac:dyDescent="0.25">
      <c r="A34">
        <f t="shared" si="0"/>
        <v>0</v>
      </c>
      <c r="B34">
        <f t="shared" si="1"/>
        <v>0</v>
      </c>
      <c r="C34">
        <f t="shared" si="2"/>
        <v>0</v>
      </c>
      <c r="D34">
        <f t="shared" si="3"/>
        <v>0</v>
      </c>
      <c r="E34">
        <f t="shared" si="4"/>
        <v>0</v>
      </c>
      <c r="F34">
        <f>'D-RepLevel'!$F$2</f>
        <v>0</v>
      </c>
      <c r="G34">
        <f>'D-RepLevel'!$G$2</f>
        <v>0</v>
      </c>
      <c r="H34">
        <f t="shared" si="5"/>
        <v>0</v>
      </c>
      <c r="I34" t="str">
        <f>IF(ISERROR(INDEX('1b'!$C$5:$C$21, MATCH("Primary Business Line", '1b'!$H$5:$H$21, FALSE), 1)), "None Selected", INDEX('1b'!$C$5:$C$21, MATCH("Primary Business Line", '1b'!$H$5:$H$21, FALSE), 1))</f>
        <v>None Selected</v>
      </c>
      <c r="J34">
        <f>'D-3'!$J$2</f>
        <v>0</v>
      </c>
      <c r="K34">
        <f>COUNTIF('4a'!$E$6:$E$29, "Direct")+COUNTIF('4a'!$E$6:$E$29, "Indirect")+COUNTIF('4a'!$E$6:$E$29, "Both")</f>
        <v>0</v>
      </c>
      <c r="L34">
        <f t="shared" si="6"/>
        <v>0</v>
      </c>
      <c r="M34">
        <f t="shared" si="7"/>
        <v>0</v>
      </c>
      <c r="N34">
        <f t="shared" si="8"/>
        <v>0</v>
      </c>
      <c r="O34">
        <f t="shared" si="9"/>
        <v>2015</v>
      </c>
      <c r="P34">
        <f t="shared" si="10"/>
        <v>0</v>
      </c>
      <c r="Q34">
        <f t="shared" si="11"/>
        <v>0</v>
      </c>
      <c r="R34">
        <f t="shared" si="12"/>
        <v>0</v>
      </c>
      <c r="S34">
        <f t="shared" si="13"/>
        <v>0</v>
      </c>
      <c r="T34">
        <f>COUNTIF('9a'!$K$22:$K$32, "Yes")+COUNTIF('9a'!$O$22:$O$32, "Yes")</f>
        <v>0</v>
      </c>
      <c r="U34" t="str">
        <f t="shared" si="14"/>
        <v>No Expenditures</v>
      </c>
      <c r="V34" t="str">
        <f t="shared" si="15"/>
        <v>No Expenditures</v>
      </c>
      <c r="W34">
        <f t="shared" si="16"/>
        <v>0</v>
      </c>
      <c r="X34" t="str">
        <f>'D-Risk'!$AO$25</f>
        <v>Insufficient Data</v>
      </c>
      <c r="Y34" t="str">
        <f>'D-Risk'!$AO$26</f>
        <v>Insufficient Data</v>
      </c>
      <c r="Z34" t="str">
        <f>'D-Risk'!$AO$27</f>
        <v>Uncalculated</v>
      </c>
      <c r="AA34">
        <f t="shared" si="19"/>
        <v>0</v>
      </c>
      <c r="AB34">
        <f t="shared" si="20"/>
        <v>0</v>
      </c>
      <c r="AC34" t="s">
        <v>2551</v>
      </c>
      <c r="AD34">
        <f t="shared" si="23"/>
        <v>2015</v>
      </c>
      <c r="AE34" t="s">
        <v>1004</v>
      </c>
      <c r="AF34">
        <f>Q12_Inv_Year3</f>
        <v>0</v>
      </c>
    </row>
    <row r="35" spans="1:32" x14ac:dyDescent="0.25">
      <c r="A35">
        <f t="shared" si="0"/>
        <v>0</v>
      </c>
      <c r="B35">
        <f t="shared" si="1"/>
        <v>0</v>
      </c>
      <c r="C35">
        <f t="shared" si="2"/>
        <v>0</v>
      </c>
      <c r="D35">
        <f t="shared" si="3"/>
        <v>0</v>
      </c>
      <c r="E35">
        <f t="shared" si="4"/>
        <v>0</v>
      </c>
      <c r="F35">
        <f>'D-RepLevel'!$F$2</f>
        <v>0</v>
      </c>
      <c r="G35">
        <f>'D-RepLevel'!$G$2</f>
        <v>0</v>
      </c>
      <c r="H35">
        <f t="shared" si="5"/>
        <v>0</v>
      </c>
      <c r="I35" t="str">
        <f>IF(ISERROR(INDEX('1b'!$C$5:$C$21, MATCH("Primary Business Line", '1b'!$H$5:$H$21, FALSE), 1)), "None Selected", INDEX('1b'!$C$5:$C$21, MATCH("Primary Business Line", '1b'!$H$5:$H$21, FALSE), 1))</f>
        <v>None Selected</v>
      </c>
      <c r="J35">
        <f>'D-3'!$J$2</f>
        <v>0</v>
      </c>
      <c r="K35">
        <f>COUNTIF('4a'!$E$6:$E$29, "Direct")+COUNTIF('4a'!$E$6:$E$29, "Indirect")+COUNTIF('4a'!$E$6:$E$29, "Both")</f>
        <v>0</v>
      </c>
      <c r="L35">
        <f t="shared" si="6"/>
        <v>0</v>
      </c>
      <c r="M35">
        <f t="shared" si="7"/>
        <v>0</v>
      </c>
      <c r="N35">
        <f t="shared" si="8"/>
        <v>0</v>
      </c>
      <c r="O35">
        <f t="shared" si="9"/>
        <v>2015</v>
      </c>
      <c r="P35">
        <f t="shared" si="10"/>
        <v>0</v>
      </c>
      <c r="Q35">
        <f t="shared" si="11"/>
        <v>0</v>
      </c>
      <c r="R35">
        <f t="shared" si="12"/>
        <v>0</v>
      </c>
      <c r="S35">
        <f t="shared" si="13"/>
        <v>0</v>
      </c>
      <c r="T35">
        <f>COUNTIF('9a'!$K$22:$K$32, "Yes")+COUNTIF('9a'!$O$22:$O$32, "Yes")</f>
        <v>0</v>
      </c>
      <c r="U35" t="str">
        <f t="shared" si="14"/>
        <v>No Expenditures</v>
      </c>
      <c r="V35" t="str">
        <f t="shared" si="15"/>
        <v>No Expenditures</v>
      </c>
      <c r="W35">
        <f t="shared" si="16"/>
        <v>0</v>
      </c>
      <c r="X35" t="str">
        <f>'D-Risk'!$AO$25</f>
        <v>Insufficient Data</v>
      </c>
      <c r="Y35" t="str">
        <f>'D-Risk'!$AO$26</f>
        <v>Insufficient Data</v>
      </c>
      <c r="Z35" t="str">
        <f>'D-Risk'!$AO$27</f>
        <v>Uncalculated</v>
      </c>
      <c r="AA35">
        <f t="shared" si="19"/>
        <v>0</v>
      </c>
      <c r="AB35">
        <f t="shared" si="20"/>
        <v>0</v>
      </c>
      <c r="AC35" t="s">
        <v>2551</v>
      </c>
      <c r="AD35">
        <f t="shared" si="23"/>
        <v>2015</v>
      </c>
      <c r="AE35" t="s">
        <v>2552</v>
      </c>
      <c r="AF35">
        <f>Q12_CurrentAssets_Year3</f>
        <v>0</v>
      </c>
    </row>
    <row r="36" spans="1:32" x14ac:dyDescent="0.25">
      <c r="A36">
        <f t="shared" si="0"/>
        <v>0</v>
      </c>
      <c r="B36">
        <f t="shared" si="1"/>
        <v>0</v>
      </c>
      <c r="C36">
        <f t="shared" si="2"/>
        <v>0</v>
      </c>
      <c r="D36">
        <f t="shared" si="3"/>
        <v>0</v>
      </c>
      <c r="E36">
        <f t="shared" si="4"/>
        <v>0</v>
      </c>
      <c r="F36">
        <f>'D-RepLevel'!$F$2</f>
        <v>0</v>
      </c>
      <c r="G36">
        <f>'D-RepLevel'!$G$2</f>
        <v>0</v>
      </c>
      <c r="H36">
        <f t="shared" si="5"/>
        <v>0</v>
      </c>
      <c r="I36" t="str">
        <f>IF(ISERROR(INDEX('1b'!$C$5:$C$21, MATCH("Primary Business Line", '1b'!$H$5:$H$21, FALSE), 1)), "None Selected", INDEX('1b'!$C$5:$C$21, MATCH("Primary Business Line", '1b'!$H$5:$H$21, FALSE), 1))</f>
        <v>None Selected</v>
      </c>
      <c r="J36">
        <f>'D-3'!$J$2</f>
        <v>0</v>
      </c>
      <c r="K36">
        <f>COUNTIF('4a'!$E$6:$E$29, "Direct")+COUNTIF('4a'!$E$6:$E$29, "Indirect")+COUNTIF('4a'!$E$6:$E$29, "Both")</f>
        <v>0</v>
      </c>
      <c r="L36">
        <f t="shared" si="6"/>
        <v>0</v>
      </c>
      <c r="M36">
        <f t="shared" si="7"/>
        <v>0</v>
      </c>
      <c r="N36">
        <f t="shared" si="8"/>
        <v>0</v>
      </c>
      <c r="O36">
        <f t="shared" si="9"/>
        <v>2015</v>
      </c>
      <c r="P36">
        <f t="shared" si="10"/>
        <v>0</v>
      </c>
      <c r="Q36">
        <f t="shared" si="11"/>
        <v>0</v>
      </c>
      <c r="R36">
        <f t="shared" si="12"/>
        <v>0</v>
      </c>
      <c r="S36">
        <f t="shared" si="13"/>
        <v>0</v>
      </c>
      <c r="T36">
        <f>COUNTIF('9a'!$K$22:$K$32, "Yes")+COUNTIF('9a'!$O$22:$O$32, "Yes")</f>
        <v>0</v>
      </c>
      <c r="U36" t="str">
        <f t="shared" si="14"/>
        <v>No Expenditures</v>
      </c>
      <c r="V36" t="str">
        <f t="shared" si="15"/>
        <v>No Expenditures</v>
      </c>
      <c r="W36">
        <f t="shared" si="16"/>
        <v>0</v>
      </c>
      <c r="X36" t="str">
        <f>'D-Risk'!$AO$25</f>
        <v>Insufficient Data</v>
      </c>
      <c r="Y36" t="str">
        <f>'D-Risk'!$AO$26</f>
        <v>Insufficient Data</v>
      </c>
      <c r="Z36" t="str">
        <f>'D-Risk'!$AO$27</f>
        <v>Uncalculated</v>
      </c>
      <c r="AA36">
        <f t="shared" si="19"/>
        <v>0</v>
      </c>
      <c r="AB36">
        <f t="shared" si="20"/>
        <v>0</v>
      </c>
      <c r="AC36" t="s">
        <v>2551</v>
      </c>
      <c r="AD36">
        <f t="shared" si="23"/>
        <v>2015</v>
      </c>
      <c r="AE36" t="s">
        <v>1006</v>
      </c>
      <c r="AF36">
        <f>Q12_TotalAssets_Year3</f>
        <v>0</v>
      </c>
    </row>
    <row r="37" spans="1:32" x14ac:dyDescent="0.25">
      <c r="A37">
        <f t="shared" si="0"/>
        <v>0</v>
      </c>
      <c r="B37">
        <f t="shared" si="1"/>
        <v>0</v>
      </c>
      <c r="C37">
        <f t="shared" si="2"/>
        <v>0</v>
      </c>
      <c r="D37">
        <f t="shared" si="3"/>
        <v>0</v>
      </c>
      <c r="E37">
        <f t="shared" si="4"/>
        <v>0</v>
      </c>
      <c r="F37">
        <f>'D-RepLevel'!$F$2</f>
        <v>0</v>
      </c>
      <c r="G37">
        <f>'D-RepLevel'!$G$2</f>
        <v>0</v>
      </c>
      <c r="H37">
        <f t="shared" si="5"/>
        <v>0</v>
      </c>
      <c r="I37" t="str">
        <f>IF(ISERROR(INDEX('1b'!$C$5:$C$21, MATCH("Primary Business Line", '1b'!$H$5:$H$21, FALSE), 1)), "None Selected", INDEX('1b'!$C$5:$C$21, MATCH("Primary Business Line", '1b'!$H$5:$H$21, FALSE), 1))</f>
        <v>None Selected</v>
      </c>
      <c r="J37">
        <f>'D-3'!$J$2</f>
        <v>0</v>
      </c>
      <c r="K37">
        <f>COUNTIF('4a'!$E$6:$E$29, "Direct")+COUNTIF('4a'!$E$6:$E$29, "Indirect")+COUNTIF('4a'!$E$6:$E$29, "Both")</f>
        <v>0</v>
      </c>
      <c r="L37">
        <f t="shared" si="6"/>
        <v>0</v>
      </c>
      <c r="M37">
        <f t="shared" si="7"/>
        <v>0</v>
      </c>
      <c r="N37">
        <f t="shared" si="8"/>
        <v>0</v>
      </c>
      <c r="O37">
        <f t="shared" si="9"/>
        <v>2015</v>
      </c>
      <c r="P37">
        <f t="shared" si="10"/>
        <v>0</v>
      </c>
      <c r="Q37">
        <f t="shared" si="11"/>
        <v>0</v>
      </c>
      <c r="R37">
        <f t="shared" si="12"/>
        <v>0</v>
      </c>
      <c r="S37">
        <f t="shared" si="13"/>
        <v>0</v>
      </c>
      <c r="T37">
        <f>COUNTIF('9a'!$K$22:$K$32, "Yes")+COUNTIF('9a'!$O$22:$O$32, "Yes")</f>
        <v>0</v>
      </c>
      <c r="U37" t="str">
        <f t="shared" si="14"/>
        <v>No Expenditures</v>
      </c>
      <c r="V37" t="str">
        <f t="shared" si="15"/>
        <v>No Expenditures</v>
      </c>
      <c r="W37">
        <f t="shared" si="16"/>
        <v>0</v>
      </c>
      <c r="X37" t="str">
        <f>'D-Risk'!$AO$25</f>
        <v>Insufficient Data</v>
      </c>
      <c r="Y37" t="str">
        <f>'D-Risk'!$AO$26</f>
        <v>Insufficient Data</v>
      </c>
      <c r="Z37" t="str">
        <f>'D-Risk'!$AO$27</f>
        <v>Uncalculated</v>
      </c>
      <c r="AA37">
        <f t="shared" si="19"/>
        <v>0</v>
      </c>
      <c r="AB37">
        <f t="shared" si="20"/>
        <v>0</v>
      </c>
      <c r="AC37" t="s">
        <v>2551</v>
      </c>
      <c r="AD37">
        <f t="shared" si="23"/>
        <v>2015</v>
      </c>
      <c r="AE37" t="s">
        <v>2553</v>
      </c>
      <c r="AF37">
        <f>Q12_CurrentLiab_Year3</f>
        <v>0</v>
      </c>
    </row>
    <row r="38" spans="1:32" x14ac:dyDescent="0.25">
      <c r="A38">
        <f t="shared" si="0"/>
        <v>0</v>
      </c>
      <c r="B38">
        <f t="shared" si="1"/>
        <v>0</v>
      </c>
      <c r="C38">
        <f t="shared" si="2"/>
        <v>0</v>
      </c>
      <c r="D38">
        <f t="shared" si="3"/>
        <v>0</v>
      </c>
      <c r="E38">
        <f t="shared" si="4"/>
        <v>0</v>
      </c>
      <c r="F38">
        <f>'D-RepLevel'!$F$2</f>
        <v>0</v>
      </c>
      <c r="G38">
        <f>'D-RepLevel'!$G$2</f>
        <v>0</v>
      </c>
      <c r="H38">
        <f t="shared" si="5"/>
        <v>0</v>
      </c>
      <c r="I38" t="str">
        <f>IF(ISERROR(INDEX('1b'!$C$5:$C$21, MATCH("Primary Business Line", '1b'!$H$5:$H$21, FALSE), 1)), "None Selected", INDEX('1b'!$C$5:$C$21, MATCH("Primary Business Line", '1b'!$H$5:$H$21, FALSE), 1))</f>
        <v>None Selected</v>
      </c>
      <c r="J38">
        <f>'D-3'!$J$2</f>
        <v>0</v>
      </c>
      <c r="K38">
        <f>COUNTIF('4a'!$E$6:$E$29, "Direct")+COUNTIF('4a'!$E$6:$E$29, "Indirect")+COUNTIF('4a'!$E$6:$E$29, "Both")</f>
        <v>0</v>
      </c>
      <c r="L38">
        <f t="shared" si="6"/>
        <v>0</v>
      </c>
      <c r="M38">
        <f t="shared" si="7"/>
        <v>0</v>
      </c>
      <c r="N38">
        <f t="shared" si="8"/>
        <v>0</v>
      </c>
      <c r="O38">
        <f t="shared" si="9"/>
        <v>2015</v>
      </c>
      <c r="P38">
        <f t="shared" si="10"/>
        <v>0</v>
      </c>
      <c r="Q38">
        <f t="shared" si="11"/>
        <v>0</v>
      </c>
      <c r="R38">
        <f t="shared" si="12"/>
        <v>0</v>
      </c>
      <c r="S38">
        <f t="shared" si="13"/>
        <v>0</v>
      </c>
      <c r="T38">
        <f>COUNTIF('9a'!$K$22:$K$32, "Yes")+COUNTIF('9a'!$O$22:$O$32, "Yes")</f>
        <v>0</v>
      </c>
      <c r="U38" t="str">
        <f t="shared" si="14"/>
        <v>No Expenditures</v>
      </c>
      <c r="V38" t="str">
        <f t="shared" si="15"/>
        <v>No Expenditures</v>
      </c>
      <c r="W38">
        <f t="shared" si="16"/>
        <v>0</v>
      </c>
      <c r="X38" t="str">
        <f>'D-Risk'!$AO$25</f>
        <v>Insufficient Data</v>
      </c>
      <c r="Y38" t="str">
        <f>'D-Risk'!$AO$26</f>
        <v>Insufficient Data</v>
      </c>
      <c r="Z38" t="str">
        <f>'D-Risk'!$AO$27</f>
        <v>Uncalculated</v>
      </c>
      <c r="AA38">
        <f t="shared" si="19"/>
        <v>0</v>
      </c>
      <c r="AB38">
        <f t="shared" si="20"/>
        <v>0</v>
      </c>
      <c r="AC38" t="s">
        <v>2551</v>
      </c>
      <c r="AD38">
        <f t="shared" si="23"/>
        <v>2015</v>
      </c>
      <c r="AE38" t="s">
        <v>1008</v>
      </c>
      <c r="AF38">
        <f>Q12_TotalLiab_Year3</f>
        <v>0</v>
      </c>
    </row>
    <row r="39" spans="1:32" x14ac:dyDescent="0.25">
      <c r="A39">
        <f t="shared" si="0"/>
        <v>0</v>
      </c>
      <c r="B39">
        <f t="shared" si="1"/>
        <v>0</v>
      </c>
      <c r="C39">
        <f t="shared" si="2"/>
        <v>0</v>
      </c>
      <c r="D39">
        <f t="shared" si="3"/>
        <v>0</v>
      </c>
      <c r="E39">
        <f t="shared" si="4"/>
        <v>0</v>
      </c>
      <c r="F39">
        <f>'D-RepLevel'!$F$2</f>
        <v>0</v>
      </c>
      <c r="G39">
        <f>'D-RepLevel'!$G$2</f>
        <v>0</v>
      </c>
      <c r="H39">
        <f t="shared" si="5"/>
        <v>0</v>
      </c>
      <c r="I39" t="str">
        <f>IF(ISERROR(INDEX('1b'!$C$5:$C$21, MATCH("Primary Business Line", '1b'!$H$5:$H$21, FALSE), 1)), "None Selected", INDEX('1b'!$C$5:$C$21, MATCH("Primary Business Line", '1b'!$H$5:$H$21, FALSE), 1))</f>
        <v>None Selected</v>
      </c>
      <c r="J39">
        <f>'D-3'!$J$2</f>
        <v>0</v>
      </c>
      <c r="K39">
        <f>COUNTIF('4a'!$E$6:$E$29, "Direct")+COUNTIF('4a'!$E$6:$E$29, "Indirect")+COUNTIF('4a'!$E$6:$E$29, "Both")</f>
        <v>0</v>
      </c>
      <c r="L39">
        <f t="shared" si="6"/>
        <v>0</v>
      </c>
      <c r="M39">
        <f t="shared" si="7"/>
        <v>0</v>
      </c>
      <c r="N39">
        <f t="shared" si="8"/>
        <v>0</v>
      </c>
      <c r="O39">
        <f t="shared" si="9"/>
        <v>2015</v>
      </c>
      <c r="P39">
        <f t="shared" si="10"/>
        <v>0</v>
      </c>
      <c r="Q39">
        <f t="shared" si="11"/>
        <v>0</v>
      </c>
      <c r="R39">
        <f t="shared" si="12"/>
        <v>0</v>
      </c>
      <c r="S39">
        <f t="shared" si="13"/>
        <v>0</v>
      </c>
      <c r="T39">
        <f>COUNTIF('9a'!$K$22:$K$32, "Yes")+COUNTIF('9a'!$O$22:$O$32, "Yes")</f>
        <v>0</v>
      </c>
      <c r="U39" t="str">
        <f t="shared" si="14"/>
        <v>No Expenditures</v>
      </c>
      <c r="V39" t="str">
        <f t="shared" si="15"/>
        <v>No Expenditures</v>
      </c>
      <c r="W39">
        <f t="shared" si="16"/>
        <v>0</v>
      </c>
      <c r="X39" t="str">
        <f>'D-Risk'!$AO$25</f>
        <v>Insufficient Data</v>
      </c>
      <c r="Y39" t="str">
        <f>'D-Risk'!$AO$26</f>
        <v>Insufficient Data</v>
      </c>
      <c r="Z39" t="str">
        <f>'D-Risk'!$AO$27</f>
        <v>Uncalculated</v>
      </c>
      <c r="AA39">
        <f t="shared" si="19"/>
        <v>0</v>
      </c>
      <c r="AB39">
        <f t="shared" si="20"/>
        <v>0</v>
      </c>
      <c r="AC39" t="s">
        <v>2551</v>
      </c>
      <c r="AD39">
        <f t="shared" si="23"/>
        <v>2015</v>
      </c>
      <c r="AE39" t="s">
        <v>1009</v>
      </c>
      <c r="AF39">
        <f>Q12_RetainedEarn_Year3</f>
        <v>0</v>
      </c>
    </row>
    <row r="40" spans="1:32" x14ac:dyDescent="0.25">
      <c r="A40">
        <f t="shared" si="0"/>
        <v>0</v>
      </c>
      <c r="B40">
        <f t="shared" si="1"/>
        <v>0</v>
      </c>
      <c r="C40">
        <f t="shared" si="2"/>
        <v>0</v>
      </c>
      <c r="D40">
        <f t="shared" si="3"/>
        <v>0</v>
      </c>
      <c r="E40">
        <f t="shared" si="4"/>
        <v>0</v>
      </c>
      <c r="F40">
        <f>'D-RepLevel'!$F$2</f>
        <v>0</v>
      </c>
      <c r="G40">
        <f>'D-RepLevel'!$G$2</f>
        <v>0</v>
      </c>
      <c r="H40">
        <f t="shared" si="5"/>
        <v>0</v>
      </c>
      <c r="I40" t="str">
        <f>IF(ISERROR(INDEX('1b'!$C$5:$C$21, MATCH("Primary Business Line", '1b'!$H$5:$H$21, FALSE), 1)), "None Selected", INDEX('1b'!$C$5:$C$21, MATCH("Primary Business Line", '1b'!$H$5:$H$21, FALSE), 1))</f>
        <v>None Selected</v>
      </c>
      <c r="J40">
        <f>'D-3'!$J$2</f>
        <v>0</v>
      </c>
      <c r="K40">
        <f>COUNTIF('4a'!$E$6:$E$29, "Direct")+COUNTIF('4a'!$E$6:$E$29, "Indirect")+COUNTIF('4a'!$E$6:$E$29, "Both")</f>
        <v>0</v>
      </c>
      <c r="L40">
        <f t="shared" si="6"/>
        <v>0</v>
      </c>
      <c r="M40">
        <f t="shared" si="7"/>
        <v>0</v>
      </c>
      <c r="N40">
        <f t="shared" si="8"/>
        <v>0</v>
      </c>
      <c r="O40">
        <f t="shared" si="9"/>
        <v>2015</v>
      </c>
      <c r="P40">
        <f t="shared" si="10"/>
        <v>0</v>
      </c>
      <c r="Q40">
        <f t="shared" si="11"/>
        <v>0</v>
      </c>
      <c r="R40">
        <f t="shared" si="12"/>
        <v>0</v>
      </c>
      <c r="S40">
        <f t="shared" si="13"/>
        <v>0</v>
      </c>
      <c r="T40">
        <f>COUNTIF('9a'!$K$22:$K$32, "Yes")+COUNTIF('9a'!$O$22:$O$32, "Yes")</f>
        <v>0</v>
      </c>
      <c r="U40" t="str">
        <f t="shared" si="14"/>
        <v>No Expenditures</v>
      </c>
      <c r="V40" t="str">
        <f t="shared" si="15"/>
        <v>No Expenditures</v>
      </c>
      <c r="W40">
        <f t="shared" si="16"/>
        <v>0</v>
      </c>
      <c r="X40" t="str">
        <f>'D-Risk'!$AO$25</f>
        <v>Insufficient Data</v>
      </c>
      <c r="Y40" t="str">
        <f>'D-Risk'!$AO$26</f>
        <v>Insufficient Data</v>
      </c>
      <c r="Z40" t="str">
        <f>'D-Risk'!$AO$27</f>
        <v>Uncalculated</v>
      </c>
      <c r="AA40">
        <f t="shared" si="19"/>
        <v>0</v>
      </c>
      <c r="AB40">
        <f t="shared" si="20"/>
        <v>0</v>
      </c>
      <c r="AC40" t="s">
        <v>2551</v>
      </c>
      <c r="AD40">
        <f t="shared" si="23"/>
        <v>2015</v>
      </c>
      <c r="AE40" t="s">
        <v>1010</v>
      </c>
      <c r="AF40">
        <f>Q12_OwnersEq_Year3</f>
        <v>0</v>
      </c>
    </row>
  </sheetData>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27"/>
  <sheetViews>
    <sheetView zoomScale="70" zoomScaleNormal="70" workbookViewId="0">
      <selection activeCell="C7" sqref="C7:D7"/>
    </sheetView>
  </sheetViews>
  <sheetFormatPr defaultRowHeight="15" x14ac:dyDescent="0.25"/>
  <sheetData>
    <row r="1" spans="1:32"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2554</v>
      </c>
      <c r="AB1" t="s">
        <v>2555</v>
      </c>
      <c r="AC1" t="s">
        <v>2460</v>
      </c>
      <c r="AD1" t="s">
        <v>2556</v>
      </c>
      <c r="AE1" t="s">
        <v>2557</v>
      </c>
      <c r="AF1" t="s">
        <v>850</v>
      </c>
    </row>
    <row r="2" spans="1:32" x14ac:dyDescent="0.25">
      <c r="A2">
        <f t="shared" ref="A2:A27" si="0">Q_RP_B_DSSCAGE_01</f>
        <v>0</v>
      </c>
      <c r="B2">
        <f t="shared" ref="B2:B27" si="1">Q1a_A_LocationName</f>
        <v>0</v>
      </c>
      <c r="C2">
        <f t="shared" ref="C2:C27" si="2">Q1a_A_LocOrgName</f>
        <v>0</v>
      </c>
      <c r="D2">
        <f t="shared" ref="D2:D27" si="3">Q1a_B_Parent1_Name</f>
        <v>0</v>
      </c>
      <c r="E2">
        <f t="shared" ref="E2:E27" si="4">Q_RP_A_MultiResponse</f>
        <v>0</v>
      </c>
      <c r="F2">
        <f>'D-RepLevel'!$F$2</f>
        <v>0</v>
      </c>
      <c r="G2">
        <f>'D-RepLevel'!$G$2</f>
        <v>0</v>
      </c>
      <c r="H2">
        <f t="shared" ref="H2:H27" si="5">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 t="shared" ref="L2:L27" si="6">Q4b_A_NumUSGPrograms</f>
        <v>0</v>
      </c>
      <c r="M2">
        <f t="shared" ref="M2:M27" si="7">Q6_A_Employees_Year3</f>
        <v>0</v>
      </c>
      <c r="N2">
        <f t="shared" ref="N2:N27" si="8">Q6_B_Employee_H1B_Total+Q6_B_Employee_H2B_Total+Q6_B_Employee_F1_Total+Q6_B_Employee_GreenCard_Total+Q6_B_Employee_Other_Total</f>
        <v>0</v>
      </c>
      <c r="O2">
        <f t="shared" ref="O2:O27" si="9">Year3</f>
        <v>2015</v>
      </c>
      <c r="P2">
        <f t="shared" ref="P2:P27" si="10">Q7_A_TotalSales_US_Year3+Q7_A_TotalSales_NonUS_Year3</f>
        <v>0</v>
      </c>
      <c r="Q2">
        <f t="shared" ref="Q2:Q27" si="11">Q7_B_DefSales_US_Year3_Pct*Q7_A_TotalSales_US_Year3+Q7_B_DefSales_NonUS_Year3_Pct*Q7_A_TotalSales_NonUS_Year3</f>
        <v>0</v>
      </c>
      <c r="R2">
        <f t="shared" ref="R2:R27" si="12">Q9a_B_Physical_Year3</f>
        <v>0</v>
      </c>
      <c r="S2">
        <f t="shared" ref="S2:S27" si="13">Q9a_B_Cyber_Year3</f>
        <v>0</v>
      </c>
      <c r="T2">
        <f>COUNTIF('9a'!$K$22:$K$32, "Yes")+COUNTIF('9a'!$O$22:$O$32, "Yes")</f>
        <v>0</v>
      </c>
      <c r="U2" t="str">
        <f t="shared" ref="U2:U27" si="14">IF(Q12_OpEx_Year3=0, "No Expenditures", Q9b_A_PhysicalSpending_Year3/(Q12_OpEx_Year3))</f>
        <v>No Expenditures</v>
      </c>
      <c r="V2" t="str">
        <f t="shared" ref="V2:V27" si="15">IF(Q12_OpEx_Year3=0, "No Expenditures", Q9b_A_CyberSpending_Year3/(Q12_OpEx_Year3))</f>
        <v>No Expenditures</v>
      </c>
      <c r="W2">
        <f t="shared" ref="W2:W27" si="16">Q9b_C_Pct_CSI_External</f>
        <v>0</v>
      </c>
      <c r="X2" t="str">
        <f>'D-Risk'!$AO$25</f>
        <v>Insufficient Data</v>
      </c>
      <c r="Y2" t="str">
        <f>'D-Risk'!$AO$26</f>
        <v>Insufficient Data</v>
      </c>
      <c r="Z2" t="str">
        <f>'D-Risk'!$AO$27</f>
        <v>Uncalculated</v>
      </c>
      <c r="AA2">
        <v>1</v>
      </c>
      <c r="AB2" t="s">
        <v>1018</v>
      </c>
      <c r="AC2" t="s">
        <v>1518</v>
      </c>
      <c r="AD2">
        <f>Q13_A_AgingEquip_YN</f>
        <v>0</v>
      </c>
      <c r="AE2">
        <f>Q13_A_AgingEquip_Rank</f>
        <v>0</v>
      </c>
      <c r="AF2">
        <f>Q13_A_AgingEquip_Explain</f>
        <v>0</v>
      </c>
    </row>
    <row r="3" spans="1:32" x14ac:dyDescent="0.25">
      <c r="A3">
        <f t="shared" si="0"/>
        <v>0</v>
      </c>
      <c r="B3">
        <f t="shared" si="1"/>
        <v>0</v>
      </c>
      <c r="C3">
        <f t="shared" si="2"/>
        <v>0</v>
      </c>
      <c r="D3">
        <f t="shared" si="3"/>
        <v>0</v>
      </c>
      <c r="E3">
        <f t="shared" si="4"/>
        <v>0</v>
      </c>
      <c r="F3">
        <f>'D-RepLevel'!$F$2</f>
        <v>0</v>
      </c>
      <c r="G3">
        <f>'D-RepLevel'!$G$2</f>
        <v>0</v>
      </c>
      <c r="H3">
        <f t="shared" si="5"/>
        <v>0</v>
      </c>
      <c r="I3" t="str">
        <f>IF(ISERROR(INDEX('1b'!$C$5:$C$21, MATCH("Primary Business Line", '1b'!$H$5:$H$21, FALSE), 1)), "None Selected", INDEX('1b'!$C$5:$C$21, MATCH("Primary Business Line", '1b'!$H$5:$H$21, FALSE), 1))</f>
        <v>None Selected</v>
      </c>
      <c r="J3">
        <f>'D-3'!$J$2</f>
        <v>0</v>
      </c>
      <c r="K3">
        <f>COUNTIF('4a'!$E$6:$E$29, "Direct")+COUNTIF('4a'!$E$6:$E$29, "Indirect")+COUNTIF('4a'!$E$6:$E$29, "Both")</f>
        <v>0</v>
      </c>
      <c r="L3">
        <f t="shared" si="6"/>
        <v>0</v>
      </c>
      <c r="M3">
        <f t="shared" si="7"/>
        <v>0</v>
      </c>
      <c r="N3">
        <f t="shared" si="8"/>
        <v>0</v>
      </c>
      <c r="O3">
        <f t="shared" si="9"/>
        <v>2015</v>
      </c>
      <c r="P3">
        <f t="shared" si="10"/>
        <v>0</v>
      </c>
      <c r="Q3">
        <f t="shared" si="11"/>
        <v>0</v>
      </c>
      <c r="R3">
        <f t="shared" si="12"/>
        <v>0</v>
      </c>
      <c r="S3">
        <f t="shared" si="13"/>
        <v>0</v>
      </c>
      <c r="T3">
        <f>COUNTIF('9a'!$K$22:$K$32, "Yes")+COUNTIF('9a'!$O$22:$O$32, "Yes")</f>
        <v>0</v>
      </c>
      <c r="U3" t="str">
        <f t="shared" si="14"/>
        <v>No Expenditures</v>
      </c>
      <c r="V3" t="str">
        <f t="shared" si="15"/>
        <v>No Expenditures</v>
      </c>
      <c r="W3">
        <f t="shared" si="16"/>
        <v>0</v>
      </c>
      <c r="X3" t="str">
        <f>'D-Risk'!$AO$25</f>
        <v>Insufficient Data</v>
      </c>
      <c r="Y3" t="str">
        <f>'D-Risk'!$AO$26</f>
        <v>Insufficient Data</v>
      </c>
      <c r="Z3" t="str">
        <f>'D-Risk'!$AO$27</f>
        <v>Uncalculated</v>
      </c>
      <c r="AA3">
        <v>2</v>
      </c>
      <c r="AB3" t="s">
        <v>1019</v>
      </c>
      <c r="AC3" t="s">
        <v>1518</v>
      </c>
      <c r="AD3">
        <f>Q13_A_AgingWorkforce_YN</f>
        <v>0</v>
      </c>
      <c r="AE3">
        <f>Q13_A_AgingWorkforce_Rank</f>
        <v>0</v>
      </c>
      <c r="AF3">
        <f>Q13_A_AgingWorkforce_Explain</f>
        <v>0</v>
      </c>
    </row>
    <row r="4" spans="1:32" x14ac:dyDescent="0.25">
      <c r="A4">
        <f t="shared" si="0"/>
        <v>0</v>
      </c>
      <c r="B4">
        <f t="shared" si="1"/>
        <v>0</v>
      </c>
      <c r="C4">
        <f t="shared" si="2"/>
        <v>0</v>
      </c>
      <c r="D4">
        <f t="shared" si="3"/>
        <v>0</v>
      </c>
      <c r="E4">
        <f t="shared" si="4"/>
        <v>0</v>
      </c>
      <c r="F4">
        <f>'D-RepLevel'!$F$2</f>
        <v>0</v>
      </c>
      <c r="G4">
        <f>'D-RepLevel'!$G$2</f>
        <v>0</v>
      </c>
      <c r="H4">
        <f t="shared" si="5"/>
        <v>0</v>
      </c>
      <c r="I4" t="str">
        <f>IF(ISERROR(INDEX('1b'!$C$5:$C$21, MATCH("Primary Business Line", '1b'!$H$5:$H$21, FALSE), 1)), "None Selected", INDEX('1b'!$C$5:$C$21, MATCH("Primary Business Line", '1b'!$H$5:$H$21, FALSE), 1))</f>
        <v>None Selected</v>
      </c>
      <c r="J4">
        <f>'D-3'!$J$2</f>
        <v>0</v>
      </c>
      <c r="K4">
        <f>COUNTIF('4a'!$E$6:$E$29, "Direct")+COUNTIF('4a'!$E$6:$E$29, "Indirect")+COUNTIF('4a'!$E$6:$E$29, "Both")</f>
        <v>0</v>
      </c>
      <c r="L4">
        <f t="shared" si="6"/>
        <v>0</v>
      </c>
      <c r="M4">
        <f t="shared" si="7"/>
        <v>0</v>
      </c>
      <c r="N4">
        <f t="shared" si="8"/>
        <v>0</v>
      </c>
      <c r="O4">
        <f t="shared" si="9"/>
        <v>2015</v>
      </c>
      <c r="P4">
        <f t="shared" si="10"/>
        <v>0</v>
      </c>
      <c r="Q4">
        <f t="shared" si="11"/>
        <v>0</v>
      </c>
      <c r="R4">
        <f t="shared" si="12"/>
        <v>0</v>
      </c>
      <c r="S4">
        <f t="shared" si="13"/>
        <v>0</v>
      </c>
      <c r="T4">
        <f>COUNTIF('9a'!$K$22:$K$32, "Yes")+COUNTIF('9a'!$O$22:$O$32, "Yes")</f>
        <v>0</v>
      </c>
      <c r="U4" t="str">
        <f t="shared" si="14"/>
        <v>No Expenditures</v>
      </c>
      <c r="V4" t="str">
        <f t="shared" si="15"/>
        <v>No Expenditures</v>
      </c>
      <c r="W4">
        <f t="shared" si="16"/>
        <v>0</v>
      </c>
      <c r="X4" t="str">
        <f>'D-Risk'!$AO$25</f>
        <v>Insufficient Data</v>
      </c>
      <c r="Y4" t="str">
        <f>'D-Risk'!$AO$26</f>
        <v>Insufficient Data</v>
      </c>
      <c r="Z4" t="str">
        <f>'D-Risk'!$AO$27</f>
        <v>Uncalculated</v>
      </c>
      <c r="AA4">
        <v>3</v>
      </c>
      <c r="AB4" t="s">
        <v>1020</v>
      </c>
      <c r="AC4" t="s">
        <v>1518</v>
      </c>
      <c r="AD4">
        <f>Q13_A_Counterfeits_YN</f>
        <v>0</v>
      </c>
      <c r="AE4">
        <f>Q13_A_Counterfeits_Rank</f>
        <v>0</v>
      </c>
      <c r="AF4">
        <f>Q13_A_Counterfeits_Explain</f>
        <v>0</v>
      </c>
    </row>
    <row r="5" spans="1:32" x14ac:dyDescent="0.25">
      <c r="A5">
        <f t="shared" si="0"/>
        <v>0</v>
      </c>
      <c r="B5">
        <f t="shared" si="1"/>
        <v>0</v>
      </c>
      <c r="C5">
        <f t="shared" si="2"/>
        <v>0</v>
      </c>
      <c r="D5">
        <f t="shared" si="3"/>
        <v>0</v>
      </c>
      <c r="E5">
        <f t="shared" si="4"/>
        <v>0</v>
      </c>
      <c r="F5">
        <f>'D-RepLevel'!$F$2</f>
        <v>0</v>
      </c>
      <c r="G5">
        <f>'D-RepLevel'!$G$2</f>
        <v>0</v>
      </c>
      <c r="H5">
        <f t="shared" si="5"/>
        <v>0</v>
      </c>
      <c r="I5" t="str">
        <f>IF(ISERROR(INDEX('1b'!$C$5:$C$21, MATCH("Primary Business Line", '1b'!$H$5:$H$21, FALSE), 1)), "None Selected", INDEX('1b'!$C$5:$C$21, MATCH("Primary Business Line", '1b'!$H$5:$H$21, FALSE), 1))</f>
        <v>None Selected</v>
      </c>
      <c r="J5">
        <f>'D-3'!$J$2</f>
        <v>0</v>
      </c>
      <c r="K5">
        <f>COUNTIF('4a'!$E$6:$E$29, "Direct")+COUNTIF('4a'!$E$6:$E$29, "Indirect")+COUNTIF('4a'!$E$6:$E$29, "Both")</f>
        <v>0</v>
      </c>
      <c r="L5">
        <f t="shared" si="6"/>
        <v>0</v>
      </c>
      <c r="M5">
        <f t="shared" si="7"/>
        <v>0</v>
      </c>
      <c r="N5">
        <f t="shared" si="8"/>
        <v>0</v>
      </c>
      <c r="O5">
        <f t="shared" si="9"/>
        <v>2015</v>
      </c>
      <c r="P5">
        <f t="shared" si="10"/>
        <v>0</v>
      </c>
      <c r="Q5">
        <f t="shared" si="11"/>
        <v>0</v>
      </c>
      <c r="R5">
        <f t="shared" si="12"/>
        <v>0</v>
      </c>
      <c r="S5">
        <f t="shared" si="13"/>
        <v>0</v>
      </c>
      <c r="T5">
        <f>COUNTIF('9a'!$K$22:$K$32, "Yes")+COUNTIF('9a'!$O$22:$O$32, "Yes")</f>
        <v>0</v>
      </c>
      <c r="U5" t="str">
        <f t="shared" si="14"/>
        <v>No Expenditures</v>
      </c>
      <c r="V5" t="str">
        <f t="shared" si="15"/>
        <v>No Expenditures</v>
      </c>
      <c r="W5">
        <f t="shared" si="16"/>
        <v>0</v>
      </c>
      <c r="X5" t="str">
        <f>'D-Risk'!$AO$25</f>
        <v>Insufficient Data</v>
      </c>
      <c r="Y5" t="str">
        <f>'D-Risk'!$AO$26</f>
        <v>Insufficient Data</v>
      </c>
      <c r="Z5" t="str">
        <f>'D-Risk'!$AO$27</f>
        <v>Uncalculated</v>
      </c>
      <c r="AA5">
        <v>4</v>
      </c>
      <c r="AB5" t="s">
        <v>1021</v>
      </c>
      <c r="AC5" t="s">
        <v>1518</v>
      </c>
      <c r="AD5">
        <f>Q13_A_Cyber_YN</f>
        <v>0</v>
      </c>
      <c r="AE5">
        <f>Q13_A_Cyber_Rank</f>
        <v>0</v>
      </c>
      <c r="AF5">
        <f>Q13_A_Cyber_Explain</f>
        <v>0</v>
      </c>
    </row>
    <row r="6" spans="1:32" x14ac:dyDescent="0.25">
      <c r="A6">
        <f t="shared" si="0"/>
        <v>0</v>
      </c>
      <c r="B6">
        <f t="shared" si="1"/>
        <v>0</v>
      </c>
      <c r="C6">
        <f t="shared" si="2"/>
        <v>0</v>
      </c>
      <c r="D6">
        <f t="shared" si="3"/>
        <v>0</v>
      </c>
      <c r="E6">
        <f t="shared" si="4"/>
        <v>0</v>
      </c>
      <c r="F6">
        <f>'D-RepLevel'!$F$2</f>
        <v>0</v>
      </c>
      <c r="G6">
        <f>'D-RepLevel'!$G$2</f>
        <v>0</v>
      </c>
      <c r="H6">
        <f t="shared" si="5"/>
        <v>0</v>
      </c>
      <c r="I6" t="str">
        <f>IF(ISERROR(INDEX('1b'!$C$5:$C$21, MATCH("Primary Business Line", '1b'!$H$5:$H$21, FALSE), 1)), "None Selected", INDEX('1b'!$C$5:$C$21, MATCH("Primary Business Line", '1b'!$H$5:$H$21, FALSE), 1))</f>
        <v>None Selected</v>
      </c>
      <c r="J6">
        <f>'D-3'!$J$2</f>
        <v>0</v>
      </c>
      <c r="K6">
        <f>COUNTIF('4a'!$E$6:$E$29, "Direct")+COUNTIF('4a'!$E$6:$E$29, "Indirect")+COUNTIF('4a'!$E$6:$E$29, "Both")</f>
        <v>0</v>
      </c>
      <c r="L6">
        <f t="shared" si="6"/>
        <v>0</v>
      </c>
      <c r="M6">
        <f t="shared" si="7"/>
        <v>0</v>
      </c>
      <c r="N6">
        <f t="shared" si="8"/>
        <v>0</v>
      </c>
      <c r="O6">
        <f t="shared" si="9"/>
        <v>2015</v>
      </c>
      <c r="P6">
        <f t="shared" si="10"/>
        <v>0</v>
      </c>
      <c r="Q6">
        <f t="shared" si="11"/>
        <v>0</v>
      </c>
      <c r="R6">
        <f t="shared" si="12"/>
        <v>0</v>
      </c>
      <c r="S6">
        <f t="shared" si="13"/>
        <v>0</v>
      </c>
      <c r="T6">
        <f>COUNTIF('9a'!$K$22:$K$32, "Yes")+COUNTIF('9a'!$O$22:$O$32, "Yes")</f>
        <v>0</v>
      </c>
      <c r="U6" t="str">
        <f t="shared" si="14"/>
        <v>No Expenditures</v>
      </c>
      <c r="V6" t="str">
        <f t="shared" si="15"/>
        <v>No Expenditures</v>
      </c>
      <c r="W6">
        <f t="shared" si="16"/>
        <v>0</v>
      </c>
      <c r="X6" t="str">
        <f>'D-Risk'!$AO$25</f>
        <v>Insufficient Data</v>
      </c>
      <c r="Y6" t="str">
        <f>'D-Risk'!$AO$26</f>
        <v>Insufficient Data</v>
      </c>
      <c r="Z6" t="str">
        <f>'D-Risk'!$AO$27</f>
        <v>Uncalculated</v>
      </c>
      <c r="AA6">
        <v>5</v>
      </c>
      <c r="AB6" t="s">
        <v>1022</v>
      </c>
      <c r="AC6" t="s">
        <v>1518</v>
      </c>
      <c r="AD6">
        <f>Q13_A_DomesticComp_YN</f>
        <v>0</v>
      </c>
      <c r="AE6">
        <f>Q13_A_DomesticComp_Rank</f>
        <v>0</v>
      </c>
      <c r="AF6">
        <f>Q13_A_DomesticComp_Explain</f>
        <v>0</v>
      </c>
    </row>
    <row r="7" spans="1:32" x14ac:dyDescent="0.25">
      <c r="A7">
        <f t="shared" si="0"/>
        <v>0</v>
      </c>
      <c r="B7">
        <f t="shared" si="1"/>
        <v>0</v>
      </c>
      <c r="C7">
        <f t="shared" si="2"/>
        <v>0</v>
      </c>
      <c r="D7">
        <f t="shared" si="3"/>
        <v>0</v>
      </c>
      <c r="E7">
        <f t="shared" si="4"/>
        <v>0</v>
      </c>
      <c r="F7">
        <f>'D-RepLevel'!$F$2</f>
        <v>0</v>
      </c>
      <c r="G7">
        <f>'D-RepLevel'!$G$2</f>
        <v>0</v>
      </c>
      <c r="H7">
        <f t="shared" si="5"/>
        <v>0</v>
      </c>
      <c r="I7" t="str">
        <f>IF(ISERROR(INDEX('1b'!$C$5:$C$21, MATCH("Primary Business Line", '1b'!$H$5:$H$21, FALSE), 1)), "None Selected", INDEX('1b'!$C$5:$C$21, MATCH("Primary Business Line", '1b'!$H$5:$H$21, FALSE), 1))</f>
        <v>None Selected</v>
      </c>
      <c r="J7">
        <f>'D-3'!$J$2</f>
        <v>0</v>
      </c>
      <c r="K7">
        <f>COUNTIF('4a'!$E$6:$E$29, "Direct")+COUNTIF('4a'!$E$6:$E$29, "Indirect")+COUNTIF('4a'!$E$6:$E$29, "Both")</f>
        <v>0</v>
      </c>
      <c r="L7">
        <f t="shared" si="6"/>
        <v>0</v>
      </c>
      <c r="M7">
        <f t="shared" si="7"/>
        <v>0</v>
      </c>
      <c r="N7">
        <f t="shared" si="8"/>
        <v>0</v>
      </c>
      <c r="O7">
        <f t="shared" si="9"/>
        <v>2015</v>
      </c>
      <c r="P7">
        <f t="shared" si="10"/>
        <v>0</v>
      </c>
      <c r="Q7">
        <f t="shared" si="11"/>
        <v>0</v>
      </c>
      <c r="R7">
        <f t="shared" si="12"/>
        <v>0</v>
      </c>
      <c r="S7">
        <f t="shared" si="13"/>
        <v>0</v>
      </c>
      <c r="T7">
        <f>COUNTIF('9a'!$K$22:$K$32, "Yes")+COUNTIF('9a'!$O$22:$O$32, "Yes")</f>
        <v>0</v>
      </c>
      <c r="U7" t="str">
        <f t="shared" si="14"/>
        <v>No Expenditures</v>
      </c>
      <c r="V7" t="str">
        <f t="shared" si="15"/>
        <v>No Expenditures</v>
      </c>
      <c r="W7">
        <f t="shared" si="16"/>
        <v>0</v>
      </c>
      <c r="X7" t="str">
        <f>'D-Risk'!$AO$25</f>
        <v>Insufficient Data</v>
      </c>
      <c r="Y7" t="str">
        <f>'D-Risk'!$AO$26</f>
        <v>Insufficient Data</v>
      </c>
      <c r="Z7" t="str">
        <f>'D-Risk'!$AO$27</f>
        <v>Uncalculated</v>
      </c>
      <c r="AA7">
        <v>6</v>
      </c>
      <c r="AB7" t="s">
        <v>1023</v>
      </c>
      <c r="AC7" t="s">
        <v>1518</v>
      </c>
      <c r="AD7">
        <f>Q13_A_EnviroRegs_YN</f>
        <v>0</v>
      </c>
      <c r="AE7">
        <f>Q13_A_EnviroRegs_Rank</f>
        <v>0</v>
      </c>
      <c r="AF7">
        <f>Q13_A_EnviroRegs_Explain</f>
        <v>0</v>
      </c>
    </row>
    <row r="8" spans="1:32" x14ac:dyDescent="0.25">
      <c r="A8">
        <f t="shared" si="0"/>
        <v>0</v>
      </c>
      <c r="B8">
        <f t="shared" si="1"/>
        <v>0</v>
      </c>
      <c r="C8">
        <f t="shared" si="2"/>
        <v>0</v>
      </c>
      <c r="D8">
        <f t="shared" si="3"/>
        <v>0</v>
      </c>
      <c r="E8">
        <f t="shared" si="4"/>
        <v>0</v>
      </c>
      <c r="F8">
        <f>'D-RepLevel'!$F$2</f>
        <v>0</v>
      </c>
      <c r="G8">
        <f>'D-RepLevel'!$G$2</f>
        <v>0</v>
      </c>
      <c r="H8">
        <f t="shared" si="5"/>
        <v>0</v>
      </c>
      <c r="I8" t="str">
        <f>IF(ISERROR(INDEX('1b'!$C$5:$C$21, MATCH("Primary Business Line", '1b'!$H$5:$H$21, FALSE), 1)), "None Selected", INDEX('1b'!$C$5:$C$21, MATCH("Primary Business Line", '1b'!$H$5:$H$21, FALSE), 1))</f>
        <v>None Selected</v>
      </c>
      <c r="J8">
        <f>'D-3'!$J$2</f>
        <v>0</v>
      </c>
      <c r="K8">
        <f>COUNTIF('4a'!$E$6:$E$29, "Direct")+COUNTIF('4a'!$E$6:$E$29, "Indirect")+COUNTIF('4a'!$E$6:$E$29, "Both")</f>
        <v>0</v>
      </c>
      <c r="L8">
        <f t="shared" si="6"/>
        <v>0</v>
      </c>
      <c r="M8">
        <f t="shared" si="7"/>
        <v>0</v>
      </c>
      <c r="N8">
        <f t="shared" si="8"/>
        <v>0</v>
      </c>
      <c r="O8">
        <f t="shared" si="9"/>
        <v>2015</v>
      </c>
      <c r="P8">
        <f t="shared" si="10"/>
        <v>0</v>
      </c>
      <c r="Q8">
        <f t="shared" si="11"/>
        <v>0</v>
      </c>
      <c r="R8">
        <f t="shared" si="12"/>
        <v>0</v>
      </c>
      <c r="S8">
        <f t="shared" si="13"/>
        <v>0</v>
      </c>
      <c r="T8">
        <f>COUNTIF('9a'!$K$22:$K$32, "Yes")+COUNTIF('9a'!$O$22:$O$32, "Yes")</f>
        <v>0</v>
      </c>
      <c r="U8" t="str">
        <f t="shared" si="14"/>
        <v>No Expenditures</v>
      </c>
      <c r="V8" t="str">
        <f t="shared" si="15"/>
        <v>No Expenditures</v>
      </c>
      <c r="W8">
        <f t="shared" si="16"/>
        <v>0</v>
      </c>
      <c r="X8" t="str">
        <f>'D-Risk'!$AO$25</f>
        <v>Insufficient Data</v>
      </c>
      <c r="Y8" t="str">
        <f>'D-Risk'!$AO$26</f>
        <v>Insufficient Data</v>
      </c>
      <c r="Z8" t="str">
        <f>'D-Risk'!$AO$27</f>
        <v>Uncalculated</v>
      </c>
      <c r="AA8">
        <v>7</v>
      </c>
      <c r="AB8" t="s">
        <v>1024</v>
      </c>
      <c r="AC8" t="s">
        <v>1518</v>
      </c>
      <c r="AD8">
        <f>Q13_A_ExportControl_YN</f>
        <v>0</v>
      </c>
      <c r="AE8">
        <f>Q13_A_ExportControl_Rank</f>
        <v>0</v>
      </c>
      <c r="AF8">
        <f>Q13_A_ExportControl_Explain</f>
        <v>0</v>
      </c>
    </row>
    <row r="9" spans="1:32" x14ac:dyDescent="0.25">
      <c r="A9">
        <f t="shared" si="0"/>
        <v>0</v>
      </c>
      <c r="B9">
        <f t="shared" si="1"/>
        <v>0</v>
      </c>
      <c r="C9">
        <f t="shared" si="2"/>
        <v>0</v>
      </c>
      <c r="D9">
        <f t="shared" si="3"/>
        <v>0</v>
      </c>
      <c r="E9">
        <f t="shared" si="4"/>
        <v>0</v>
      </c>
      <c r="F9">
        <f>'D-RepLevel'!$F$2</f>
        <v>0</v>
      </c>
      <c r="G9">
        <f>'D-RepLevel'!$G$2</f>
        <v>0</v>
      </c>
      <c r="H9">
        <f t="shared" si="5"/>
        <v>0</v>
      </c>
      <c r="I9" t="str">
        <f>IF(ISERROR(INDEX('1b'!$C$5:$C$21, MATCH("Primary Business Line", '1b'!$H$5:$H$21, FALSE), 1)), "None Selected", INDEX('1b'!$C$5:$C$21, MATCH("Primary Business Line", '1b'!$H$5:$H$21, FALSE), 1))</f>
        <v>None Selected</v>
      </c>
      <c r="J9">
        <f>'D-3'!$J$2</f>
        <v>0</v>
      </c>
      <c r="K9">
        <f>COUNTIF('4a'!$E$6:$E$29, "Direct")+COUNTIF('4a'!$E$6:$E$29, "Indirect")+COUNTIF('4a'!$E$6:$E$29, "Both")</f>
        <v>0</v>
      </c>
      <c r="L9">
        <f t="shared" si="6"/>
        <v>0</v>
      </c>
      <c r="M9">
        <f t="shared" si="7"/>
        <v>0</v>
      </c>
      <c r="N9">
        <f t="shared" si="8"/>
        <v>0</v>
      </c>
      <c r="O9">
        <f t="shared" si="9"/>
        <v>2015</v>
      </c>
      <c r="P9">
        <f t="shared" si="10"/>
        <v>0</v>
      </c>
      <c r="Q9">
        <f t="shared" si="11"/>
        <v>0</v>
      </c>
      <c r="R9">
        <f t="shared" si="12"/>
        <v>0</v>
      </c>
      <c r="S9">
        <f t="shared" si="13"/>
        <v>0</v>
      </c>
      <c r="T9">
        <f>COUNTIF('9a'!$K$22:$K$32, "Yes")+COUNTIF('9a'!$O$22:$O$32, "Yes")</f>
        <v>0</v>
      </c>
      <c r="U9" t="str">
        <f t="shared" si="14"/>
        <v>No Expenditures</v>
      </c>
      <c r="V9" t="str">
        <f t="shared" si="15"/>
        <v>No Expenditures</v>
      </c>
      <c r="W9">
        <f t="shared" si="16"/>
        <v>0</v>
      </c>
      <c r="X9" t="str">
        <f>'D-Risk'!$AO$25</f>
        <v>Insufficient Data</v>
      </c>
      <c r="Y9" t="str">
        <f>'D-Risk'!$AO$26</f>
        <v>Insufficient Data</v>
      </c>
      <c r="Z9" t="str">
        <f>'D-Risk'!$AO$27</f>
        <v>Uncalculated</v>
      </c>
      <c r="AA9">
        <v>8</v>
      </c>
      <c r="AB9" t="s">
        <v>1025</v>
      </c>
      <c r="AC9" t="s">
        <v>1518</v>
      </c>
      <c r="AD9">
        <f>Q13_A_ForeignComp_YN</f>
        <v>0</v>
      </c>
      <c r="AE9">
        <f>Q13_A_ForeignComp_Rank</f>
        <v>0</v>
      </c>
      <c r="AF9">
        <f>Q13_A_ForeignComp_Explain</f>
        <v>0</v>
      </c>
    </row>
    <row r="10" spans="1:32" x14ac:dyDescent="0.25">
      <c r="A10">
        <f t="shared" si="0"/>
        <v>0</v>
      </c>
      <c r="B10">
        <f t="shared" si="1"/>
        <v>0</v>
      </c>
      <c r="C10">
        <f t="shared" si="2"/>
        <v>0</v>
      </c>
      <c r="D10">
        <f t="shared" si="3"/>
        <v>0</v>
      </c>
      <c r="E10">
        <f t="shared" si="4"/>
        <v>0</v>
      </c>
      <c r="F10">
        <f>'D-RepLevel'!$F$2</f>
        <v>0</v>
      </c>
      <c r="G10">
        <f>'D-RepLevel'!$G$2</f>
        <v>0</v>
      </c>
      <c r="H10">
        <f t="shared" si="5"/>
        <v>0</v>
      </c>
      <c r="I10" t="str">
        <f>IF(ISERROR(INDEX('1b'!$C$5:$C$21, MATCH("Primary Business Line", '1b'!$H$5:$H$21, FALSE), 1)), "None Selected", INDEX('1b'!$C$5:$C$21, MATCH("Primary Business Line", '1b'!$H$5:$H$21, FALSE), 1))</f>
        <v>None Selected</v>
      </c>
      <c r="J10">
        <f>'D-3'!$J$2</f>
        <v>0</v>
      </c>
      <c r="K10">
        <f>COUNTIF('4a'!$E$6:$E$29, "Direct")+COUNTIF('4a'!$E$6:$E$29, "Indirect")+COUNTIF('4a'!$E$6:$E$29, "Both")</f>
        <v>0</v>
      </c>
      <c r="L10">
        <f t="shared" si="6"/>
        <v>0</v>
      </c>
      <c r="M10">
        <f t="shared" si="7"/>
        <v>0</v>
      </c>
      <c r="N10">
        <f t="shared" si="8"/>
        <v>0</v>
      </c>
      <c r="O10">
        <f t="shared" si="9"/>
        <v>2015</v>
      </c>
      <c r="P10">
        <f t="shared" si="10"/>
        <v>0</v>
      </c>
      <c r="Q10">
        <f t="shared" si="11"/>
        <v>0</v>
      </c>
      <c r="R10">
        <f t="shared" si="12"/>
        <v>0</v>
      </c>
      <c r="S10">
        <f t="shared" si="13"/>
        <v>0</v>
      </c>
      <c r="T10">
        <f>COUNTIF('9a'!$K$22:$K$32, "Yes")+COUNTIF('9a'!$O$22:$O$32, "Yes")</f>
        <v>0</v>
      </c>
      <c r="U10" t="str">
        <f t="shared" si="14"/>
        <v>No Expenditures</v>
      </c>
      <c r="V10" t="str">
        <f t="shared" si="15"/>
        <v>No Expenditures</v>
      </c>
      <c r="W10">
        <f t="shared" si="16"/>
        <v>0</v>
      </c>
      <c r="X10" t="str">
        <f>'D-Risk'!$AO$25</f>
        <v>Insufficient Data</v>
      </c>
      <c r="Y10" t="str">
        <f>'D-Risk'!$AO$26</f>
        <v>Insufficient Data</v>
      </c>
      <c r="Z10" t="str">
        <f>'D-Risk'!$AO$27</f>
        <v>Uncalculated</v>
      </c>
      <c r="AA10">
        <v>9</v>
      </c>
      <c r="AB10" t="s">
        <v>1026</v>
      </c>
      <c r="AC10" t="s">
        <v>1518</v>
      </c>
      <c r="AD10">
        <f>Q13_A_GovtAcquis_YN</f>
        <v>0</v>
      </c>
      <c r="AE10">
        <f>Q13_A_GovtAcquis_Rank</f>
        <v>0</v>
      </c>
      <c r="AF10">
        <f>Q13_A_GovtAcquis_Explain</f>
        <v>0</v>
      </c>
    </row>
    <row r="11" spans="1:32" x14ac:dyDescent="0.25">
      <c r="A11">
        <f t="shared" si="0"/>
        <v>0</v>
      </c>
      <c r="B11">
        <f t="shared" si="1"/>
        <v>0</v>
      </c>
      <c r="C11">
        <f t="shared" si="2"/>
        <v>0</v>
      </c>
      <c r="D11">
        <f t="shared" si="3"/>
        <v>0</v>
      </c>
      <c r="E11">
        <f t="shared" si="4"/>
        <v>0</v>
      </c>
      <c r="F11">
        <f>'D-RepLevel'!$F$2</f>
        <v>0</v>
      </c>
      <c r="G11">
        <f>'D-RepLevel'!$G$2</f>
        <v>0</v>
      </c>
      <c r="H11">
        <f t="shared" si="5"/>
        <v>0</v>
      </c>
      <c r="I11" t="str">
        <f>IF(ISERROR(INDEX('1b'!$C$5:$C$21, MATCH("Primary Business Line", '1b'!$H$5:$H$21, FALSE), 1)), "None Selected", INDEX('1b'!$C$5:$C$21, MATCH("Primary Business Line", '1b'!$H$5:$H$21, FALSE), 1))</f>
        <v>None Selected</v>
      </c>
      <c r="J11">
        <f>'D-3'!$J$2</f>
        <v>0</v>
      </c>
      <c r="K11">
        <f>COUNTIF('4a'!$E$6:$E$29, "Direct")+COUNTIF('4a'!$E$6:$E$29, "Indirect")+COUNTIF('4a'!$E$6:$E$29, "Both")</f>
        <v>0</v>
      </c>
      <c r="L11">
        <f t="shared" si="6"/>
        <v>0</v>
      </c>
      <c r="M11">
        <f t="shared" si="7"/>
        <v>0</v>
      </c>
      <c r="N11">
        <f t="shared" si="8"/>
        <v>0</v>
      </c>
      <c r="O11">
        <f t="shared" si="9"/>
        <v>2015</v>
      </c>
      <c r="P11">
        <f t="shared" si="10"/>
        <v>0</v>
      </c>
      <c r="Q11">
        <f t="shared" si="11"/>
        <v>0</v>
      </c>
      <c r="R11">
        <f t="shared" si="12"/>
        <v>0</v>
      </c>
      <c r="S11">
        <f t="shared" si="13"/>
        <v>0</v>
      </c>
      <c r="T11">
        <f>COUNTIF('9a'!$K$22:$K$32, "Yes")+COUNTIF('9a'!$O$22:$O$32, "Yes")</f>
        <v>0</v>
      </c>
      <c r="U11" t="str">
        <f t="shared" si="14"/>
        <v>No Expenditures</v>
      </c>
      <c r="V11" t="str">
        <f t="shared" si="15"/>
        <v>No Expenditures</v>
      </c>
      <c r="W11">
        <f t="shared" si="16"/>
        <v>0</v>
      </c>
      <c r="X11" t="str">
        <f>'D-Risk'!$AO$25</f>
        <v>Insufficient Data</v>
      </c>
      <c r="Y11" t="str">
        <f>'D-Risk'!$AO$26</f>
        <v>Insufficient Data</v>
      </c>
      <c r="Z11" t="str">
        <f>'D-Risk'!$AO$27</f>
        <v>Uncalculated</v>
      </c>
      <c r="AA11">
        <v>10</v>
      </c>
      <c r="AB11" t="s">
        <v>1027</v>
      </c>
      <c r="AC11" t="s">
        <v>1518</v>
      </c>
      <c r="AD11">
        <f>Q13_A_GovtVolatility_YN</f>
        <v>0</v>
      </c>
      <c r="AE11">
        <f>Q13_A_GovtVolatility_Rank</f>
        <v>0</v>
      </c>
      <c r="AF11">
        <f>Q13_A_GovtVolatility_Explain</f>
        <v>0</v>
      </c>
    </row>
    <row r="12" spans="1:32" x14ac:dyDescent="0.25">
      <c r="A12">
        <f t="shared" si="0"/>
        <v>0</v>
      </c>
      <c r="B12">
        <f t="shared" si="1"/>
        <v>0</v>
      </c>
      <c r="C12">
        <f t="shared" si="2"/>
        <v>0</v>
      </c>
      <c r="D12">
        <f t="shared" si="3"/>
        <v>0</v>
      </c>
      <c r="E12">
        <f t="shared" si="4"/>
        <v>0</v>
      </c>
      <c r="F12">
        <f>'D-RepLevel'!$F$2</f>
        <v>0</v>
      </c>
      <c r="G12">
        <f>'D-RepLevel'!$G$2</f>
        <v>0</v>
      </c>
      <c r="H12">
        <f t="shared" si="5"/>
        <v>0</v>
      </c>
      <c r="I12" t="str">
        <f>IF(ISERROR(INDEX('1b'!$C$5:$C$21, MATCH("Primary Business Line", '1b'!$H$5:$H$21, FALSE), 1)), "None Selected", INDEX('1b'!$C$5:$C$21, MATCH("Primary Business Line", '1b'!$H$5:$H$21, FALSE), 1))</f>
        <v>None Selected</v>
      </c>
      <c r="J12">
        <f>'D-3'!$J$2</f>
        <v>0</v>
      </c>
      <c r="K12">
        <f>COUNTIF('4a'!$E$6:$E$29, "Direct")+COUNTIF('4a'!$E$6:$E$29, "Indirect")+COUNTIF('4a'!$E$6:$E$29, "Both")</f>
        <v>0</v>
      </c>
      <c r="L12">
        <f t="shared" si="6"/>
        <v>0</v>
      </c>
      <c r="M12">
        <f t="shared" si="7"/>
        <v>0</v>
      </c>
      <c r="N12">
        <f t="shared" si="8"/>
        <v>0</v>
      </c>
      <c r="O12">
        <f t="shared" si="9"/>
        <v>2015</v>
      </c>
      <c r="P12">
        <f t="shared" si="10"/>
        <v>0</v>
      </c>
      <c r="Q12">
        <f t="shared" si="11"/>
        <v>0</v>
      </c>
      <c r="R12">
        <f t="shared" si="12"/>
        <v>0</v>
      </c>
      <c r="S12">
        <f t="shared" si="13"/>
        <v>0</v>
      </c>
      <c r="T12">
        <f>COUNTIF('9a'!$K$22:$K$32, "Yes")+COUNTIF('9a'!$O$22:$O$32, "Yes")</f>
        <v>0</v>
      </c>
      <c r="U12" t="str">
        <f t="shared" si="14"/>
        <v>No Expenditures</v>
      </c>
      <c r="V12" t="str">
        <f t="shared" si="15"/>
        <v>No Expenditures</v>
      </c>
      <c r="W12">
        <f t="shared" si="16"/>
        <v>0</v>
      </c>
      <c r="X12" t="str">
        <f>'D-Risk'!$AO$25</f>
        <v>Insufficient Data</v>
      </c>
      <c r="Y12" t="str">
        <f>'D-Risk'!$AO$26</f>
        <v>Insufficient Data</v>
      </c>
      <c r="Z12" t="str">
        <f>'D-Risk'!$AO$27</f>
        <v>Uncalculated</v>
      </c>
      <c r="AA12">
        <v>11</v>
      </c>
      <c r="AB12" t="s">
        <v>1028</v>
      </c>
      <c r="AC12" t="s">
        <v>1518</v>
      </c>
      <c r="AD12">
        <f>Q13_A_GovtRegulatory_YN</f>
        <v>0</v>
      </c>
      <c r="AE12">
        <f>Q13_A_GovtRegulatory_Rank</f>
        <v>0</v>
      </c>
      <c r="AF12">
        <f>Q13_A_GovtRegulatory_Explain</f>
        <v>0</v>
      </c>
    </row>
    <row r="13" spans="1:32" x14ac:dyDescent="0.25">
      <c r="A13">
        <f t="shared" si="0"/>
        <v>0</v>
      </c>
      <c r="B13">
        <f t="shared" si="1"/>
        <v>0</v>
      </c>
      <c r="C13">
        <f t="shared" si="2"/>
        <v>0</v>
      </c>
      <c r="D13">
        <f t="shared" si="3"/>
        <v>0</v>
      </c>
      <c r="E13">
        <f t="shared" si="4"/>
        <v>0</v>
      </c>
      <c r="F13">
        <f>'D-RepLevel'!$F$2</f>
        <v>0</v>
      </c>
      <c r="G13">
        <f>'D-RepLevel'!$G$2</f>
        <v>0</v>
      </c>
      <c r="H13">
        <f t="shared" si="5"/>
        <v>0</v>
      </c>
      <c r="I13" t="str">
        <f>IF(ISERROR(INDEX('1b'!$C$5:$C$21, MATCH("Primary Business Line", '1b'!$H$5:$H$21, FALSE), 1)), "None Selected", INDEX('1b'!$C$5:$C$21, MATCH("Primary Business Line", '1b'!$H$5:$H$21, FALSE), 1))</f>
        <v>None Selected</v>
      </c>
      <c r="J13">
        <f>'D-3'!$J$2</f>
        <v>0</v>
      </c>
      <c r="K13">
        <f>COUNTIF('4a'!$E$6:$E$29, "Direct")+COUNTIF('4a'!$E$6:$E$29, "Indirect")+COUNTIF('4a'!$E$6:$E$29, "Both")</f>
        <v>0</v>
      </c>
      <c r="L13">
        <f t="shared" si="6"/>
        <v>0</v>
      </c>
      <c r="M13">
        <f t="shared" si="7"/>
        <v>0</v>
      </c>
      <c r="N13">
        <f t="shared" si="8"/>
        <v>0</v>
      </c>
      <c r="O13">
        <f t="shared" si="9"/>
        <v>2015</v>
      </c>
      <c r="P13">
        <f t="shared" si="10"/>
        <v>0</v>
      </c>
      <c r="Q13">
        <f t="shared" si="11"/>
        <v>0</v>
      </c>
      <c r="R13">
        <f t="shared" si="12"/>
        <v>0</v>
      </c>
      <c r="S13">
        <f t="shared" si="13"/>
        <v>0</v>
      </c>
      <c r="T13">
        <f>COUNTIF('9a'!$K$22:$K$32, "Yes")+COUNTIF('9a'!$O$22:$O$32, "Yes")</f>
        <v>0</v>
      </c>
      <c r="U13" t="str">
        <f t="shared" si="14"/>
        <v>No Expenditures</v>
      </c>
      <c r="V13" t="str">
        <f t="shared" si="15"/>
        <v>No Expenditures</v>
      </c>
      <c r="W13">
        <f t="shared" si="16"/>
        <v>0</v>
      </c>
      <c r="X13" t="str">
        <f>'D-Risk'!$AO$25</f>
        <v>Insufficient Data</v>
      </c>
      <c r="Y13" t="str">
        <f>'D-Risk'!$AO$26</f>
        <v>Insufficient Data</v>
      </c>
      <c r="Z13" t="str">
        <f>'D-Risk'!$AO$27</f>
        <v>Uncalculated</v>
      </c>
      <c r="AA13">
        <v>12</v>
      </c>
      <c r="AB13" t="s">
        <v>1029</v>
      </c>
      <c r="AC13" t="s">
        <v>1518</v>
      </c>
      <c r="AD13">
        <f>Q13_A_Healthcare_YN</f>
        <v>0</v>
      </c>
      <c r="AE13">
        <f>Q13_A_Healthcare_Rank</f>
        <v>0</v>
      </c>
      <c r="AF13">
        <f>Q13_A_Healthcare_Explain</f>
        <v>0</v>
      </c>
    </row>
    <row r="14" spans="1:32" x14ac:dyDescent="0.25">
      <c r="A14">
        <f t="shared" si="0"/>
        <v>0</v>
      </c>
      <c r="B14">
        <f t="shared" si="1"/>
        <v>0</v>
      </c>
      <c r="C14">
        <f t="shared" si="2"/>
        <v>0</v>
      </c>
      <c r="D14">
        <f t="shared" si="3"/>
        <v>0</v>
      </c>
      <c r="E14">
        <f t="shared" si="4"/>
        <v>0</v>
      </c>
      <c r="F14">
        <f>'D-RepLevel'!$F$2</f>
        <v>0</v>
      </c>
      <c r="G14">
        <f>'D-RepLevel'!$G$2</f>
        <v>0</v>
      </c>
      <c r="H14">
        <f t="shared" si="5"/>
        <v>0</v>
      </c>
      <c r="I14" t="str">
        <f>IF(ISERROR(INDEX('1b'!$C$5:$C$21, MATCH("Primary Business Line", '1b'!$H$5:$H$21, FALSE), 1)), "None Selected", INDEX('1b'!$C$5:$C$21, MATCH("Primary Business Line", '1b'!$H$5:$H$21, FALSE), 1))</f>
        <v>None Selected</v>
      </c>
      <c r="J14">
        <f>'D-3'!$J$2</f>
        <v>0</v>
      </c>
      <c r="K14">
        <f>COUNTIF('4a'!$E$6:$E$29, "Direct")+COUNTIF('4a'!$E$6:$E$29, "Indirect")+COUNTIF('4a'!$E$6:$E$29, "Both")</f>
        <v>0</v>
      </c>
      <c r="L14">
        <f t="shared" si="6"/>
        <v>0</v>
      </c>
      <c r="M14">
        <f t="shared" si="7"/>
        <v>0</v>
      </c>
      <c r="N14">
        <f t="shared" si="8"/>
        <v>0</v>
      </c>
      <c r="O14">
        <f t="shared" si="9"/>
        <v>2015</v>
      </c>
      <c r="P14">
        <f t="shared" si="10"/>
        <v>0</v>
      </c>
      <c r="Q14">
        <f t="shared" si="11"/>
        <v>0</v>
      </c>
      <c r="R14">
        <f t="shared" si="12"/>
        <v>0</v>
      </c>
      <c r="S14">
        <f t="shared" si="13"/>
        <v>0</v>
      </c>
      <c r="T14">
        <f>COUNTIF('9a'!$K$22:$K$32, "Yes")+COUNTIF('9a'!$O$22:$O$32, "Yes")</f>
        <v>0</v>
      </c>
      <c r="U14" t="str">
        <f t="shared" si="14"/>
        <v>No Expenditures</v>
      </c>
      <c r="V14" t="str">
        <f t="shared" si="15"/>
        <v>No Expenditures</v>
      </c>
      <c r="W14">
        <f t="shared" si="16"/>
        <v>0</v>
      </c>
      <c r="X14" t="str">
        <f>'D-Risk'!$AO$25</f>
        <v>Insufficient Data</v>
      </c>
      <c r="Y14" t="str">
        <f>'D-Risk'!$AO$26</f>
        <v>Insufficient Data</v>
      </c>
      <c r="Z14" t="str">
        <f>'D-Risk'!$AO$27</f>
        <v>Uncalculated</v>
      </c>
      <c r="AA14">
        <v>13</v>
      </c>
      <c r="AB14" t="s">
        <v>1030</v>
      </c>
      <c r="AC14" t="s">
        <v>1518</v>
      </c>
      <c r="AD14">
        <f>Q13_A_IP_YN</f>
        <v>0</v>
      </c>
      <c r="AE14">
        <f>Q13_A_IP_Rank</f>
        <v>0</v>
      </c>
      <c r="AF14">
        <f>Q13_A_IP_Explain</f>
        <v>0</v>
      </c>
    </row>
    <row r="15" spans="1:32" x14ac:dyDescent="0.25">
      <c r="A15">
        <f t="shared" si="0"/>
        <v>0</v>
      </c>
      <c r="B15">
        <f t="shared" si="1"/>
        <v>0</v>
      </c>
      <c r="C15">
        <f t="shared" si="2"/>
        <v>0</v>
      </c>
      <c r="D15">
        <f t="shared" si="3"/>
        <v>0</v>
      </c>
      <c r="E15">
        <f t="shared" si="4"/>
        <v>0</v>
      </c>
      <c r="F15">
        <f>'D-RepLevel'!$F$2</f>
        <v>0</v>
      </c>
      <c r="G15">
        <f>'D-RepLevel'!$G$2</f>
        <v>0</v>
      </c>
      <c r="H15">
        <f t="shared" si="5"/>
        <v>0</v>
      </c>
      <c r="I15" t="str">
        <f>IF(ISERROR(INDEX('1b'!$C$5:$C$21, MATCH("Primary Business Line", '1b'!$H$5:$H$21, FALSE), 1)), "None Selected", INDEX('1b'!$C$5:$C$21, MATCH("Primary Business Line", '1b'!$H$5:$H$21, FALSE), 1))</f>
        <v>None Selected</v>
      </c>
      <c r="J15">
        <f>'D-3'!$J$2</f>
        <v>0</v>
      </c>
      <c r="K15">
        <f>COUNTIF('4a'!$E$6:$E$29, "Direct")+COUNTIF('4a'!$E$6:$E$29, "Indirect")+COUNTIF('4a'!$E$6:$E$29, "Both")</f>
        <v>0</v>
      </c>
      <c r="L15">
        <f t="shared" si="6"/>
        <v>0</v>
      </c>
      <c r="M15">
        <f t="shared" si="7"/>
        <v>0</v>
      </c>
      <c r="N15">
        <f t="shared" si="8"/>
        <v>0</v>
      </c>
      <c r="O15">
        <f t="shared" si="9"/>
        <v>2015</v>
      </c>
      <c r="P15">
        <f t="shared" si="10"/>
        <v>0</v>
      </c>
      <c r="Q15">
        <f t="shared" si="11"/>
        <v>0</v>
      </c>
      <c r="R15">
        <f t="shared" si="12"/>
        <v>0</v>
      </c>
      <c r="S15">
        <f t="shared" si="13"/>
        <v>0</v>
      </c>
      <c r="T15">
        <f>COUNTIF('9a'!$K$22:$K$32, "Yes")+COUNTIF('9a'!$O$22:$O$32, "Yes")</f>
        <v>0</v>
      </c>
      <c r="U15" t="str">
        <f t="shared" si="14"/>
        <v>No Expenditures</v>
      </c>
      <c r="V15" t="str">
        <f t="shared" si="15"/>
        <v>No Expenditures</v>
      </c>
      <c r="W15">
        <f t="shared" si="16"/>
        <v>0</v>
      </c>
      <c r="X15" t="str">
        <f>'D-Risk'!$AO$25</f>
        <v>Insufficient Data</v>
      </c>
      <c r="Y15" t="str">
        <f>'D-Risk'!$AO$26</f>
        <v>Insufficient Data</v>
      </c>
      <c r="Z15" t="str">
        <f>'D-Risk'!$AO$27</f>
        <v>Uncalculated</v>
      </c>
      <c r="AA15">
        <v>14</v>
      </c>
      <c r="AB15" t="s">
        <v>1031</v>
      </c>
      <c r="AC15" t="s">
        <v>1518</v>
      </c>
      <c r="AD15">
        <f>Q13_A_InputAvail_YN</f>
        <v>0</v>
      </c>
      <c r="AE15">
        <f>Q13_A_InputAvail_Rank</f>
        <v>0</v>
      </c>
      <c r="AF15">
        <f>Q13_A_InputAvail_Explain</f>
        <v>0</v>
      </c>
    </row>
    <row r="16" spans="1:32" x14ac:dyDescent="0.25">
      <c r="A16">
        <f t="shared" si="0"/>
        <v>0</v>
      </c>
      <c r="B16">
        <f t="shared" si="1"/>
        <v>0</v>
      </c>
      <c r="C16">
        <f t="shared" si="2"/>
        <v>0</v>
      </c>
      <c r="D16">
        <f t="shared" si="3"/>
        <v>0</v>
      </c>
      <c r="E16">
        <f t="shared" si="4"/>
        <v>0</v>
      </c>
      <c r="F16">
        <f>'D-RepLevel'!$F$2</f>
        <v>0</v>
      </c>
      <c r="G16">
        <f>'D-RepLevel'!$G$2</f>
        <v>0</v>
      </c>
      <c r="H16">
        <f t="shared" si="5"/>
        <v>0</v>
      </c>
      <c r="I16" t="str">
        <f>IF(ISERROR(INDEX('1b'!$C$5:$C$21, MATCH("Primary Business Line", '1b'!$H$5:$H$21, FALSE), 1)), "None Selected", INDEX('1b'!$C$5:$C$21, MATCH("Primary Business Line", '1b'!$H$5:$H$21, FALSE), 1))</f>
        <v>None Selected</v>
      </c>
      <c r="J16">
        <f>'D-3'!$J$2</f>
        <v>0</v>
      </c>
      <c r="K16">
        <f>COUNTIF('4a'!$E$6:$E$29, "Direct")+COUNTIF('4a'!$E$6:$E$29, "Indirect")+COUNTIF('4a'!$E$6:$E$29, "Both")</f>
        <v>0</v>
      </c>
      <c r="L16">
        <f t="shared" si="6"/>
        <v>0</v>
      </c>
      <c r="M16">
        <f t="shared" si="7"/>
        <v>0</v>
      </c>
      <c r="N16">
        <f t="shared" si="8"/>
        <v>0</v>
      </c>
      <c r="O16">
        <f t="shared" si="9"/>
        <v>2015</v>
      </c>
      <c r="P16">
        <f t="shared" si="10"/>
        <v>0</v>
      </c>
      <c r="Q16">
        <f t="shared" si="11"/>
        <v>0</v>
      </c>
      <c r="R16">
        <f t="shared" si="12"/>
        <v>0</v>
      </c>
      <c r="S16">
        <f t="shared" si="13"/>
        <v>0</v>
      </c>
      <c r="T16">
        <f>COUNTIF('9a'!$K$22:$K$32, "Yes")+COUNTIF('9a'!$O$22:$O$32, "Yes")</f>
        <v>0</v>
      </c>
      <c r="U16" t="str">
        <f t="shared" si="14"/>
        <v>No Expenditures</v>
      </c>
      <c r="V16" t="str">
        <f t="shared" si="15"/>
        <v>No Expenditures</v>
      </c>
      <c r="W16">
        <f t="shared" si="16"/>
        <v>0</v>
      </c>
      <c r="X16" t="str">
        <f>'D-Risk'!$AO$25</f>
        <v>Insufficient Data</v>
      </c>
      <c r="Y16" t="str">
        <f>'D-Risk'!$AO$26</f>
        <v>Insufficient Data</v>
      </c>
      <c r="Z16" t="str">
        <f>'D-Risk'!$AO$27</f>
        <v>Uncalculated</v>
      </c>
      <c r="AA16">
        <v>15</v>
      </c>
      <c r="AB16" t="s">
        <v>1032</v>
      </c>
      <c r="AC16" t="s">
        <v>1518</v>
      </c>
      <c r="AD16">
        <f>Q13_A_Labor_YN</f>
        <v>0</v>
      </c>
      <c r="AE16">
        <f>Q13_A_Labor_Rank</f>
        <v>0</v>
      </c>
      <c r="AF16">
        <f>Q13_A_Labor_Explain</f>
        <v>0</v>
      </c>
    </row>
    <row r="17" spans="1:32" x14ac:dyDescent="0.25">
      <c r="A17">
        <f t="shared" si="0"/>
        <v>0</v>
      </c>
      <c r="B17">
        <f t="shared" si="1"/>
        <v>0</v>
      </c>
      <c r="C17">
        <f t="shared" si="2"/>
        <v>0</v>
      </c>
      <c r="D17">
        <f t="shared" si="3"/>
        <v>0</v>
      </c>
      <c r="E17">
        <f t="shared" si="4"/>
        <v>0</v>
      </c>
      <c r="F17">
        <f>'D-RepLevel'!$F$2</f>
        <v>0</v>
      </c>
      <c r="G17">
        <f>'D-RepLevel'!$G$2</f>
        <v>0</v>
      </c>
      <c r="H17">
        <f t="shared" si="5"/>
        <v>0</v>
      </c>
      <c r="I17" t="str">
        <f>IF(ISERROR(INDEX('1b'!$C$5:$C$21, MATCH("Primary Business Line", '1b'!$H$5:$H$21, FALSE), 1)), "None Selected", INDEX('1b'!$C$5:$C$21, MATCH("Primary Business Line", '1b'!$H$5:$H$21, FALSE), 1))</f>
        <v>None Selected</v>
      </c>
      <c r="J17">
        <f>'D-3'!$J$2</f>
        <v>0</v>
      </c>
      <c r="K17">
        <f>COUNTIF('4a'!$E$6:$E$29, "Direct")+COUNTIF('4a'!$E$6:$E$29, "Indirect")+COUNTIF('4a'!$E$6:$E$29, "Both")</f>
        <v>0</v>
      </c>
      <c r="L17">
        <f t="shared" si="6"/>
        <v>0</v>
      </c>
      <c r="M17">
        <f t="shared" si="7"/>
        <v>0</v>
      </c>
      <c r="N17">
        <f t="shared" si="8"/>
        <v>0</v>
      </c>
      <c r="O17">
        <f t="shared" si="9"/>
        <v>2015</v>
      </c>
      <c r="P17">
        <f t="shared" si="10"/>
        <v>0</v>
      </c>
      <c r="Q17">
        <f t="shared" si="11"/>
        <v>0</v>
      </c>
      <c r="R17">
        <f t="shared" si="12"/>
        <v>0</v>
      </c>
      <c r="S17">
        <f t="shared" si="13"/>
        <v>0</v>
      </c>
      <c r="T17">
        <f>COUNTIF('9a'!$K$22:$K$32, "Yes")+COUNTIF('9a'!$O$22:$O$32, "Yes")</f>
        <v>0</v>
      </c>
      <c r="U17" t="str">
        <f t="shared" si="14"/>
        <v>No Expenditures</v>
      </c>
      <c r="V17" t="str">
        <f t="shared" si="15"/>
        <v>No Expenditures</v>
      </c>
      <c r="W17">
        <f t="shared" si="16"/>
        <v>0</v>
      </c>
      <c r="X17" t="str">
        <f>'D-Risk'!$AO$25</f>
        <v>Insufficient Data</v>
      </c>
      <c r="Y17" t="str">
        <f>'D-Risk'!$AO$26</f>
        <v>Insufficient Data</v>
      </c>
      <c r="Z17" t="str">
        <f>'D-Risk'!$AO$27</f>
        <v>Uncalculated</v>
      </c>
      <c r="AA17">
        <v>16</v>
      </c>
      <c r="AB17" t="s">
        <v>1033</v>
      </c>
      <c r="AC17" t="s">
        <v>1518</v>
      </c>
      <c r="AD17">
        <f>Q13_A_Obsol_YN</f>
        <v>0</v>
      </c>
      <c r="AE17">
        <f>Q13_A_Obsol_Rank</f>
        <v>0</v>
      </c>
      <c r="AF17">
        <f>Q13_A_Obsol_Explain</f>
        <v>0</v>
      </c>
    </row>
    <row r="18" spans="1:32" x14ac:dyDescent="0.25">
      <c r="A18">
        <f t="shared" si="0"/>
        <v>0</v>
      </c>
      <c r="B18">
        <f t="shared" si="1"/>
        <v>0</v>
      </c>
      <c r="C18">
        <f t="shared" si="2"/>
        <v>0</v>
      </c>
      <c r="D18">
        <f t="shared" si="3"/>
        <v>0</v>
      </c>
      <c r="E18">
        <f t="shared" si="4"/>
        <v>0</v>
      </c>
      <c r="F18">
        <f>'D-RepLevel'!$F$2</f>
        <v>0</v>
      </c>
      <c r="G18">
        <f>'D-RepLevel'!$G$2</f>
        <v>0</v>
      </c>
      <c r="H18">
        <f t="shared" si="5"/>
        <v>0</v>
      </c>
      <c r="I18" t="str">
        <f>IF(ISERROR(INDEX('1b'!$C$5:$C$21, MATCH("Primary Business Line", '1b'!$H$5:$H$21, FALSE), 1)), "None Selected", INDEX('1b'!$C$5:$C$21, MATCH("Primary Business Line", '1b'!$H$5:$H$21, FALSE), 1))</f>
        <v>None Selected</v>
      </c>
      <c r="J18">
        <f>'D-3'!$J$2</f>
        <v>0</v>
      </c>
      <c r="K18">
        <f>COUNTIF('4a'!$E$6:$E$29, "Direct")+COUNTIF('4a'!$E$6:$E$29, "Indirect")+COUNTIF('4a'!$E$6:$E$29, "Both")</f>
        <v>0</v>
      </c>
      <c r="L18">
        <f t="shared" si="6"/>
        <v>0</v>
      </c>
      <c r="M18">
        <f t="shared" si="7"/>
        <v>0</v>
      </c>
      <c r="N18">
        <f t="shared" si="8"/>
        <v>0</v>
      </c>
      <c r="O18">
        <f t="shared" si="9"/>
        <v>2015</v>
      </c>
      <c r="P18">
        <f t="shared" si="10"/>
        <v>0</v>
      </c>
      <c r="Q18">
        <f t="shared" si="11"/>
        <v>0</v>
      </c>
      <c r="R18">
        <f t="shared" si="12"/>
        <v>0</v>
      </c>
      <c r="S18">
        <f t="shared" si="13"/>
        <v>0</v>
      </c>
      <c r="T18">
        <f>COUNTIF('9a'!$K$22:$K$32, "Yes")+COUNTIF('9a'!$O$22:$O$32, "Yes")</f>
        <v>0</v>
      </c>
      <c r="U18" t="str">
        <f t="shared" si="14"/>
        <v>No Expenditures</v>
      </c>
      <c r="V18" t="str">
        <f t="shared" si="15"/>
        <v>No Expenditures</v>
      </c>
      <c r="W18">
        <f t="shared" si="16"/>
        <v>0</v>
      </c>
      <c r="X18" t="str">
        <f>'D-Risk'!$AO$25</f>
        <v>Insufficient Data</v>
      </c>
      <c r="Y18" t="str">
        <f>'D-Risk'!$AO$26</f>
        <v>Insufficient Data</v>
      </c>
      <c r="Z18" t="str">
        <f>'D-Risk'!$AO$27</f>
        <v>Uncalculated</v>
      </c>
      <c r="AA18">
        <v>17</v>
      </c>
      <c r="AB18" t="s">
        <v>1034</v>
      </c>
      <c r="AC18" t="s">
        <v>1518</v>
      </c>
      <c r="AD18">
        <f>Q13_A_Pensions_YN</f>
        <v>0</v>
      </c>
      <c r="AE18">
        <f>Q13_A_Pensions_Rank</f>
        <v>0</v>
      </c>
      <c r="AF18">
        <f>Q13_A_Pensions_Explain</f>
        <v>0</v>
      </c>
    </row>
    <row r="19" spans="1:32" x14ac:dyDescent="0.25">
      <c r="A19">
        <f t="shared" si="0"/>
        <v>0</v>
      </c>
      <c r="B19">
        <f t="shared" si="1"/>
        <v>0</v>
      </c>
      <c r="C19">
        <f t="shared" si="2"/>
        <v>0</v>
      </c>
      <c r="D19">
        <f t="shared" si="3"/>
        <v>0</v>
      </c>
      <c r="E19">
        <f t="shared" si="4"/>
        <v>0</v>
      </c>
      <c r="F19">
        <f>'D-RepLevel'!$F$2</f>
        <v>0</v>
      </c>
      <c r="G19">
        <f>'D-RepLevel'!$G$2</f>
        <v>0</v>
      </c>
      <c r="H19">
        <f t="shared" si="5"/>
        <v>0</v>
      </c>
      <c r="I19" t="str">
        <f>IF(ISERROR(INDEX('1b'!$C$5:$C$21, MATCH("Primary Business Line", '1b'!$H$5:$H$21, FALSE), 1)), "None Selected", INDEX('1b'!$C$5:$C$21, MATCH("Primary Business Line", '1b'!$H$5:$H$21, FALSE), 1))</f>
        <v>None Selected</v>
      </c>
      <c r="J19">
        <f>'D-3'!$J$2</f>
        <v>0</v>
      </c>
      <c r="K19">
        <f>COUNTIF('4a'!$E$6:$E$29, "Direct")+COUNTIF('4a'!$E$6:$E$29, "Indirect")+COUNTIF('4a'!$E$6:$E$29, "Both")</f>
        <v>0</v>
      </c>
      <c r="L19">
        <f t="shared" si="6"/>
        <v>0</v>
      </c>
      <c r="M19">
        <f t="shared" si="7"/>
        <v>0</v>
      </c>
      <c r="N19">
        <f t="shared" si="8"/>
        <v>0</v>
      </c>
      <c r="O19">
        <f t="shared" si="9"/>
        <v>2015</v>
      </c>
      <c r="P19">
        <f t="shared" si="10"/>
        <v>0</v>
      </c>
      <c r="Q19">
        <f t="shared" si="11"/>
        <v>0</v>
      </c>
      <c r="R19">
        <f t="shared" si="12"/>
        <v>0</v>
      </c>
      <c r="S19">
        <f t="shared" si="13"/>
        <v>0</v>
      </c>
      <c r="T19">
        <f>COUNTIF('9a'!$K$22:$K$32, "Yes")+COUNTIF('9a'!$O$22:$O$32, "Yes")</f>
        <v>0</v>
      </c>
      <c r="U19" t="str">
        <f t="shared" si="14"/>
        <v>No Expenditures</v>
      </c>
      <c r="V19" t="str">
        <f t="shared" si="15"/>
        <v>No Expenditures</v>
      </c>
      <c r="W19">
        <f t="shared" si="16"/>
        <v>0</v>
      </c>
      <c r="X19" t="str">
        <f>'D-Risk'!$AO$25</f>
        <v>Insufficient Data</v>
      </c>
      <c r="Y19" t="str">
        <f>'D-Risk'!$AO$26</f>
        <v>Insufficient Data</v>
      </c>
      <c r="Z19" t="str">
        <f>'D-Risk'!$AO$27</f>
        <v>Uncalculated</v>
      </c>
      <c r="AA19">
        <v>18</v>
      </c>
      <c r="AB19" t="s">
        <v>1035</v>
      </c>
      <c r="AC19" t="s">
        <v>1518</v>
      </c>
      <c r="AD19">
        <f>Q13_A_ProximityCustomers_YN</f>
        <v>0</v>
      </c>
      <c r="AE19">
        <f>Q13_A_ProximityCustomers_Rank</f>
        <v>0</v>
      </c>
      <c r="AF19">
        <f>Q13_A_ProximityCustomers_Explain</f>
        <v>0</v>
      </c>
    </row>
    <row r="20" spans="1:32" x14ac:dyDescent="0.25">
      <c r="A20">
        <f t="shared" si="0"/>
        <v>0</v>
      </c>
      <c r="B20">
        <f t="shared" si="1"/>
        <v>0</v>
      </c>
      <c r="C20">
        <f t="shared" si="2"/>
        <v>0</v>
      </c>
      <c r="D20">
        <f t="shared" si="3"/>
        <v>0</v>
      </c>
      <c r="E20">
        <f t="shared" si="4"/>
        <v>0</v>
      </c>
      <c r="F20">
        <f>'D-RepLevel'!$F$2</f>
        <v>0</v>
      </c>
      <c r="G20">
        <f>'D-RepLevel'!$G$2</f>
        <v>0</v>
      </c>
      <c r="H20">
        <f t="shared" si="5"/>
        <v>0</v>
      </c>
      <c r="I20" t="str">
        <f>IF(ISERROR(INDEX('1b'!$C$5:$C$21, MATCH("Primary Business Line", '1b'!$H$5:$H$21, FALSE), 1)), "None Selected", INDEX('1b'!$C$5:$C$21, MATCH("Primary Business Line", '1b'!$H$5:$H$21, FALSE), 1))</f>
        <v>None Selected</v>
      </c>
      <c r="J20">
        <f>'D-3'!$J$2</f>
        <v>0</v>
      </c>
      <c r="K20">
        <f>COUNTIF('4a'!$E$6:$E$29, "Direct")+COUNTIF('4a'!$E$6:$E$29, "Indirect")+COUNTIF('4a'!$E$6:$E$29, "Both")</f>
        <v>0</v>
      </c>
      <c r="L20">
        <f t="shared" si="6"/>
        <v>0</v>
      </c>
      <c r="M20">
        <f t="shared" si="7"/>
        <v>0</v>
      </c>
      <c r="N20">
        <f t="shared" si="8"/>
        <v>0</v>
      </c>
      <c r="O20">
        <f t="shared" si="9"/>
        <v>2015</v>
      </c>
      <c r="P20">
        <f t="shared" si="10"/>
        <v>0</v>
      </c>
      <c r="Q20">
        <f t="shared" si="11"/>
        <v>0</v>
      </c>
      <c r="R20">
        <f t="shared" si="12"/>
        <v>0</v>
      </c>
      <c r="S20">
        <f t="shared" si="13"/>
        <v>0</v>
      </c>
      <c r="T20">
        <f>COUNTIF('9a'!$K$22:$K$32, "Yes")+COUNTIF('9a'!$O$22:$O$32, "Yes")</f>
        <v>0</v>
      </c>
      <c r="U20" t="str">
        <f t="shared" si="14"/>
        <v>No Expenditures</v>
      </c>
      <c r="V20" t="str">
        <f t="shared" si="15"/>
        <v>No Expenditures</v>
      </c>
      <c r="W20">
        <f t="shared" si="16"/>
        <v>0</v>
      </c>
      <c r="X20" t="str">
        <f>'D-Risk'!$AO$25</f>
        <v>Insufficient Data</v>
      </c>
      <c r="Y20" t="str">
        <f>'D-Risk'!$AO$26</f>
        <v>Insufficient Data</v>
      </c>
      <c r="Z20" t="str">
        <f>'D-Risk'!$AO$27</f>
        <v>Uncalculated</v>
      </c>
      <c r="AA20">
        <v>19</v>
      </c>
      <c r="AB20" t="s">
        <v>1036</v>
      </c>
      <c r="AC20" t="s">
        <v>1518</v>
      </c>
      <c r="AD20">
        <f>Q13_A_Proximity_Suppliers_YN</f>
        <v>0</v>
      </c>
      <c r="AE20">
        <f>Q13_A_Proximity_Suppliers_Rank</f>
        <v>0</v>
      </c>
      <c r="AF20">
        <f>Q13_A_Proximity_Suppliers_Explain</f>
        <v>0</v>
      </c>
    </row>
    <row r="21" spans="1:32" x14ac:dyDescent="0.25">
      <c r="A21">
        <f t="shared" si="0"/>
        <v>0</v>
      </c>
      <c r="B21">
        <f t="shared" si="1"/>
        <v>0</v>
      </c>
      <c r="C21">
        <f t="shared" si="2"/>
        <v>0</v>
      </c>
      <c r="D21">
        <f t="shared" si="3"/>
        <v>0</v>
      </c>
      <c r="E21">
        <f t="shared" si="4"/>
        <v>0</v>
      </c>
      <c r="F21">
        <f>'D-RepLevel'!$F$2</f>
        <v>0</v>
      </c>
      <c r="G21">
        <f>'D-RepLevel'!$G$2</f>
        <v>0</v>
      </c>
      <c r="H21">
        <f t="shared" si="5"/>
        <v>0</v>
      </c>
      <c r="I21" t="str">
        <f>IF(ISERROR(INDEX('1b'!$C$5:$C$21, MATCH("Primary Business Line", '1b'!$H$5:$H$21, FALSE), 1)), "None Selected", INDEX('1b'!$C$5:$C$21, MATCH("Primary Business Line", '1b'!$H$5:$H$21, FALSE), 1))</f>
        <v>None Selected</v>
      </c>
      <c r="J21">
        <f>'D-3'!$J$2</f>
        <v>0</v>
      </c>
      <c r="K21">
        <f>COUNTIF('4a'!$E$6:$E$29, "Direct")+COUNTIF('4a'!$E$6:$E$29, "Indirect")+COUNTIF('4a'!$E$6:$E$29, "Both")</f>
        <v>0</v>
      </c>
      <c r="L21">
        <f t="shared" si="6"/>
        <v>0</v>
      </c>
      <c r="M21">
        <f t="shared" si="7"/>
        <v>0</v>
      </c>
      <c r="N21">
        <f t="shared" si="8"/>
        <v>0</v>
      </c>
      <c r="O21">
        <f t="shared" si="9"/>
        <v>2015</v>
      </c>
      <c r="P21">
        <f t="shared" si="10"/>
        <v>0</v>
      </c>
      <c r="Q21">
        <f t="shared" si="11"/>
        <v>0</v>
      </c>
      <c r="R21">
        <f t="shared" si="12"/>
        <v>0</v>
      </c>
      <c r="S21">
        <f t="shared" si="13"/>
        <v>0</v>
      </c>
      <c r="T21">
        <f>COUNTIF('9a'!$K$22:$K$32, "Yes")+COUNTIF('9a'!$O$22:$O$32, "Yes")</f>
        <v>0</v>
      </c>
      <c r="U21" t="str">
        <f t="shared" si="14"/>
        <v>No Expenditures</v>
      </c>
      <c r="V21" t="str">
        <f t="shared" si="15"/>
        <v>No Expenditures</v>
      </c>
      <c r="W21">
        <f t="shared" si="16"/>
        <v>0</v>
      </c>
      <c r="X21" t="str">
        <f>'D-Risk'!$AO$25</f>
        <v>Insufficient Data</v>
      </c>
      <c r="Y21" t="str">
        <f>'D-Risk'!$AO$26</f>
        <v>Insufficient Data</v>
      </c>
      <c r="Z21" t="str">
        <f>'D-Risk'!$AO$27</f>
        <v>Uncalculated</v>
      </c>
      <c r="AA21">
        <v>20</v>
      </c>
      <c r="AB21" t="s">
        <v>1037</v>
      </c>
      <c r="AC21" t="s">
        <v>1518</v>
      </c>
      <c r="AD21">
        <f>Q13_A_QualsCerts_YN</f>
        <v>0</v>
      </c>
      <c r="AE21">
        <f>Q13_A_QualsCerts_Rank</f>
        <v>0</v>
      </c>
      <c r="AF21">
        <f>Q13_A_QualsCerts_Explain</f>
        <v>0</v>
      </c>
    </row>
    <row r="22" spans="1:32" x14ac:dyDescent="0.25">
      <c r="A22">
        <f t="shared" si="0"/>
        <v>0</v>
      </c>
      <c r="B22">
        <f t="shared" si="1"/>
        <v>0</v>
      </c>
      <c r="C22">
        <f t="shared" si="2"/>
        <v>0</v>
      </c>
      <c r="D22">
        <f t="shared" si="3"/>
        <v>0</v>
      </c>
      <c r="E22">
        <f t="shared" si="4"/>
        <v>0</v>
      </c>
      <c r="F22">
        <f>'D-RepLevel'!$F$2</f>
        <v>0</v>
      </c>
      <c r="G22">
        <f>'D-RepLevel'!$G$2</f>
        <v>0</v>
      </c>
      <c r="H22">
        <f t="shared" si="5"/>
        <v>0</v>
      </c>
      <c r="I22" t="str">
        <f>IF(ISERROR(INDEX('1b'!$C$5:$C$21, MATCH("Primary Business Line", '1b'!$H$5:$H$21, FALSE), 1)), "None Selected", INDEX('1b'!$C$5:$C$21, MATCH("Primary Business Line", '1b'!$H$5:$H$21, FALSE), 1))</f>
        <v>None Selected</v>
      </c>
      <c r="J22">
        <f>'D-3'!$J$2</f>
        <v>0</v>
      </c>
      <c r="K22">
        <f>COUNTIF('4a'!$E$6:$E$29, "Direct")+COUNTIF('4a'!$E$6:$E$29, "Indirect")+COUNTIF('4a'!$E$6:$E$29, "Both")</f>
        <v>0</v>
      </c>
      <c r="L22">
        <f t="shared" si="6"/>
        <v>0</v>
      </c>
      <c r="M22">
        <f t="shared" si="7"/>
        <v>0</v>
      </c>
      <c r="N22">
        <f t="shared" si="8"/>
        <v>0</v>
      </c>
      <c r="O22">
        <f t="shared" si="9"/>
        <v>2015</v>
      </c>
      <c r="P22">
        <f t="shared" si="10"/>
        <v>0</v>
      </c>
      <c r="Q22">
        <f t="shared" si="11"/>
        <v>0</v>
      </c>
      <c r="R22">
        <f t="shared" si="12"/>
        <v>0</v>
      </c>
      <c r="S22">
        <f t="shared" si="13"/>
        <v>0</v>
      </c>
      <c r="T22">
        <f>COUNTIF('9a'!$K$22:$K$32, "Yes")+COUNTIF('9a'!$O$22:$O$32, "Yes")</f>
        <v>0</v>
      </c>
      <c r="U22" t="str">
        <f t="shared" si="14"/>
        <v>No Expenditures</v>
      </c>
      <c r="V22" t="str">
        <f t="shared" si="15"/>
        <v>No Expenditures</v>
      </c>
      <c r="W22">
        <f t="shared" si="16"/>
        <v>0</v>
      </c>
      <c r="X22" t="str">
        <f>'D-Risk'!$AO$25</f>
        <v>Insufficient Data</v>
      </c>
      <c r="Y22" t="str">
        <f>'D-Risk'!$AO$26</f>
        <v>Insufficient Data</v>
      </c>
      <c r="Z22" t="str">
        <f>'D-Risk'!$AO$27</f>
        <v>Uncalculated</v>
      </c>
      <c r="AA22">
        <v>21</v>
      </c>
      <c r="AB22" t="s">
        <v>1038</v>
      </c>
      <c r="AC22" t="s">
        <v>1518</v>
      </c>
      <c r="AD22">
        <f>Q13_A_QualityInput_YN</f>
        <v>0</v>
      </c>
      <c r="AE22">
        <f>Q13_A_QualityInput_Rank</f>
        <v>0</v>
      </c>
      <c r="AF22">
        <f>Q13_A_QualityInput_Explain</f>
        <v>0</v>
      </c>
    </row>
    <row r="23" spans="1:32" x14ac:dyDescent="0.25">
      <c r="A23">
        <f t="shared" si="0"/>
        <v>0</v>
      </c>
      <c r="B23">
        <f t="shared" si="1"/>
        <v>0</v>
      </c>
      <c r="C23">
        <f t="shared" si="2"/>
        <v>0</v>
      </c>
      <c r="D23">
        <f t="shared" si="3"/>
        <v>0</v>
      </c>
      <c r="E23">
        <f t="shared" si="4"/>
        <v>0</v>
      </c>
      <c r="F23">
        <f>'D-RepLevel'!$F$2</f>
        <v>0</v>
      </c>
      <c r="G23">
        <f>'D-RepLevel'!$G$2</f>
        <v>0</v>
      </c>
      <c r="H23">
        <f t="shared" si="5"/>
        <v>0</v>
      </c>
      <c r="I23" t="str">
        <f>IF(ISERROR(INDEX('1b'!$C$5:$C$21, MATCH("Primary Business Line", '1b'!$H$5:$H$21, FALSE), 1)), "None Selected", INDEX('1b'!$C$5:$C$21, MATCH("Primary Business Line", '1b'!$H$5:$H$21, FALSE), 1))</f>
        <v>None Selected</v>
      </c>
      <c r="J23">
        <f>'D-3'!$J$2</f>
        <v>0</v>
      </c>
      <c r="K23">
        <f>COUNTIF('4a'!$E$6:$E$29, "Direct")+COUNTIF('4a'!$E$6:$E$29, "Indirect")+COUNTIF('4a'!$E$6:$E$29, "Both")</f>
        <v>0</v>
      </c>
      <c r="L23">
        <f t="shared" si="6"/>
        <v>0</v>
      </c>
      <c r="M23">
        <f t="shared" si="7"/>
        <v>0</v>
      </c>
      <c r="N23">
        <f t="shared" si="8"/>
        <v>0</v>
      </c>
      <c r="O23">
        <f t="shared" si="9"/>
        <v>2015</v>
      </c>
      <c r="P23">
        <f t="shared" si="10"/>
        <v>0</v>
      </c>
      <c r="Q23">
        <f t="shared" si="11"/>
        <v>0</v>
      </c>
      <c r="R23">
        <f t="shared" si="12"/>
        <v>0</v>
      </c>
      <c r="S23">
        <f t="shared" si="13"/>
        <v>0</v>
      </c>
      <c r="T23">
        <f>COUNTIF('9a'!$K$22:$K$32, "Yes")+COUNTIF('9a'!$O$22:$O$32, "Yes")</f>
        <v>0</v>
      </c>
      <c r="U23" t="str">
        <f t="shared" si="14"/>
        <v>No Expenditures</v>
      </c>
      <c r="V23" t="str">
        <f t="shared" si="15"/>
        <v>No Expenditures</v>
      </c>
      <c r="W23">
        <f t="shared" si="16"/>
        <v>0</v>
      </c>
      <c r="X23" t="str">
        <f>'D-Risk'!$AO$25</f>
        <v>Insufficient Data</v>
      </c>
      <c r="Y23" t="str">
        <f>'D-Risk'!$AO$26</f>
        <v>Insufficient Data</v>
      </c>
      <c r="Z23" t="str">
        <f>'D-Risk'!$AO$27</f>
        <v>Uncalculated</v>
      </c>
      <c r="AA23">
        <v>22</v>
      </c>
      <c r="AB23" t="s">
        <v>1039</v>
      </c>
      <c r="AC23" t="s">
        <v>1518</v>
      </c>
      <c r="AD23">
        <f>Q13_A_RDCosts_YN</f>
        <v>0</v>
      </c>
      <c r="AE23">
        <f>Q13_A_RDCosts_Rank</f>
        <v>0</v>
      </c>
      <c r="AF23">
        <f>Q13_A_RDCosts_Explain</f>
        <v>0</v>
      </c>
    </row>
    <row r="24" spans="1:32" x14ac:dyDescent="0.25">
      <c r="A24">
        <f t="shared" si="0"/>
        <v>0</v>
      </c>
      <c r="B24">
        <f t="shared" si="1"/>
        <v>0</v>
      </c>
      <c r="C24">
        <f t="shared" si="2"/>
        <v>0</v>
      </c>
      <c r="D24">
        <f t="shared" si="3"/>
        <v>0</v>
      </c>
      <c r="E24">
        <f t="shared" si="4"/>
        <v>0</v>
      </c>
      <c r="F24">
        <f>'D-RepLevel'!$F$2</f>
        <v>0</v>
      </c>
      <c r="G24">
        <f>'D-RepLevel'!$G$2</f>
        <v>0</v>
      </c>
      <c r="H24">
        <f t="shared" si="5"/>
        <v>0</v>
      </c>
      <c r="I24" t="str">
        <f>IF(ISERROR(INDEX('1b'!$C$5:$C$21, MATCH("Primary Business Line", '1b'!$H$5:$H$21, FALSE), 1)), "None Selected", INDEX('1b'!$C$5:$C$21, MATCH("Primary Business Line", '1b'!$H$5:$H$21, FALSE), 1))</f>
        <v>None Selected</v>
      </c>
      <c r="J24">
        <f>'D-3'!$J$2</f>
        <v>0</v>
      </c>
      <c r="K24">
        <f>COUNTIF('4a'!$E$6:$E$29, "Direct")+COUNTIF('4a'!$E$6:$E$29, "Indirect")+COUNTIF('4a'!$E$6:$E$29, "Both")</f>
        <v>0</v>
      </c>
      <c r="L24">
        <f t="shared" si="6"/>
        <v>0</v>
      </c>
      <c r="M24">
        <f t="shared" si="7"/>
        <v>0</v>
      </c>
      <c r="N24">
        <f t="shared" si="8"/>
        <v>0</v>
      </c>
      <c r="O24">
        <f t="shared" si="9"/>
        <v>2015</v>
      </c>
      <c r="P24">
        <f t="shared" si="10"/>
        <v>0</v>
      </c>
      <c r="Q24">
        <f t="shared" si="11"/>
        <v>0</v>
      </c>
      <c r="R24">
        <f t="shared" si="12"/>
        <v>0</v>
      </c>
      <c r="S24">
        <f t="shared" si="13"/>
        <v>0</v>
      </c>
      <c r="T24">
        <f>COUNTIF('9a'!$K$22:$K$32, "Yes")+COUNTIF('9a'!$O$22:$O$32, "Yes")</f>
        <v>0</v>
      </c>
      <c r="U24" t="str">
        <f t="shared" si="14"/>
        <v>No Expenditures</v>
      </c>
      <c r="V24" t="str">
        <f t="shared" si="15"/>
        <v>No Expenditures</v>
      </c>
      <c r="W24">
        <f t="shared" si="16"/>
        <v>0</v>
      </c>
      <c r="X24" t="str">
        <f>'D-Risk'!$AO$25</f>
        <v>Insufficient Data</v>
      </c>
      <c r="Y24" t="str">
        <f>'D-Risk'!$AO$26</f>
        <v>Insufficient Data</v>
      </c>
      <c r="Z24" t="str">
        <f>'D-Risk'!$AO$27</f>
        <v>Uncalculated</v>
      </c>
      <c r="AA24">
        <v>23</v>
      </c>
      <c r="AB24" t="s">
        <v>1040</v>
      </c>
      <c r="AC24" t="s">
        <v>1518</v>
      </c>
      <c r="AD24">
        <f>Q13_A_ReductionUSGDemand_YN</f>
        <v>0</v>
      </c>
      <c r="AE24">
        <f>Q13_A_ReductionUSGDemand_Rank</f>
        <v>0</v>
      </c>
      <c r="AF24">
        <f>Q13_A_ReductionUSGDemand_Explain</f>
        <v>0</v>
      </c>
    </row>
    <row r="25" spans="1:32" x14ac:dyDescent="0.25">
      <c r="A25">
        <f t="shared" si="0"/>
        <v>0</v>
      </c>
      <c r="B25">
        <f t="shared" si="1"/>
        <v>0</v>
      </c>
      <c r="C25">
        <f t="shared" si="2"/>
        <v>0</v>
      </c>
      <c r="D25">
        <f t="shared" si="3"/>
        <v>0</v>
      </c>
      <c r="E25">
        <f t="shared" si="4"/>
        <v>0</v>
      </c>
      <c r="F25">
        <f>'D-RepLevel'!$F$2</f>
        <v>0</v>
      </c>
      <c r="G25">
        <f>'D-RepLevel'!$G$2</f>
        <v>0</v>
      </c>
      <c r="H25">
        <f t="shared" si="5"/>
        <v>0</v>
      </c>
      <c r="I25" t="str">
        <f>IF(ISERROR(INDEX('1b'!$C$5:$C$21, MATCH("Primary Business Line", '1b'!$H$5:$H$21, FALSE), 1)), "None Selected", INDEX('1b'!$C$5:$C$21, MATCH("Primary Business Line", '1b'!$H$5:$H$21, FALSE), 1))</f>
        <v>None Selected</v>
      </c>
      <c r="J25">
        <f>'D-3'!$J$2</f>
        <v>0</v>
      </c>
      <c r="K25">
        <f>COUNTIF('4a'!$E$6:$E$29, "Direct")+COUNTIF('4a'!$E$6:$E$29, "Indirect")+COUNTIF('4a'!$E$6:$E$29, "Both")</f>
        <v>0</v>
      </c>
      <c r="L25">
        <f t="shared" si="6"/>
        <v>0</v>
      </c>
      <c r="M25">
        <f t="shared" si="7"/>
        <v>0</v>
      </c>
      <c r="N25">
        <f t="shared" si="8"/>
        <v>0</v>
      </c>
      <c r="O25">
        <f t="shared" si="9"/>
        <v>2015</v>
      </c>
      <c r="P25">
        <f t="shared" si="10"/>
        <v>0</v>
      </c>
      <c r="Q25">
        <f t="shared" si="11"/>
        <v>0</v>
      </c>
      <c r="R25">
        <f t="shared" si="12"/>
        <v>0</v>
      </c>
      <c r="S25">
        <f t="shared" si="13"/>
        <v>0</v>
      </c>
      <c r="T25">
        <f>COUNTIF('9a'!$K$22:$K$32, "Yes")+COUNTIF('9a'!$O$22:$O$32, "Yes")</f>
        <v>0</v>
      </c>
      <c r="U25" t="str">
        <f t="shared" si="14"/>
        <v>No Expenditures</v>
      </c>
      <c r="V25" t="str">
        <f t="shared" si="15"/>
        <v>No Expenditures</v>
      </c>
      <c r="W25">
        <f t="shared" si="16"/>
        <v>0</v>
      </c>
      <c r="X25" t="str">
        <f>'D-Risk'!$AO$25</f>
        <v>Insufficient Data</v>
      </c>
      <c r="Y25" t="str">
        <f>'D-Risk'!$AO$26</f>
        <v>Insufficient Data</v>
      </c>
      <c r="Z25" t="str">
        <f>'D-Risk'!$AO$27</f>
        <v>Uncalculated</v>
      </c>
      <c r="AA25">
        <v>24</v>
      </c>
      <c r="AB25" t="s">
        <v>1041</v>
      </c>
      <c r="AC25" t="s">
        <v>1518</v>
      </c>
      <c r="AD25">
        <f>Q13_A_Taxes_YN</f>
        <v>0</v>
      </c>
      <c r="AE25">
        <f>Q13_A_Taxes_Rank</f>
        <v>0</v>
      </c>
      <c r="AF25">
        <f>Q13_A_Taxes_Explain</f>
        <v>0</v>
      </c>
    </row>
    <row r="26" spans="1:32" x14ac:dyDescent="0.25">
      <c r="A26">
        <f t="shared" si="0"/>
        <v>0</v>
      </c>
      <c r="B26">
        <f t="shared" si="1"/>
        <v>0</v>
      </c>
      <c r="C26">
        <f t="shared" si="2"/>
        <v>0</v>
      </c>
      <c r="D26">
        <f t="shared" si="3"/>
        <v>0</v>
      </c>
      <c r="E26">
        <f t="shared" si="4"/>
        <v>0</v>
      </c>
      <c r="F26">
        <f>'D-RepLevel'!$F$2</f>
        <v>0</v>
      </c>
      <c r="G26">
        <f>'D-RepLevel'!$G$2</f>
        <v>0</v>
      </c>
      <c r="H26">
        <f t="shared" si="5"/>
        <v>0</v>
      </c>
      <c r="I26" t="str">
        <f>IF(ISERROR(INDEX('1b'!$C$5:$C$21, MATCH("Primary Business Line", '1b'!$H$5:$H$21, FALSE), 1)), "None Selected", INDEX('1b'!$C$5:$C$21, MATCH("Primary Business Line", '1b'!$H$5:$H$21, FALSE), 1))</f>
        <v>None Selected</v>
      </c>
      <c r="J26">
        <f>'D-3'!$J$2</f>
        <v>0</v>
      </c>
      <c r="K26">
        <f>COUNTIF('4a'!$E$6:$E$29, "Direct")+COUNTIF('4a'!$E$6:$E$29, "Indirect")+COUNTIF('4a'!$E$6:$E$29, "Both")</f>
        <v>0</v>
      </c>
      <c r="L26">
        <f t="shared" si="6"/>
        <v>0</v>
      </c>
      <c r="M26">
        <f t="shared" si="7"/>
        <v>0</v>
      </c>
      <c r="N26">
        <f t="shared" si="8"/>
        <v>0</v>
      </c>
      <c r="O26">
        <f t="shared" si="9"/>
        <v>2015</v>
      </c>
      <c r="P26">
        <f t="shared" si="10"/>
        <v>0</v>
      </c>
      <c r="Q26">
        <f t="shared" si="11"/>
        <v>0</v>
      </c>
      <c r="R26">
        <f t="shared" si="12"/>
        <v>0</v>
      </c>
      <c r="S26">
        <f t="shared" si="13"/>
        <v>0</v>
      </c>
      <c r="T26">
        <f>COUNTIF('9a'!$K$22:$K$32, "Yes")+COUNTIF('9a'!$O$22:$O$32, "Yes")</f>
        <v>0</v>
      </c>
      <c r="U26" t="str">
        <f t="shared" si="14"/>
        <v>No Expenditures</v>
      </c>
      <c r="V26" t="str">
        <f t="shared" si="15"/>
        <v>No Expenditures</v>
      </c>
      <c r="W26">
        <f t="shared" si="16"/>
        <v>0</v>
      </c>
      <c r="X26" t="str">
        <f>'D-Risk'!$AO$25</f>
        <v>Insufficient Data</v>
      </c>
      <c r="Y26" t="str">
        <f>'D-Risk'!$AO$26</f>
        <v>Insufficient Data</v>
      </c>
      <c r="Z26" t="str">
        <f>'D-Risk'!$AO$27</f>
        <v>Uncalculated</v>
      </c>
      <c r="AA26">
        <v>25</v>
      </c>
      <c r="AB26" t="s">
        <v>1042</v>
      </c>
      <c r="AC26" t="s">
        <v>1518</v>
      </c>
      <c r="AD26">
        <f>Q13_A_WorkerRetention_YN</f>
        <v>0</v>
      </c>
      <c r="AE26">
        <f>Q13_A_WorkerRetention_Rank</f>
        <v>0</v>
      </c>
      <c r="AF26">
        <f>Q13_A_WorkerRetention_Explain</f>
        <v>0</v>
      </c>
    </row>
    <row r="27" spans="1:32" x14ac:dyDescent="0.25">
      <c r="A27">
        <f t="shared" si="0"/>
        <v>0</v>
      </c>
      <c r="B27">
        <f t="shared" si="1"/>
        <v>0</v>
      </c>
      <c r="C27">
        <f t="shared" si="2"/>
        <v>0</v>
      </c>
      <c r="D27">
        <f t="shared" si="3"/>
        <v>0</v>
      </c>
      <c r="E27">
        <f t="shared" si="4"/>
        <v>0</v>
      </c>
      <c r="F27">
        <f>'D-RepLevel'!$F$2</f>
        <v>0</v>
      </c>
      <c r="G27">
        <f>'D-RepLevel'!$G$2</f>
        <v>0</v>
      </c>
      <c r="H27">
        <f t="shared" si="5"/>
        <v>0</v>
      </c>
      <c r="I27" t="str">
        <f>IF(ISERROR(INDEX('1b'!$C$5:$C$21, MATCH("Primary Business Line", '1b'!$H$5:$H$21, FALSE), 1)), "None Selected", INDEX('1b'!$C$5:$C$21, MATCH("Primary Business Line", '1b'!$H$5:$H$21, FALSE), 1))</f>
        <v>None Selected</v>
      </c>
      <c r="J27">
        <f>'D-3'!$J$2</f>
        <v>0</v>
      </c>
      <c r="K27">
        <f>COUNTIF('4a'!$E$6:$E$29, "Direct")+COUNTIF('4a'!$E$6:$E$29, "Indirect")+COUNTIF('4a'!$E$6:$E$29, "Both")</f>
        <v>0</v>
      </c>
      <c r="L27">
        <f t="shared" si="6"/>
        <v>0</v>
      </c>
      <c r="M27">
        <f t="shared" si="7"/>
        <v>0</v>
      </c>
      <c r="N27">
        <f t="shared" si="8"/>
        <v>0</v>
      </c>
      <c r="O27">
        <f t="shared" si="9"/>
        <v>2015</v>
      </c>
      <c r="P27">
        <f t="shared" si="10"/>
        <v>0</v>
      </c>
      <c r="Q27">
        <f t="shared" si="11"/>
        <v>0</v>
      </c>
      <c r="R27">
        <f t="shared" si="12"/>
        <v>0</v>
      </c>
      <c r="S27">
        <f t="shared" si="13"/>
        <v>0</v>
      </c>
      <c r="T27">
        <f>COUNTIF('9a'!$K$22:$K$32, "Yes")+COUNTIF('9a'!$O$22:$O$32, "Yes")</f>
        <v>0</v>
      </c>
      <c r="U27" t="str">
        <f t="shared" si="14"/>
        <v>No Expenditures</v>
      </c>
      <c r="V27" t="str">
        <f t="shared" si="15"/>
        <v>No Expenditures</v>
      </c>
      <c r="W27">
        <f t="shared" si="16"/>
        <v>0</v>
      </c>
      <c r="X27" t="str">
        <f>'D-Risk'!$AO$25</f>
        <v>Insufficient Data</v>
      </c>
      <c r="Y27" t="str">
        <f>'D-Risk'!$AO$26</f>
        <v>Insufficient Data</v>
      </c>
      <c r="Z27" t="str">
        <f>'D-Risk'!$AO$27</f>
        <v>Uncalculated</v>
      </c>
      <c r="AA27">
        <v>26</v>
      </c>
      <c r="AB27" t="s">
        <v>138</v>
      </c>
      <c r="AC27" t="str">
        <f>Q13_A_Other_Specify</f>
        <v>(specify here)</v>
      </c>
      <c r="AD27">
        <f>Q13_A_Other_YN</f>
        <v>0</v>
      </c>
      <c r="AE27">
        <f>Q13_A_Other_Rank</f>
        <v>0</v>
      </c>
      <c r="AF27">
        <f>Q13_A_Other_Explain</f>
        <v>0</v>
      </c>
    </row>
  </sheetData>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49"/>
  <sheetViews>
    <sheetView zoomScale="70" zoomScaleNormal="70" workbookViewId="0">
      <selection activeCell="C7" sqref="C7:D7"/>
    </sheetView>
  </sheetViews>
  <sheetFormatPr defaultRowHeight="15" x14ac:dyDescent="0.25"/>
  <sheetData>
    <row r="1" spans="1:75" x14ac:dyDescent="0.25">
      <c r="A1" s="213" t="s">
        <v>1928</v>
      </c>
      <c r="B1" s="213" t="s">
        <v>1929</v>
      </c>
      <c r="C1" s="213" t="s">
        <v>98</v>
      </c>
      <c r="D1" s="213" t="s">
        <v>1930</v>
      </c>
      <c r="E1" s="213" t="s">
        <v>1931</v>
      </c>
      <c r="F1" s="213" t="s">
        <v>1932</v>
      </c>
      <c r="G1" s="213" t="s">
        <v>1933</v>
      </c>
      <c r="H1" s="213" t="s">
        <v>1934</v>
      </c>
      <c r="I1" s="213" t="s">
        <v>1935</v>
      </c>
      <c r="J1" s="213" t="s">
        <v>1936</v>
      </c>
      <c r="K1" s="213" t="s">
        <v>1937</v>
      </c>
      <c r="L1" s="213" t="s">
        <v>1938</v>
      </c>
      <c r="M1" s="213" t="s">
        <v>1939</v>
      </c>
      <c r="N1" s="213" t="s">
        <v>1940</v>
      </c>
      <c r="O1" s="213" t="s">
        <v>1941</v>
      </c>
      <c r="P1" s="213" t="s">
        <v>1942</v>
      </c>
      <c r="Q1" s="213" t="s">
        <v>1943</v>
      </c>
      <c r="R1" s="213" t="s">
        <v>1944</v>
      </c>
      <c r="S1" s="213" t="s">
        <v>1945</v>
      </c>
      <c r="T1" s="213" t="s">
        <v>1946</v>
      </c>
      <c r="U1" s="213" t="s">
        <v>1947</v>
      </c>
      <c r="V1" s="213" t="s">
        <v>1948</v>
      </c>
      <c r="W1" s="213" t="s">
        <v>1949</v>
      </c>
      <c r="X1" s="213" t="s">
        <v>1950</v>
      </c>
      <c r="Y1" s="213" t="s">
        <v>1951</v>
      </c>
      <c r="Z1" s="213" t="s">
        <v>1952</v>
      </c>
      <c r="AA1" t="s">
        <v>2558</v>
      </c>
      <c r="AB1" t="s">
        <v>2559</v>
      </c>
      <c r="AC1" t="s">
        <v>2560</v>
      </c>
      <c r="AD1" t="s">
        <v>2561</v>
      </c>
      <c r="AE1" t="s">
        <v>2562</v>
      </c>
      <c r="AF1" t="s">
        <v>2563</v>
      </c>
      <c r="AG1" t="s">
        <v>2564</v>
      </c>
      <c r="AH1" t="s">
        <v>2565</v>
      </c>
      <c r="AI1" t="s">
        <v>2566</v>
      </c>
      <c r="AJ1" t="s">
        <v>2567</v>
      </c>
      <c r="AK1" t="s">
        <v>2568</v>
      </c>
      <c r="AL1" t="s">
        <v>2569</v>
      </c>
      <c r="AM1" t="s">
        <v>2570</v>
      </c>
      <c r="AN1" t="s">
        <v>2571</v>
      </c>
      <c r="AO1" t="s">
        <v>2572</v>
      </c>
      <c r="AP1" t="s">
        <v>2573</v>
      </c>
      <c r="AQ1" t="s">
        <v>2574</v>
      </c>
      <c r="AR1" t="s">
        <v>2575</v>
      </c>
      <c r="AS1" t="s">
        <v>2576</v>
      </c>
      <c r="AT1" t="s">
        <v>2577</v>
      </c>
      <c r="AU1" t="s">
        <v>2578</v>
      </c>
      <c r="AV1" t="s">
        <v>2579</v>
      </c>
      <c r="AW1" t="s">
        <v>2580</v>
      </c>
      <c r="AX1" t="s">
        <v>2581</v>
      </c>
      <c r="AY1" t="s">
        <v>2582</v>
      </c>
      <c r="AZ1" t="s">
        <v>2583</v>
      </c>
      <c r="BA1" t="s">
        <v>2584</v>
      </c>
      <c r="BB1" t="s">
        <v>2585</v>
      </c>
      <c r="BC1" t="s">
        <v>2586</v>
      </c>
      <c r="BD1" t="s">
        <v>2587</v>
      </c>
      <c r="BE1" t="s">
        <v>2588</v>
      </c>
      <c r="BF1" t="s">
        <v>2589</v>
      </c>
      <c r="BG1" t="s">
        <v>2248</v>
      </c>
      <c r="BH1" t="s">
        <v>2590</v>
      </c>
      <c r="BI1" t="s">
        <v>2591</v>
      </c>
      <c r="BJ1" t="s">
        <v>2303</v>
      </c>
      <c r="BK1" t="s">
        <v>2592</v>
      </c>
      <c r="BL1" t="s">
        <v>2593</v>
      </c>
      <c r="BM1" t="s">
        <v>2441</v>
      </c>
      <c r="BN1" t="s">
        <v>2442</v>
      </c>
      <c r="BO1" t="s">
        <v>2448</v>
      </c>
      <c r="BP1" t="s">
        <v>2594</v>
      </c>
      <c r="BQ1" t="s">
        <v>2595</v>
      </c>
      <c r="BR1" t="s">
        <v>2596</v>
      </c>
      <c r="BS1" t="s">
        <v>2597</v>
      </c>
      <c r="BT1" t="s">
        <v>2598</v>
      </c>
    </row>
    <row r="2" spans="1:75" x14ac:dyDescent="0.25">
      <c r="A2">
        <f>Q_RP_B_DSSCAGE_01</f>
        <v>0</v>
      </c>
      <c r="B2">
        <f>Q1a_A_LocationName</f>
        <v>0</v>
      </c>
      <c r="C2">
        <f>Q1a_A_LocOrgName</f>
        <v>0</v>
      </c>
      <c r="D2">
        <f>Q1a_B_Parent1_Name</f>
        <v>0</v>
      </c>
      <c r="E2">
        <f>Q_RP_A_MultiResponse</f>
        <v>0</v>
      </c>
      <c r="F2">
        <f>'D-RepLevel'!$F$2</f>
        <v>0</v>
      </c>
      <c r="G2">
        <f>'D-RepLevel'!$G$2</f>
        <v>0</v>
      </c>
      <c r="H2">
        <f>Q1a_A_OnlyLoc_YN</f>
        <v>0</v>
      </c>
      <c r="I2" t="str">
        <f>IF(ISERROR(INDEX('1b'!$C$5:$C$21, MATCH("Primary Business Line", '1b'!$H$5:$H$21, FALSE), 1)), "None Selected", INDEX('1b'!$C$5:$C$21, MATCH("Primary Business Line", '1b'!$H$5:$H$21, FALSE), 1))</f>
        <v>None Selected</v>
      </c>
      <c r="J2">
        <f>'D-3'!$J$2</f>
        <v>0</v>
      </c>
      <c r="K2">
        <f>COUNTIF('4a'!$E$6:$E$29, "Direct")+COUNTIF('4a'!$E$6:$E$29, "Indirect")+COUNTIF('4a'!$E$6:$E$29, "Both")</f>
        <v>0</v>
      </c>
      <c r="L2">
        <f>Q4b_A_NumUSGPrograms</f>
        <v>0</v>
      </c>
      <c r="M2">
        <f>Q6_A_Employees_Year3</f>
        <v>0</v>
      </c>
      <c r="N2">
        <f>Q6_B_Employee_H1B_Total+Q6_B_Employee_H2B_Total+Q6_B_Employee_F1_Total+Q6_B_Employee_GreenCard_Total+Q6_B_Employee_Other_Total</f>
        <v>0</v>
      </c>
      <c r="O2">
        <f>Year3</f>
        <v>2015</v>
      </c>
      <c r="P2">
        <f>Q7_A_TotalSales_US_Year3+Q7_A_TotalSales_NonUS_Year3</f>
        <v>0</v>
      </c>
      <c r="Q2">
        <f>Q7_B_DefSales_US_Year3_Pct*Q7_A_TotalSales_US_Year3+Q7_B_DefSales_NonUS_Year3_Pct*Q7_A_TotalSales_NonUS_Year3</f>
        <v>0</v>
      </c>
      <c r="R2">
        <f>Q9a_B_Physical_Year3</f>
        <v>0</v>
      </c>
      <c r="S2">
        <f>Q9a_B_Cyber_Year3</f>
        <v>0</v>
      </c>
      <c r="T2">
        <f>COUNTIF('9a'!$K$22:$K$32, "Yes")+COUNTIF('9a'!$O$22:$O$32, "Yes")</f>
        <v>0</v>
      </c>
      <c r="U2" t="str">
        <f>IF(Q12_OpEx_Year3=0, "No Expenditures", Q9b_A_PhysicalSpending_Year3/(Q12_OpEx_Year3))</f>
        <v>No Expenditures</v>
      </c>
      <c r="V2" t="str">
        <f>IF(Q12_OpEx_Year3=0, "No Expenditures", Q9b_A_CyberSpending_Year3/(Q12_OpEx_Year3))</f>
        <v>No Expenditures</v>
      </c>
      <c r="W2">
        <f>Q9b_C_Pct_CSI_External</f>
        <v>0</v>
      </c>
      <c r="X2" t="str">
        <f>'D-Risk'!$AO$25</f>
        <v>Insufficient Data</v>
      </c>
      <c r="Y2" t="str">
        <f>'D-Risk'!$AO$26</f>
        <v>Insufficient Data</v>
      </c>
      <c r="Z2" t="str">
        <f>'D-Risk'!$AO$27</f>
        <v>Uncalculated</v>
      </c>
      <c r="AA2">
        <f>Q13_B_LeanMfg</f>
        <v>0</v>
      </c>
      <c r="AB2">
        <f>Q13_B_Cyber</f>
        <v>0</v>
      </c>
      <c r="AC2">
        <f>Q13_B_DesignforAssembly</f>
        <v>0</v>
      </c>
      <c r="AD2">
        <f>Q13_B_DesignMfg</f>
        <v>0</v>
      </c>
      <c r="AE2">
        <f>Q13_B_Energy</f>
        <v>0</v>
      </c>
      <c r="AF2">
        <f>Q13_B_ExportAssist</f>
        <v>0</v>
      </c>
      <c r="AG2">
        <f>Q13_B_ExportLicense</f>
        <v>0</v>
      </c>
      <c r="AH2">
        <f>Q13_B_GovtProcurement</f>
        <v>0</v>
      </c>
      <c r="AI2">
        <f>Q13_B_MarketExpansion</f>
        <v>0</v>
      </c>
      <c r="AJ2">
        <f>Q13_B_ProdDesign</f>
        <v>0</v>
      </c>
      <c r="AK2">
        <f>Q13_B_Prototyping</f>
        <v>0</v>
      </c>
      <c r="AL2">
        <f>Q13_B_QualityControl</f>
        <v>0</v>
      </c>
      <c r="AM2">
        <f>Q13_B_SBIR</f>
        <v>0</v>
      </c>
      <c r="AN2">
        <f>Q13_B_SupplyChain</f>
        <v>0</v>
      </c>
      <c r="AO2">
        <f>Q13_B_TechAccel</f>
        <v>0</v>
      </c>
      <c r="AP2">
        <f>Q13_B_MatSourcing</f>
        <v>0</v>
      </c>
      <c r="AQ2">
        <f>Q14_LocName</f>
        <v>0</v>
      </c>
      <c r="AR2">
        <f>Q14_OrgName</f>
        <v>0</v>
      </c>
      <c r="AS2">
        <f>Q14_OrgWeb</f>
        <v>0</v>
      </c>
      <c r="AT2">
        <f>Q14_Official_Name</f>
        <v>0</v>
      </c>
      <c r="AU2">
        <f>Q14_Official_Title</f>
        <v>0</v>
      </c>
      <c r="AV2">
        <f>Q14_Official_Email</f>
        <v>0</v>
      </c>
      <c r="AW2">
        <f>Q14_Official_Phone</f>
        <v>0</v>
      </c>
      <c r="AX2">
        <f>Q14_DateCert</f>
        <v>0</v>
      </c>
      <c r="AY2">
        <f>Q14_Hours</f>
        <v>0</v>
      </c>
      <c r="AZ2">
        <f>Q2_Comments</f>
        <v>0</v>
      </c>
      <c r="BA2">
        <f>Q3b_Comments</f>
        <v>0</v>
      </c>
      <c r="BB2">
        <f>Q3c_Comments</f>
        <v>0</v>
      </c>
      <c r="BC2">
        <f>Q3d_Comments</f>
        <v>0</v>
      </c>
      <c r="BD2">
        <f>Q3e_Comments</f>
        <v>0</v>
      </c>
      <c r="BE2">
        <f>Q3f_Comments</f>
        <v>0</v>
      </c>
      <c r="BF2">
        <f>Q3g_Comments</f>
        <v>0</v>
      </c>
      <c r="BG2">
        <f>Q4a_Comments</f>
        <v>0</v>
      </c>
      <c r="BH2">
        <f>Q4b_Comments</f>
        <v>0</v>
      </c>
      <c r="BI2">
        <f>Q5_Comments</f>
        <v>0</v>
      </c>
      <c r="BJ2">
        <f>Q6_Comments</f>
        <v>0</v>
      </c>
      <c r="BK2">
        <f>Q7_Comments</f>
        <v>0</v>
      </c>
      <c r="BL2">
        <f>Q8_Comments</f>
        <v>0</v>
      </c>
      <c r="BM2">
        <f>Q9a_Comments</f>
        <v>0</v>
      </c>
      <c r="BN2">
        <f>Q9b_Comments</f>
        <v>0</v>
      </c>
      <c r="BO2">
        <f>Q10_Comments</f>
        <v>0</v>
      </c>
      <c r="BP2">
        <f>Q11_Comments</f>
        <v>0</v>
      </c>
      <c r="BQ2">
        <f>Q12_Comments</f>
        <v>0</v>
      </c>
      <c r="BR2">
        <f>Q13_Comments</f>
        <v>0</v>
      </c>
      <c r="BS2">
        <f>Q14_Comments</f>
        <v>0</v>
      </c>
      <c r="BT2" s="300">
        <f>SUM($BW$4:$BW$49)/46</f>
        <v>0</v>
      </c>
    </row>
    <row r="4" spans="1:75" x14ac:dyDescent="0.25">
      <c r="BW4">
        <f>IF(ISBLANK(Q_RP_B_DSSCAGE_01), 0, 1)</f>
        <v>0</v>
      </c>
    </row>
    <row r="5" spans="1:75" x14ac:dyDescent="0.25">
      <c r="BW5">
        <f>IF(ISBLANK(Q1a_A_LocationName), 0, 1)</f>
        <v>0</v>
      </c>
    </row>
    <row r="6" spans="1:75" x14ac:dyDescent="0.25">
      <c r="BW6">
        <f>IF(ISBLANK(Q1a_C_PubPriv), 0, 1)</f>
        <v>0</v>
      </c>
    </row>
    <row r="7" spans="1:75" x14ac:dyDescent="0.25">
      <c r="BW7">
        <f>IF(ISBLANK(Q1a_D_SharedSpace), 0, 1)</f>
        <v>0</v>
      </c>
    </row>
    <row r="8" spans="1:75" x14ac:dyDescent="0.25">
      <c r="BW8">
        <f>IF(ISBLANK(Q1a_E_POC_Name), 0, 1)</f>
        <v>0</v>
      </c>
    </row>
    <row r="9" spans="1:75" x14ac:dyDescent="0.25">
      <c r="BW9">
        <f>IF(ISBLANK(Q1b_B_DUNS01), 0, 1)</f>
        <v>0</v>
      </c>
    </row>
    <row r="10" spans="1:75" x14ac:dyDescent="0.25">
      <c r="BW10">
        <f>IF(ISBLANK(Q1b_B_NAICS01), 0, 1)</f>
        <v>0</v>
      </c>
    </row>
    <row r="11" spans="1:75" x14ac:dyDescent="0.25">
      <c r="BW11">
        <f>IF(ISBLANK(Q4b_A_NumUSGPrograms), 0, 1)</f>
        <v>0</v>
      </c>
    </row>
    <row r="12" spans="1:75" x14ac:dyDescent="0.25">
      <c r="BW12">
        <f>IF(ISBLANK('5'!F10), 0, 1)</f>
        <v>0</v>
      </c>
    </row>
    <row r="13" spans="1:75" x14ac:dyDescent="0.25">
      <c r="BW13">
        <f>IF(ISBLANK(Q6_A_Employees_Year3), 0, 1)</f>
        <v>0</v>
      </c>
    </row>
    <row r="14" spans="1:75" x14ac:dyDescent="0.25">
      <c r="BW14">
        <f>IF(AND(ISBLANK(Q6_C_TopSecret), ISBLANK(Q6_C_Secret), ISBLANK(Q6_C_Confidential)), 0, 1)</f>
        <v>0</v>
      </c>
    </row>
    <row r="15" spans="1:75" x14ac:dyDescent="0.25">
      <c r="BW15">
        <f>IF(ISBLANK(Q6_B_TotalNonUS), 0, 1)</f>
        <v>0</v>
      </c>
    </row>
    <row r="16" spans="1:75" x14ac:dyDescent="0.25">
      <c r="BW16">
        <f>IF(ISBLANK(Q7_A_TotalSales_US_Year3), 0, 1)</f>
        <v>0</v>
      </c>
    </row>
    <row r="17" spans="75:75" x14ac:dyDescent="0.25">
      <c r="BW17">
        <f>IF(ISBLANK(Q7_B_DefSales_US_Year3_Pct), 0, 1)</f>
        <v>0</v>
      </c>
    </row>
    <row r="18" spans="75:75" x14ac:dyDescent="0.25">
      <c r="BW18">
        <f>IF(ISBLANK(Q7_B_ClassSales_US_Year3_Pct), 0, 1)</f>
        <v>0</v>
      </c>
    </row>
    <row r="19" spans="75:75" x14ac:dyDescent="0.25">
      <c r="BW19">
        <f>IF(ISBLANK(Q7_B_GovSales_US_Year3_Pct), 0, 1)</f>
        <v>0</v>
      </c>
    </row>
    <row r="20" spans="75:75" x14ac:dyDescent="0.25">
      <c r="BW20">
        <f>IF(ISBLANK(Q8_Total_US), 0, 1)</f>
        <v>0</v>
      </c>
    </row>
    <row r="21" spans="75:75" x14ac:dyDescent="0.25">
      <c r="BW21">
        <f>IF(ISBLANK(Q9a_A_Authorities_YN), 0, 1)</f>
        <v>0</v>
      </c>
    </row>
    <row r="22" spans="75:75" x14ac:dyDescent="0.25">
      <c r="BW22">
        <f>IF(ISBLANK(Q9a_B_Physical_Year1), 0, 1)</f>
        <v>0</v>
      </c>
    </row>
    <row r="23" spans="75:75" x14ac:dyDescent="0.25">
      <c r="BW23">
        <f>IF(ISBLANK(Q9a_B_Cyber_Year1), 0, 1)</f>
        <v>0</v>
      </c>
    </row>
    <row r="24" spans="75:75" x14ac:dyDescent="0.25">
      <c r="BW24">
        <f>IF(ISBLANK(Q9a_B_Physical_Year2), 0, 1)</f>
        <v>0</v>
      </c>
    </row>
    <row r="25" spans="75:75" x14ac:dyDescent="0.25">
      <c r="BW25">
        <f>IF(ISBLANK(Q9a_B_Cyber_Year2), 0, 1)</f>
        <v>0</v>
      </c>
    </row>
    <row r="26" spans="75:75" x14ac:dyDescent="0.25">
      <c r="BW26">
        <f>IF(ISBLANK(Q9a_B_Physical_Year3), 0, 1)</f>
        <v>0</v>
      </c>
    </row>
    <row r="27" spans="75:75" x14ac:dyDescent="0.25">
      <c r="BW27">
        <f>IF(ISBLANK(Q9a_B_Cyber_Year3), 0, 1)</f>
        <v>0</v>
      </c>
    </row>
    <row r="28" spans="75:75" x14ac:dyDescent="0.25">
      <c r="BW28">
        <f>IF(ISBLANK(Q9a_D_NIST_Familiar_YN), 0, 1)</f>
        <v>0</v>
      </c>
    </row>
    <row r="29" spans="75:75" x14ac:dyDescent="0.25">
      <c r="BW29">
        <f>IF(ISBLANK(Q9b_A_PhysicalSpending_Year3), 0, 1)</f>
        <v>0</v>
      </c>
    </row>
    <row r="30" spans="75:75" x14ac:dyDescent="0.25">
      <c r="BW30">
        <f>IF(ISBLANK(Q9b_A_CyberSpending_Year3), 0, 1)</f>
        <v>0</v>
      </c>
    </row>
    <row r="31" spans="75:75" x14ac:dyDescent="0.25">
      <c r="BW31">
        <f>IF(ISBLANK(Q9b_B_AccessEmployees_YN), 0, 1)</f>
        <v>0</v>
      </c>
    </row>
    <row r="32" spans="75:75" x14ac:dyDescent="0.25">
      <c r="BW32">
        <f>IF(ISBLANK(Q9b_C_DataCenter_US_YN), 0, 1)</f>
        <v>0</v>
      </c>
    </row>
    <row r="33" spans="75:75" x14ac:dyDescent="0.25">
      <c r="BW33">
        <f>IF(ISBLANK(Q9b_C_Share_CSI), 0, 1)</f>
        <v>0</v>
      </c>
    </row>
    <row r="34" spans="75:75" x14ac:dyDescent="0.25">
      <c r="BW34">
        <f>IF(ISBLANK(Q9b_D1_CSI_Detect), 0, 1)</f>
        <v>0</v>
      </c>
    </row>
    <row r="35" spans="75:75" x14ac:dyDescent="0.25">
      <c r="BW35">
        <f>IF(ISBLANK(Q10_A_Classified_Prime), 0, 1)</f>
        <v>0</v>
      </c>
    </row>
    <row r="36" spans="75:75" x14ac:dyDescent="0.25">
      <c r="BW36">
        <f>IF(ISBLANK(Q10_B_NumberDD254), 0, 1)</f>
        <v>0</v>
      </c>
    </row>
    <row r="37" spans="75:75" x14ac:dyDescent="0.25">
      <c r="BW37">
        <f>IF(ISBLANK(Q10_Contract01_Number), 0, 1)</f>
        <v>0</v>
      </c>
    </row>
    <row r="38" spans="75:75" x14ac:dyDescent="0.25">
      <c r="BW38">
        <f>IF(ISBLANK(Q11_RD_YN), 0, 1)</f>
        <v>0</v>
      </c>
    </row>
    <row r="39" spans="75:75" x14ac:dyDescent="0.25">
      <c r="BW39">
        <f>IF(ISBLANK(Q12_NetSales_Year3), 0, 1)</f>
        <v>0</v>
      </c>
    </row>
    <row r="40" spans="75:75" x14ac:dyDescent="0.25">
      <c r="BW40">
        <f>IF(ISBLANK(Q12_Cash_Year3), 0, 1)</f>
        <v>0</v>
      </c>
    </row>
    <row r="41" spans="75:75" x14ac:dyDescent="0.25">
      <c r="BW41">
        <f>IF(ISBLANK(Q12_NetSales_Year2), 0, 1)</f>
        <v>0</v>
      </c>
    </row>
    <row r="42" spans="75:75" x14ac:dyDescent="0.25">
      <c r="BW42">
        <f>IF(ISBLANK(Q12_Cash_Year2), 0, 1)</f>
        <v>0</v>
      </c>
    </row>
    <row r="43" spans="75:75" x14ac:dyDescent="0.25">
      <c r="BW43">
        <f>IF(ISBLANK(Q12_NetSales_Year1), 0, 1)</f>
        <v>0</v>
      </c>
    </row>
    <row r="44" spans="75:75" x14ac:dyDescent="0.25">
      <c r="BW44">
        <f>IF(ISBLANK(Q12_Cash_Year1), 0, 1)</f>
        <v>0</v>
      </c>
    </row>
    <row r="45" spans="75:75" x14ac:dyDescent="0.25">
      <c r="BW45">
        <f>IF(ISBLANK(Q14_DateCert), 0, 1)</f>
        <v>0</v>
      </c>
    </row>
    <row r="46" spans="75:75" x14ac:dyDescent="0.25">
      <c r="BW46">
        <f>IF(COUNTIF('D-13a (Pivot)'!$AD$2:$AD$27, "&lt;&gt;0")&gt;0, 1, 0)</f>
        <v>0</v>
      </c>
    </row>
    <row r="47" spans="75:75" x14ac:dyDescent="0.25">
      <c r="BW47">
        <f>IF(K2&lt;&gt;0, 1, 0)</f>
        <v>0</v>
      </c>
    </row>
    <row r="48" spans="75:75" x14ac:dyDescent="0.25">
      <c r="BW48">
        <f>IF(I2="None Selected", 0, 1)</f>
        <v>0</v>
      </c>
    </row>
    <row r="49" spans="75:75" x14ac:dyDescent="0.25">
      <c r="BW49">
        <f>IF(J2&gt;0, 1, 0)</f>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42"/>
  <sheetViews>
    <sheetView showGridLines="0" showRowColHeaders="0" workbookViewId="0"/>
  </sheetViews>
  <sheetFormatPr defaultRowHeight="12.75" x14ac:dyDescent="0.25"/>
  <cols>
    <col min="1" max="1" width="9.140625" style="19"/>
    <col min="2" max="2" width="3.85546875" style="19" customWidth="1"/>
    <col min="3" max="3" width="2.7109375" style="19" customWidth="1"/>
    <col min="4" max="4" width="25" style="19" customWidth="1"/>
    <col min="5" max="10" width="14.28515625" style="19" customWidth="1"/>
    <col min="11" max="16384" width="9.140625" style="19"/>
  </cols>
  <sheetData>
    <row r="1" spans="2:10" ht="13.5" thickBot="1" x14ac:dyDescent="0.3"/>
    <row r="2" spans="2:10" x14ac:dyDescent="0.25">
      <c r="B2" s="493" t="s">
        <v>10</v>
      </c>
      <c r="C2" s="494"/>
      <c r="D2" s="494"/>
      <c r="E2" s="405" t="s">
        <v>11</v>
      </c>
      <c r="F2" s="405"/>
      <c r="G2" s="405"/>
      <c r="H2" s="21"/>
      <c r="I2" s="21"/>
      <c r="J2" s="26" t="s">
        <v>0</v>
      </c>
    </row>
    <row r="3" spans="2:10" ht="13.5" thickBot="1" x14ac:dyDescent="0.3">
      <c r="B3" s="44" t="s">
        <v>120</v>
      </c>
      <c r="C3" s="71"/>
      <c r="D3" s="71"/>
      <c r="E3" s="71"/>
      <c r="F3" s="71"/>
      <c r="G3" s="71"/>
      <c r="H3" s="71"/>
      <c r="I3" s="71"/>
      <c r="J3" s="72"/>
    </row>
    <row r="4" spans="2:10" ht="28.5" customHeight="1" x14ac:dyDescent="0.25">
      <c r="B4" s="440" t="s">
        <v>34</v>
      </c>
      <c r="C4" s="496" t="s">
        <v>121</v>
      </c>
      <c r="D4" s="496"/>
      <c r="E4" s="496"/>
      <c r="F4" s="496"/>
      <c r="G4" s="496"/>
      <c r="H4" s="496"/>
      <c r="I4" s="496"/>
      <c r="J4" s="497"/>
    </row>
    <row r="5" spans="2:10" x14ac:dyDescent="0.25">
      <c r="B5" s="441"/>
      <c r="C5" s="471" t="s">
        <v>122</v>
      </c>
      <c r="D5" s="447"/>
      <c r="E5" s="447"/>
      <c r="F5" s="447"/>
      <c r="G5" s="448"/>
      <c r="H5" s="472"/>
      <c r="I5" s="472"/>
      <c r="J5" s="495"/>
    </row>
    <row r="6" spans="2:10" x14ac:dyDescent="0.25">
      <c r="B6" s="441"/>
      <c r="C6" s="449" t="s">
        <v>123</v>
      </c>
      <c r="D6" s="449"/>
      <c r="E6" s="449"/>
      <c r="F6" s="449"/>
      <c r="G6" s="449"/>
      <c r="H6" s="472"/>
      <c r="I6" s="472"/>
      <c r="J6" s="495"/>
    </row>
    <row r="7" spans="2:10" x14ac:dyDescent="0.25">
      <c r="B7" s="441"/>
      <c r="C7" s="450" t="s">
        <v>124</v>
      </c>
      <c r="D7" s="445"/>
      <c r="E7" s="445"/>
      <c r="F7" s="445"/>
      <c r="G7" s="446"/>
      <c r="H7" s="472"/>
      <c r="I7" s="472"/>
      <c r="J7" s="495"/>
    </row>
    <row r="8" spans="2:10" x14ac:dyDescent="0.25">
      <c r="B8" s="441"/>
      <c r="C8" s="450" t="s">
        <v>125</v>
      </c>
      <c r="D8" s="445"/>
      <c r="E8" s="445"/>
      <c r="F8" s="445"/>
      <c r="G8" s="446"/>
      <c r="H8" s="472"/>
      <c r="I8" s="472"/>
      <c r="J8" s="495"/>
    </row>
    <row r="9" spans="2:10" x14ac:dyDescent="0.25">
      <c r="B9" s="441"/>
      <c r="C9" s="450" t="s">
        <v>126</v>
      </c>
      <c r="D9" s="445"/>
      <c r="E9" s="445"/>
      <c r="F9" s="445"/>
      <c r="G9" s="446"/>
      <c r="H9" s="472"/>
      <c r="I9" s="472"/>
      <c r="J9" s="495"/>
    </row>
    <row r="10" spans="2:10" x14ac:dyDescent="0.25">
      <c r="B10" s="441"/>
      <c r="C10" s="450" t="s">
        <v>127</v>
      </c>
      <c r="D10" s="445"/>
      <c r="E10" s="445"/>
      <c r="F10" s="445"/>
      <c r="G10" s="446"/>
      <c r="H10" s="472"/>
      <c r="I10" s="472"/>
      <c r="J10" s="495"/>
    </row>
    <row r="11" spans="2:10" x14ac:dyDescent="0.25">
      <c r="B11" s="441"/>
      <c r="C11" s="450" t="s">
        <v>128</v>
      </c>
      <c r="D11" s="445"/>
      <c r="E11" s="445"/>
      <c r="F11" s="445"/>
      <c r="G11" s="446"/>
      <c r="H11" s="472"/>
      <c r="I11" s="472"/>
      <c r="J11" s="495"/>
    </row>
    <row r="12" spans="2:10" x14ac:dyDescent="0.25">
      <c r="B12" s="441"/>
      <c r="C12" s="471" t="s">
        <v>129</v>
      </c>
      <c r="D12" s="447"/>
      <c r="E12" s="447"/>
      <c r="F12" s="447"/>
      <c r="G12" s="448"/>
      <c r="H12" s="472"/>
      <c r="I12" s="472"/>
      <c r="J12" s="495"/>
    </row>
    <row r="13" spans="2:10" x14ac:dyDescent="0.25">
      <c r="B13" s="441"/>
      <c r="C13" s="449" t="s">
        <v>130</v>
      </c>
      <c r="D13" s="449"/>
      <c r="E13" s="449"/>
      <c r="F13" s="449"/>
      <c r="G13" s="449"/>
      <c r="H13" s="472"/>
      <c r="I13" s="472"/>
      <c r="J13" s="495"/>
    </row>
    <row r="14" spans="2:10" x14ac:dyDescent="0.25">
      <c r="B14" s="441"/>
      <c r="C14" s="450" t="s">
        <v>131</v>
      </c>
      <c r="D14" s="445"/>
      <c r="E14" s="445"/>
      <c r="F14" s="445"/>
      <c r="G14" s="446"/>
      <c r="H14" s="472"/>
      <c r="I14" s="472"/>
      <c r="J14" s="495"/>
    </row>
    <row r="15" spans="2:10" x14ac:dyDescent="0.25">
      <c r="B15" s="441"/>
      <c r="C15" s="450" t="s">
        <v>132</v>
      </c>
      <c r="D15" s="445"/>
      <c r="E15" s="445"/>
      <c r="F15" s="445"/>
      <c r="G15" s="446"/>
      <c r="H15" s="472"/>
      <c r="I15" s="472"/>
      <c r="J15" s="495"/>
    </row>
    <row r="16" spans="2:10" x14ac:dyDescent="0.25">
      <c r="B16" s="441"/>
      <c r="C16" s="450" t="s">
        <v>133</v>
      </c>
      <c r="D16" s="445"/>
      <c r="E16" s="445"/>
      <c r="F16" s="445"/>
      <c r="G16" s="446"/>
      <c r="H16" s="472"/>
      <c r="I16" s="472"/>
      <c r="J16" s="495"/>
    </row>
    <row r="17" spans="2:10" x14ac:dyDescent="0.25">
      <c r="B17" s="441"/>
      <c r="C17" s="450" t="s">
        <v>134</v>
      </c>
      <c r="D17" s="445"/>
      <c r="E17" s="445"/>
      <c r="F17" s="445"/>
      <c r="G17" s="446"/>
      <c r="H17" s="472"/>
      <c r="I17" s="472"/>
      <c r="J17" s="495"/>
    </row>
    <row r="18" spans="2:10" x14ac:dyDescent="0.25">
      <c r="B18" s="441"/>
      <c r="C18" s="450" t="s">
        <v>135</v>
      </c>
      <c r="D18" s="445"/>
      <c r="E18" s="445"/>
      <c r="F18" s="445"/>
      <c r="G18" s="446"/>
      <c r="H18" s="472"/>
      <c r="I18" s="472"/>
      <c r="J18" s="495"/>
    </row>
    <row r="19" spans="2:10" x14ac:dyDescent="0.25">
      <c r="B19" s="441"/>
      <c r="C19" s="471" t="s">
        <v>136</v>
      </c>
      <c r="D19" s="447"/>
      <c r="E19" s="447"/>
      <c r="F19" s="447"/>
      <c r="G19" s="448"/>
      <c r="H19" s="472"/>
      <c r="I19" s="472"/>
      <c r="J19" s="495"/>
    </row>
    <row r="20" spans="2:10" x14ac:dyDescent="0.25">
      <c r="B20" s="441"/>
      <c r="C20" s="449" t="s">
        <v>137</v>
      </c>
      <c r="D20" s="449"/>
      <c r="E20" s="449"/>
      <c r="F20" s="449"/>
      <c r="G20" s="449"/>
      <c r="H20" s="472"/>
      <c r="I20" s="472"/>
      <c r="J20" s="495"/>
    </row>
    <row r="21" spans="2:10" ht="13.5" thickBot="1" x14ac:dyDescent="0.3">
      <c r="B21" s="442"/>
      <c r="C21" s="460" t="s">
        <v>138</v>
      </c>
      <c r="D21" s="461"/>
      <c r="E21" s="462"/>
      <c r="F21" s="505" t="s">
        <v>139</v>
      </c>
      <c r="G21" s="506"/>
      <c r="H21" s="488"/>
      <c r="I21" s="488"/>
      <c r="J21" s="504"/>
    </row>
    <row r="22" spans="2:10" ht="52.5" customHeight="1" x14ac:dyDescent="0.25">
      <c r="B22" s="440" t="s">
        <v>35</v>
      </c>
      <c r="C22" s="496" t="s">
        <v>2607</v>
      </c>
      <c r="D22" s="496"/>
      <c r="E22" s="496"/>
      <c r="F22" s="496"/>
      <c r="G22" s="496"/>
      <c r="H22" s="496"/>
      <c r="I22" s="496"/>
      <c r="J22" s="497"/>
    </row>
    <row r="23" spans="2:10" ht="12.75" customHeight="1" x14ac:dyDescent="0.25">
      <c r="B23" s="441"/>
      <c r="C23" s="498" t="s">
        <v>140</v>
      </c>
      <c r="D23" s="499"/>
      <c r="E23" s="477"/>
      <c r="F23" s="477"/>
      <c r="G23" s="502" t="s">
        <v>141</v>
      </c>
      <c r="H23" s="499"/>
      <c r="I23" s="477"/>
      <c r="J23" s="478"/>
    </row>
    <row r="24" spans="2:10" x14ac:dyDescent="0.25">
      <c r="B24" s="441"/>
      <c r="C24" s="500"/>
      <c r="D24" s="501"/>
      <c r="E24" s="477"/>
      <c r="F24" s="477"/>
      <c r="G24" s="503"/>
      <c r="H24" s="501"/>
      <c r="I24" s="477"/>
      <c r="J24" s="478"/>
    </row>
    <row r="25" spans="2:10" x14ac:dyDescent="0.25">
      <c r="B25" s="441"/>
      <c r="C25" s="500"/>
      <c r="D25" s="501"/>
      <c r="E25" s="477"/>
      <c r="F25" s="477"/>
      <c r="G25" s="503"/>
      <c r="H25" s="501"/>
      <c r="I25" s="477"/>
      <c r="J25" s="478"/>
    </row>
    <row r="26" spans="2:10" x14ac:dyDescent="0.25">
      <c r="B26" s="441"/>
      <c r="C26" s="59"/>
      <c r="D26" s="59"/>
      <c r="E26" s="477"/>
      <c r="F26" s="477"/>
      <c r="G26" s="59"/>
      <c r="H26" s="59"/>
      <c r="I26" s="477"/>
      <c r="J26" s="478"/>
    </row>
    <row r="27" spans="2:10" x14ac:dyDescent="0.25">
      <c r="B27" s="441"/>
      <c r="C27" s="59"/>
      <c r="D27" s="59"/>
      <c r="E27" s="477"/>
      <c r="F27" s="477"/>
      <c r="G27" s="59"/>
      <c r="H27" s="59"/>
      <c r="I27" s="477"/>
      <c r="J27" s="478"/>
    </row>
    <row r="28" spans="2:10" x14ac:dyDescent="0.25">
      <c r="B28" s="441"/>
      <c r="C28" s="467" t="s">
        <v>142</v>
      </c>
      <c r="D28" s="467"/>
      <c r="E28" s="477"/>
      <c r="F28" s="477"/>
      <c r="G28" s="467" t="s">
        <v>143</v>
      </c>
      <c r="H28" s="467"/>
      <c r="I28" s="477"/>
      <c r="J28" s="478"/>
    </row>
    <row r="29" spans="2:10" x14ac:dyDescent="0.25">
      <c r="B29" s="441"/>
      <c r="C29" s="507" t="s">
        <v>144</v>
      </c>
      <c r="D29" s="507"/>
      <c r="E29" s="477"/>
      <c r="F29" s="477"/>
      <c r="G29" s="508" t="s">
        <v>145</v>
      </c>
      <c r="H29" s="508"/>
      <c r="I29" s="477"/>
      <c r="J29" s="478"/>
    </row>
    <row r="30" spans="2:10" x14ac:dyDescent="0.25">
      <c r="B30" s="441"/>
      <c r="C30" s="59"/>
      <c r="D30" s="59"/>
      <c r="E30" s="477"/>
      <c r="F30" s="477"/>
      <c r="G30" s="508"/>
      <c r="H30" s="508"/>
      <c r="I30" s="477"/>
      <c r="J30" s="478"/>
    </row>
    <row r="31" spans="2:10" x14ac:dyDescent="0.25">
      <c r="B31" s="441"/>
      <c r="C31" s="59"/>
      <c r="D31" s="59"/>
      <c r="E31" s="477"/>
      <c r="F31" s="477"/>
      <c r="G31" s="59"/>
      <c r="H31" s="59"/>
      <c r="I31" s="477"/>
      <c r="J31" s="478"/>
    </row>
    <row r="32" spans="2:10" ht="13.5" thickBot="1" x14ac:dyDescent="0.3">
      <c r="B32" s="442"/>
      <c r="C32" s="63"/>
      <c r="D32" s="63"/>
      <c r="E32" s="491"/>
      <c r="F32" s="491"/>
      <c r="G32" s="63"/>
      <c r="H32" s="63"/>
      <c r="I32" s="491"/>
      <c r="J32" s="492"/>
    </row>
    <row r="33" spans="2:10" ht="22.5" customHeight="1" x14ac:dyDescent="0.25">
      <c r="B33" s="440" t="s">
        <v>37</v>
      </c>
      <c r="C33" s="455" t="s">
        <v>2636</v>
      </c>
      <c r="D33" s="456"/>
      <c r="E33" s="456"/>
      <c r="F33" s="456"/>
      <c r="G33" s="511"/>
      <c r="H33" s="370"/>
      <c r="I33" s="512" t="s">
        <v>2632</v>
      </c>
      <c r="J33" s="513"/>
    </row>
    <row r="34" spans="2:10" x14ac:dyDescent="0.25">
      <c r="B34" s="441"/>
      <c r="C34" s="73"/>
      <c r="D34" s="509" t="s">
        <v>146</v>
      </c>
      <c r="E34" s="449"/>
      <c r="F34" s="449"/>
      <c r="G34" s="449"/>
      <c r="H34" s="510"/>
      <c r="I34" s="472"/>
      <c r="J34" s="495"/>
    </row>
    <row r="35" spans="2:10" x14ac:dyDescent="0.25">
      <c r="B35" s="441"/>
      <c r="C35" s="73"/>
      <c r="D35" s="450" t="s">
        <v>147</v>
      </c>
      <c r="E35" s="445"/>
      <c r="F35" s="445"/>
      <c r="G35" s="445"/>
      <c r="H35" s="446"/>
      <c r="I35" s="472"/>
      <c r="J35" s="495"/>
    </row>
    <row r="36" spans="2:10" x14ac:dyDescent="0.25">
      <c r="B36" s="441"/>
      <c r="C36" s="73"/>
      <c r="D36" s="450" t="s">
        <v>148</v>
      </c>
      <c r="E36" s="445"/>
      <c r="F36" s="445"/>
      <c r="G36" s="445"/>
      <c r="H36" s="446"/>
      <c r="I36" s="472"/>
      <c r="J36" s="495"/>
    </row>
    <row r="37" spans="2:10" x14ac:dyDescent="0.25">
      <c r="B37" s="441"/>
      <c r="C37" s="73"/>
      <c r="D37" s="471" t="s">
        <v>149</v>
      </c>
      <c r="E37" s="447"/>
      <c r="F37" s="447"/>
      <c r="G37" s="447"/>
      <c r="H37" s="448"/>
      <c r="I37" s="472"/>
      <c r="J37" s="495"/>
    </row>
    <row r="38" spans="2:10" x14ac:dyDescent="0.25">
      <c r="B38" s="441"/>
      <c r="C38" s="73"/>
      <c r="D38" s="471" t="s">
        <v>150</v>
      </c>
      <c r="E38" s="447"/>
      <c r="F38" s="447"/>
      <c r="G38" s="447"/>
      <c r="H38" s="448"/>
      <c r="I38" s="472"/>
      <c r="J38" s="495"/>
    </row>
    <row r="39" spans="2:10" ht="13.5" thickBot="1" x14ac:dyDescent="0.3">
      <c r="B39" s="442"/>
      <c r="C39" s="74"/>
      <c r="D39" s="463" t="s">
        <v>151</v>
      </c>
      <c r="E39" s="463"/>
      <c r="F39" s="463"/>
      <c r="G39" s="463"/>
      <c r="H39" s="463"/>
      <c r="I39" s="488"/>
      <c r="J39" s="504"/>
    </row>
    <row r="40" spans="2:10" ht="31.5" customHeight="1" x14ac:dyDescent="0.25">
      <c r="B40" s="516" t="s">
        <v>94</v>
      </c>
      <c r="C40" s="517"/>
      <c r="D40" s="518"/>
      <c r="E40" s="514"/>
      <c r="F40" s="514"/>
      <c r="G40" s="514"/>
      <c r="H40" s="514"/>
      <c r="I40" s="514"/>
      <c r="J40" s="515"/>
    </row>
    <row r="41" spans="2:10" x14ac:dyDescent="0.25">
      <c r="B41" s="36"/>
      <c r="C41" s="28"/>
      <c r="D41" s="28"/>
      <c r="E41" s="28"/>
      <c r="F41" s="28"/>
      <c r="G41" s="28"/>
      <c r="H41" s="28"/>
      <c r="I41" s="28"/>
      <c r="J41" s="29"/>
    </row>
    <row r="42" spans="2:10" ht="13.5" thickBot="1" x14ac:dyDescent="0.3">
      <c r="B42" s="390" t="s">
        <v>9</v>
      </c>
      <c r="C42" s="391"/>
      <c r="D42" s="391"/>
      <c r="E42" s="391"/>
      <c r="F42" s="391"/>
      <c r="G42" s="391"/>
      <c r="H42" s="391"/>
      <c r="I42" s="391"/>
      <c r="J42" s="392"/>
    </row>
  </sheetData>
  <sheetProtection password="C288" sheet="1"/>
  <mergeCells count="85">
    <mergeCell ref="B42:J42"/>
    <mergeCell ref="I35:J35"/>
    <mergeCell ref="I36:J36"/>
    <mergeCell ref="I37:J37"/>
    <mergeCell ref="I38:J38"/>
    <mergeCell ref="I39:J39"/>
    <mergeCell ref="E40:J40"/>
    <mergeCell ref="D35:H35"/>
    <mergeCell ref="D36:H36"/>
    <mergeCell ref="D37:H37"/>
    <mergeCell ref="D38:H38"/>
    <mergeCell ref="D39:H39"/>
    <mergeCell ref="B40:D40"/>
    <mergeCell ref="I31:J31"/>
    <mergeCell ref="I32:J32"/>
    <mergeCell ref="D34:H34"/>
    <mergeCell ref="I34:J34"/>
    <mergeCell ref="E29:F29"/>
    <mergeCell ref="E30:F30"/>
    <mergeCell ref="E31:F31"/>
    <mergeCell ref="E32:F32"/>
    <mergeCell ref="C33:G33"/>
    <mergeCell ref="I33:J33"/>
    <mergeCell ref="C29:D29"/>
    <mergeCell ref="G29:H30"/>
    <mergeCell ref="E28:F28"/>
    <mergeCell ref="I23:J23"/>
    <mergeCell ref="I24:J24"/>
    <mergeCell ref="I25:J25"/>
    <mergeCell ref="I26:J26"/>
    <mergeCell ref="I27:J27"/>
    <mergeCell ref="I29:J29"/>
    <mergeCell ref="I30:J30"/>
    <mergeCell ref="E26:F26"/>
    <mergeCell ref="E27:F27"/>
    <mergeCell ref="I28:J28"/>
    <mergeCell ref="C28:D28"/>
    <mergeCell ref="G28:H28"/>
    <mergeCell ref="C23:D25"/>
    <mergeCell ref="G23:H25"/>
    <mergeCell ref="H17:J17"/>
    <mergeCell ref="H18:J18"/>
    <mergeCell ref="H19:J19"/>
    <mergeCell ref="H20:J20"/>
    <mergeCell ref="H21:J21"/>
    <mergeCell ref="F21:G21"/>
    <mergeCell ref="E23:F23"/>
    <mergeCell ref="E24:F24"/>
    <mergeCell ref="E25:F25"/>
    <mergeCell ref="H10:J10"/>
    <mergeCell ref="C8:G8"/>
    <mergeCell ref="C21:E21"/>
    <mergeCell ref="C4:J4"/>
    <mergeCell ref="C22:J22"/>
    <mergeCell ref="H11:J11"/>
    <mergeCell ref="H12:J12"/>
    <mergeCell ref="H13:J13"/>
    <mergeCell ref="H14:J14"/>
    <mergeCell ref="H15:J15"/>
    <mergeCell ref="H5:J5"/>
    <mergeCell ref="H6:J6"/>
    <mergeCell ref="H7:J7"/>
    <mergeCell ref="H8:J8"/>
    <mergeCell ref="H9:J9"/>
    <mergeCell ref="C14:G14"/>
    <mergeCell ref="H16:J16"/>
    <mergeCell ref="C15:G15"/>
    <mergeCell ref="C16:G16"/>
    <mergeCell ref="C17:G17"/>
    <mergeCell ref="B2:D2"/>
    <mergeCell ref="E2:G2"/>
    <mergeCell ref="B4:B21"/>
    <mergeCell ref="B22:B32"/>
    <mergeCell ref="B33:B39"/>
    <mergeCell ref="C5:G5"/>
    <mergeCell ref="C6:G6"/>
    <mergeCell ref="C7:G7"/>
    <mergeCell ref="C18:G18"/>
    <mergeCell ref="C19:G19"/>
    <mergeCell ref="C20:G20"/>
    <mergeCell ref="C9:G9"/>
    <mergeCell ref="C10:G10"/>
    <mergeCell ref="C11:G11"/>
    <mergeCell ref="C12:G12"/>
    <mergeCell ref="C13:G13"/>
  </mergeCells>
  <dataValidations count="5">
    <dataValidation type="list" allowBlank="1" showInputMessage="1" showErrorMessage="1" sqref="H5:J21">
      <formula1>PrimAdd</formula1>
    </dataValidation>
    <dataValidation type="textLength" operator="equal" allowBlank="1" showInputMessage="1" showErrorMessage="1" sqref="E23:F32">
      <formula1>9</formula1>
    </dataValidation>
    <dataValidation type="textLength" operator="equal" allowBlank="1" showInputMessage="1" showErrorMessage="1" sqref="I23:J32">
      <formula1>6</formula1>
    </dataValidation>
    <dataValidation type="list" allowBlank="1" showInputMessage="1" showErrorMessage="1" sqref="I34:J39">
      <formula1>YNUnk</formula1>
    </dataValidation>
    <dataValidation type="list" allowBlank="1" showInputMessage="1" showErrorMessage="1" sqref="H33">
      <formula1>YNUnk</formula1>
    </dataValidation>
  </dataValidations>
  <hyperlinks>
    <hyperlink ref="J2" location="'2'!A1" display="Next Page"/>
    <hyperlink ref="E2:G2" location="'Table of Contents'!A1" display="Table of Contents"/>
    <hyperlink ref="B2:D2" location="'1a'!A1" display="Previous Page"/>
    <hyperlink ref="C29:D29" r:id="rId1" display="http://fedgov.dnb.com/webform"/>
    <hyperlink ref="G29:H30" r:id="rId2" display="http://www.census.gov/epcd/www/naics.html"/>
  </hyperlinks>
  <printOptions horizontalCentered="1"/>
  <pageMargins left="0.25" right="0.25" top="0.75" bottom="0.75" header="0.3" footer="0.3"/>
  <pageSetup scale="86" orientation="landscape" verticalDpi="1200"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39"/>
  <sheetViews>
    <sheetView showGridLines="0" showRowColHeaders="0" workbookViewId="0"/>
  </sheetViews>
  <sheetFormatPr defaultRowHeight="12.75" x14ac:dyDescent="0.25"/>
  <cols>
    <col min="1" max="1" width="9.140625" style="19"/>
    <col min="2" max="3" width="3.140625" style="19" customWidth="1"/>
    <col min="4" max="4" width="18.140625" style="19" customWidth="1"/>
    <col min="5" max="5" width="11.28515625" style="19" customWidth="1"/>
    <col min="6" max="6" width="12.85546875" style="19" customWidth="1"/>
    <col min="7" max="7" width="26.140625" style="19" customWidth="1"/>
    <col min="8" max="8" width="10.7109375" style="19" customWidth="1"/>
    <col min="9" max="11" width="9.140625" style="19"/>
    <col min="12" max="12" width="20.7109375" style="19" customWidth="1"/>
    <col min="13" max="13" width="47.85546875" style="19" customWidth="1"/>
    <col min="14" max="16384" width="9.140625" style="19"/>
  </cols>
  <sheetData>
    <row r="1" spans="2:13" ht="13.5" thickBot="1" x14ac:dyDescent="0.3"/>
    <row r="2" spans="2:13" x14ac:dyDescent="0.25">
      <c r="B2" s="493" t="s">
        <v>10</v>
      </c>
      <c r="C2" s="494"/>
      <c r="D2" s="494"/>
      <c r="E2" s="21"/>
      <c r="F2" s="405" t="s">
        <v>11</v>
      </c>
      <c r="G2" s="405"/>
      <c r="H2" s="405"/>
      <c r="I2" s="405"/>
      <c r="J2" s="405"/>
      <c r="K2" s="405"/>
      <c r="L2" s="405"/>
      <c r="M2" s="26" t="s">
        <v>0</v>
      </c>
    </row>
    <row r="3" spans="2:13" ht="13.5" thickBot="1" x14ac:dyDescent="0.3">
      <c r="B3" s="44" t="s">
        <v>152</v>
      </c>
      <c r="C3" s="45"/>
      <c r="D3" s="45"/>
      <c r="E3" s="45"/>
      <c r="F3" s="45"/>
      <c r="G3" s="45"/>
      <c r="H3" s="45"/>
      <c r="I3" s="45"/>
      <c r="J3" s="45"/>
      <c r="K3" s="45"/>
      <c r="L3" s="45"/>
      <c r="M3" s="46"/>
    </row>
    <row r="4" spans="2:13" ht="27" customHeight="1" x14ac:dyDescent="0.25">
      <c r="B4" s="440" t="s">
        <v>34</v>
      </c>
      <c r="C4" s="519" t="s">
        <v>153</v>
      </c>
      <c r="D4" s="519"/>
      <c r="E4" s="519"/>
      <c r="F4" s="519"/>
      <c r="G4" s="519"/>
      <c r="H4" s="519"/>
      <c r="I4" s="519"/>
      <c r="J4" s="519"/>
      <c r="K4" s="519"/>
      <c r="L4" s="519"/>
      <c r="M4" s="520"/>
    </row>
    <row r="5" spans="2:13" ht="28.5" customHeight="1" x14ac:dyDescent="0.25">
      <c r="B5" s="441"/>
      <c r="C5" s="521" t="s">
        <v>2637</v>
      </c>
      <c r="D5" s="521"/>
      <c r="E5" s="521"/>
      <c r="F5" s="521"/>
      <c r="G5" s="521"/>
      <c r="H5" s="521"/>
      <c r="I5" s="521"/>
      <c r="J5" s="522"/>
      <c r="K5" s="230"/>
      <c r="L5" s="523"/>
      <c r="M5" s="524"/>
    </row>
    <row r="6" spans="2:13" ht="18" customHeight="1" x14ac:dyDescent="0.25">
      <c r="B6" s="441"/>
      <c r="C6" s="445" t="s">
        <v>154</v>
      </c>
      <c r="D6" s="445"/>
      <c r="E6" s="445"/>
      <c r="F6" s="445"/>
      <c r="G6" s="445"/>
      <c r="H6" s="445"/>
      <c r="I6" s="445"/>
      <c r="J6" s="445"/>
      <c r="K6" s="449"/>
      <c r="L6" s="445"/>
      <c r="M6" s="525"/>
    </row>
    <row r="7" spans="2:13" ht="27" customHeight="1" x14ac:dyDescent="0.25">
      <c r="B7" s="441"/>
      <c r="C7" s="465" t="s">
        <v>98</v>
      </c>
      <c r="D7" s="465"/>
      <c r="E7" s="465"/>
      <c r="F7" s="80" t="s">
        <v>155</v>
      </c>
      <c r="G7" s="80" t="s">
        <v>108</v>
      </c>
      <c r="H7" s="78" t="s">
        <v>156</v>
      </c>
      <c r="I7" s="468" t="s">
        <v>157</v>
      </c>
      <c r="J7" s="469"/>
      <c r="K7" s="469"/>
      <c r="L7" s="469"/>
      <c r="M7" s="69" t="s">
        <v>158</v>
      </c>
    </row>
    <row r="8" spans="2:13" ht="15" customHeight="1" x14ac:dyDescent="0.25">
      <c r="B8" s="441"/>
      <c r="C8" s="156" t="s">
        <v>159</v>
      </c>
      <c r="D8" s="451"/>
      <c r="E8" s="451"/>
      <c r="F8" s="230"/>
      <c r="G8" s="231"/>
      <c r="H8" s="230"/>
      <c r="I8" s="475"/>
      <c r="J8" s="475"/>
      <c r="K8" s="475"/>
      <c r="L8" s="475"/>
      <c r="M8" s="316"/>
    </row>
    <row r="9" spans="2:13" ht="15" customHeight="1" x14ac:dyDescent="0.25">
      <c r="B9" s="441"/>
      <c r="C9" s="156" t="s">
        <v>160</v>
      </c>
      <c r="D9" s="451"/>
      <c r="E9" s="451"/>
      <c r="F9" s="230"/>
      <c r="G9" s="231"/>
      <c r="H9" s="230"/>
      <c r="I9" s="475"/>
      <c r="J9" s="475"/>
      <c r="K9" s="475"/>
      <c r="L9" s="475"/>
      <c r="M9" s="316"/>
    </row>
    <row r="10" spans="2:13" ht="15" customHeight="1" x14ac:dyDescent="0.25">
      <c r="B10" s="441"/>
      <c r="C10" s="156" t="s">
        <v>161</v>
      </c>
      <c r="D10" s="451"/>
      <c r="E10" s="451"/>
      <c r="F10" s="230"/>
      <c r="G10" s="231"/>
      <c r="H10" s="230"/>
      <c r="I10" s="475"/>
      <c r="J10" s="475"/>
      <c r="K10" s="475"/>
      <c r="L10" s="475"/>
      <c r="M10" s="316"/>
    </row>
    <row r="11" spans="2:13" ht="15" customHeight="1" x14ac:dyDescent="0.25">
      <c r="B11" s="441"/>
      <c r="C11" s="156" t="s">
        <v>162</v>
      </c>
      <c r="D11" s="451"/>
      <c r="E11" s="451"/>
      <c r="F11" s="230"/>
      <c r="G11" s="231"/>
      <c r="H11" s="230"/>
      <c r="I11" s="475"/>
      <c r="J11" s="475"/>
      <c r="K11" s="475"/>
      <c r="L11" s="475"/>
      <c r="M11" s="316"/>
    </row>
    <row r="12" spans="2:13" ht="15" customHeight="1" x14ac:dyDescent="0.25">
      <c r="B12" s="441"/>
      <c r="C12" s="156" t="s">
        <v>163</v>
      </c>
      <c r="D12" s="451"/>
      <c r="E12" s="451"/>
      <c r="F12" s="230"/>
      <c r="G12" s="231"/>
      <c r="H12" s="230"/>
      <c r="I12" s="475"/>
      <c r="J12" s="475"/>
      <c r="K12" s="475"/>
      <c r="L12" s="475"/>
      <c r="M12" s="316"/>
    </row>
    <row r="13" spans="2:13" ht="15" customHeight="1" x14ac:dyDescent="0.25">
      <c r="B13" s="441"/>
      <c r="C13" s="156" t="s">
        <v>164</v>
      </c>
      <c r="D13" s="451"/>
      <c r="E13" s="451"/>
      <c r="F13" s="230"/>
      <c r="G13" s="231"/>
      <c r="H13" s="230"/>
      <c r="I13" s="475"/>
      <c r="J13" s="475"/>
      <c r="K13" s="475"/>
      <c r="L13" s="475"/>
      <c r="M13" s="316"/>
    </row>
    <row r="14" spans="2:13" ht="15" customHeight="1" x14ac:dyDescent="0.25">
      <c r="B14" s="441"/>
      <c r="C14" s="200" t="s">
        <v>165</v>
      </c>
      <c r="D14" s="451"/>
      <c r="E14" s="451"/>
      <c r="F14" s="230"/>
      <c r="G14" s="231"/>
      <c r="H14" s="230"/>
      <c r="I14" s="475"/>
      <c r="J14" s="475"/>
      <c r="K14" s="475"/>
      <c r="L14" s="475"/>
      <c r="M14" s="316"/>
    </row>
    <row r="15" spans="2:13" ht="15" customHeight="1" x14ac:dyDescent="0.25">
      <c r="B15" s="441"/>
      <c r="C15" s="200" t="s">
        <v>166</v>
      </c>
      <c r="D15" s="451"/>
      <c r="E15" s="451"/>
      <c r="F15" s="230"/>
      <c r="G15" s="231"/>
      <c r="H15" s="230"/>
      <c r="I15" s="475"/>
      <c r="J15" s="475"/>
      <c r="K15" s="475"/>
      <c r="L15" s="475"/>
      <c r="M15" s="316"/>
    </row>
    <row r="16" spans="2:13" ht="15" customHeight="1" x14ac:dyDescent="0.25">
      <c r="B16" s="441"/>
      <c r="C16" s="200" t="s">
        <v>167</v>
      </c>
      <c r="D16" s="451"/>
      <c r="E16" s="451"/>
      <c r="F16" s="230"/>
      <c r="G16" s="231"/>
      <c r="H16" s="230"/>
      <c r="I16" s="475"/>
      <c r="J16" s="475"/>
      <c r="K16" s="475"/>
      <c r="L16" s="475"/>
      <c r="M16" s="316"/>
    </row>
    <row r="17" spans="2:13" ht="15" customHeight="1" thickBot="1" x14ac:dyDescent="0.3">
      <c r="B17" s="442"/>
      <c r="C17" s="76" t="s">
        <v>168</v>
      </c>
      <c r="D17" s="451"/>
      <c r="E17" s="451"/>
      <c r="F17" s="230"/>
      <c r="G17" s="231"/>
      <c r="H17" s="230"/>
      <c r="I17" s="475"/>
      <c r="J17" s="475"/>
      <c r="K17" s="475"/>
      <c r="L17" s="475"/>
      <c r="M17" s="316"/>
    </row>
    <row r="18" spans="2:13" ht="27" customHeight="1" x14ac:dyDescent="0.25">
      <c r="B18" s="440" t="s">
        <v>35</v>
      </c>
      <c r="C18" s="526" t="s">
        <v>169</v>
      </c>
      <c r="D18" s="527"/>
      <c r="E18" s="527"/>
      <c r="F18" s="527"/>
      <c r="G18" s="527"/>
      <c r="H18" s="527"/>
      <c r="I18" s="527"/>
      <c r="J18" s="527"/>
      <c r="K18" s="519"/>
      <c r="L18" s="527"/>
      <c r="M18" s="528"/>
    </row>
    <row r="19" spans="2:13" ht="27" customHeight="1" x14ac:dyDescent="0.25">
      <c r="B19" s="441"/>
      <c r="C19" s="529" t="s">
        <v>170</v>
      </c>
      <c r="D19" s="530"/>
      <c r="E19" s="530"/>
      <c r="F19" s="530"/>
      <c r="G19" s="530"/>
      <c r="H19" s="530"/>
      <c r="I19" s="530"/>
      <c r="J19" s="531"/>
      <c r="K19" s="230"/>
      <c r="L19" s="467"/>
      <c r="M19" s="474"/>
    </row>
    <row r="20" spans="2:13" ht="27" customHeight="1" x14ac:dyDescent="0.25">
      <c r="B20" s="441"/>
      <c r="C20" s="532" t="s">
        <v>171</v>
      </c>
      <c r="D20" s="533"/>
      <c r="E20" s="533"/>
      <c r="F20" s="533"/>
      <c r="G20" s="533"/>
      <c r="H20" s="533"/>
      <c r="I20" s="533"/>
      <c r="J20" s="533"/>
      <c r="K20" s="534"/>
      <c r="L20" s="533"/>
      <c r="M20" s="535"/>
    </row>
    <row r="21" spans="2:13" ht="27" customHeight="1" x14ac:dyDescent="0.25">
      <c r="B21" s="441"/>
      <c r="C21" s="464" t="s">
        <v>172</v>
      </c>
      <c r="D21" s="465"/>
      <c r="E21" s="465"/>
      <c r="F21" s="468" t="s">
        <v>108</v>
      </c>
      <c r="G21" s="487"/>
      <c r="H21" s="78" t="s">
        <v>173</v>
      </c>
      <c r="I21" s="468" t="s">
        <v>174</v>
      </c>
      <c r="J21" s="469"/>
      <c r="K21" s="469"/>
      <c r="L21" s="487"/>
      <c r="M21" s="69" t="s">
        <v>158</v>
      </c>
    </row>
    <row r="22" spans="2:13" ht="15" customHeight="1" x14ac:dyDescent="0.25">
      <c r="B22" s="441"/>
      <c r="C22" s="83" t="s">
        <v>159</v>
      </c>
      <c r="D22" s="536"/>
      <c r="E22" s="451"/>
      <c r="F22" s="472"/>
      <c r="G22" s="472"/>
      <c r="H22" s="230"/>
      <c r="I22" s="475"/>
      <c r="J22" s="475"/>
      <c r="K22" s="475"/>
      <c r="L22" s="475"/>
      <c r="M22" s="316"/>
    </row>
    <row r="23" spans="2:13" ht="15" customHeight="1" x14ac:dyDescent="0.25">
      <c r="B23" s="441"/>
      <c r="C23" s="156" t="s">
        <v>160</v>
      </c>
      <c r="D23" s="536"/>
      <c r="E23" s="451"/>
      <c r="F23" s="472"/>
      <c r="G23" s="472"/>
      <c r="H23" s="230"/>
      <c r="I23" s="475"/>
      <c r="J23" s="475"/>
      <c r="K23" s="475"/>
      <c r="L23" s="475"/>
      <c r="M23" s="316"/>
    </row>
    <row r="24" spans="2:13" ht="15" customHeight="1" x14ac:dyDescent="0.25">
      <c r="B24" s="441"/>
      <c r="C24" s="83" t="s">
        <v>161</v>
      </c>
      <c r="D24" s="536"/>
      <c r="E24" s="451"/>
      <c r="F24" s="472"/>
      <c r="G24" s="472"/>
      <c r="H24" s="230"/>
      <c r="I24" s="475"/>
      <c r="J24" s="475"/>
      <c r="K24" s="475"/>
      <c r="L24" s="475"/>
      <c r="M24" s="316"/>
    </row>
    <row r="25" spans="2:13" ht="15" customHeight="1" x14ac:dyDescent="0.25">
      <c r="B25" s="441"/>
      <c r="C25" s="156" t="s">
        <v>162</v>
      </c>
      <c r="D25" s="536"/>
      <c r="E25" s="451"/>
      <c r="F25" s="472"/>
      <c r="G25" s="472"/>
      <c r="H25" s="230"/>
      <c r="I25" s="475"/>
      <c r="J25" s="475"/>
      <c r="K25" s="475"/>
      <c r="L25" s="475"/>
      <c r="M25" s="316"/>
    </row>
    <row r="26" spans="2:13" ht="15" customHeight="1" x14ac:dyDescent="0.25">
      <c r="B26" s="441"/>
      <c r="C26" s="156" t="s">
        <v>163</v>
      </c>
      <c r="D26" s="536"/>
      <c r="E26" s="451"/>
      <c r="F26" s="472"/>
      <c r="G26" s="472"/>
      <c r="H26" s="230"/>
      <c r="I26" s="475"/>
      <c r="J26" s="475"/>
      <c r="K26" s="475"/>
      <c r="L26" s="475"/>
      <c r="M26" s="316"/>
    </row>
    <row r="27" spans="2:13" ht="15" customHeight="1" x14ac:dyDescent="0.25">
      <c r="B27" s="441"/>
      <c r="C27" s="200" t="s">
        <v>164</v>
      </c>
      <c r="D27" s="536"/>
      <c r="E27" s="451"/>
      <c r="F27" s="472"/>
      <c r="G27" s="472"/>
      <c r="H27" s="230"/>
      <c r="I27" s="475"/>
      <c r="J27" s="475"/>
      <c r="K27" s="475"/>
      <c r="L27" s="475"/>
      <c r="M27" s="316"/>
    </row>
    <row r="28" spans="2:13" ht="15" customHeight="1" x14ac:dyDescent="0.25">
      <c r="B28" s="441"/>
      <c r="C28" s="200" t="s">
        <v>165</v>
      </c>
      <c r="D28" s="536"/>
      <c r="E28" s="451"/>
      <c r="F28" s="472"/>
      <c r="G28" s="472"/>
      <c r="H28" s="230"/>
      <c r="I28" s="475"/>
      <c r="J28" s="475"/>
      <c r="K28" s="475"/>
      <c r="L28" s="475"/>
      <c r="M28" s="316"/>
    </row>
    <row r="29" spans="2:13" ht="15" customHeight="1" x14ac:dyDescent="0.25">
      <c r="B29" s="441"/>
      <c r="C29" s="81" t="s">
        <v>166</v>
      </c>
      <c r="D29" s="536"/>
      <c r="E29" s="451"/>
      <c r="F29" s="472"/>
      <c r="G29" s="472"/>
      <c r="H29" s="230"/>
      <c r="I29" s="475"/>
      <c r="J29" s="475"/>
      <c r="K29" s="475"/>
      <c r="L29" s="475"/>
      <c r="M29" s="316"/>
    </row>
    <row r="30" spans="2:13" ht="15" customHeight="1" x14ac:dyDescent="0.25">
      <c r="B30" s="441"/>
      <c r="C30" s="200" t="s">
        <v>167</v>
      </c>
      <c r="D30" s="536"/>
      <c r="E30" s="451"/>
      <c r="F30" s="472"/>
      <c r="G30" s="472"/>
      <c r="H30" s="230"/>
      <c r="I30" s="475"/>
      <c r="J30" s="475"/>
      <c r="K30" s="475"/>
      <c r="L30" s="475"/>
      <c r="M30" s="316"/>
    </row>
    <row r="31" spans="2:13" ht="15" customHeight="1" x14ac:dyDescent="0.25">
      <c r="B31" s="441"/>
      <c r="C31" s="60" t="s">
        <v>168</v>
      </c>
      <c r="D31" s="536"/>
      <c r="E31" s="451"/>
      <c r="F31" s="472"/>
      <c r="G31" s="472"/>
      <c r="H31" s="230"/>
      <c r="I31" s="475"/>
      <c r="J31" s="475"/>
      <c r="K31" s="475"/>
      <c r="L31" s="475"/>
      <c r="M31" s="316"/>
    </row>
    <row r="32" spans="2:13" ht="15" customHeight="1" x14ac:dyDescent="0.25">
      <c r="B32" s="441"/>
      <c r="C32" s="200" t="s">
        <v>175</v>
      </c>
      <c r="D32" s="536"/>
      <c r="E32" s="451"/>
      <c r="F32" s="472"/>
      <c r="G32" s="472"/>
      <c r="H32" s="230"/>
      <c r="I32" s="475"/>
      <c r="J32" s="475"/>
      <c r="K32" s="475"/>
      <c r="L32" s="475"/>
      <c r="M32" s="316"/>
    </row>
    <row r="33" spans="2:13" ht="15" customHeight="1" x14ac:dyDescent="0.25">
      <c r="B33" s="441"/>
      <c r="C33" s="60" t="s">
        <v>176</v>
      </c>
      <c r="D33" s="536"/>
      <c r="E33" s="451"/>
      <c r="F33" s="472"/>
      <c r="G33" s="472"/>
      <c r="H33" s="230"/>
      <c r="I33" s="475"/>
      <c r="J33" s="475"/>
      <c r="K33" s="475"/>
      <c r="L33" s="475"/>
      <c r="M33" s="316"/>
    </row>
    <row r="34" spans="2:13" ht="15" customHeight="1" x14ac:dyDescent="0.25">
      <c r="B34" s="441"/>
      <c r="C34" s="156" t="s">
        <v>177</v>
      </c>
      <c r="D34" s="536"/>
      <c r="E34" s="451"/>
      <c r="F34" s="472"/>
      <c r="G34" s="472"/>
      <c r="H34" s="230"/>
      <c r="I34" s="475"/>
      <c r="J34" s="475"/>
      <c r="K34" s="475"/>
      <c r="L34" s="475"/>
      <c r="M34" s="316"/>
    </row>
    <row r="35" spans="2:13" ht="15" customHeight="1" x14ac:dyDescent="0.25">
      <c r="B35" s="441"/>
      <c r="C35" s="200" t="s">
        <v>178</v>
      </c>
      <c r="D35" s="536"/>
      <c r="E35" s="451"/>
      <c r="F35" s="472"/>
      <c r="G35" s="472"/>
      <c r="H35" s="230"/>
      <c r="I35" s="475"/>
      <c r="J35" s="475"/>
      <c r="K35" s="475"/>
      <c r="L35" s="475"/>
      <c r="M35" s="316"/>
    </row>
    <row r="36" spans="2:13" ht="15" customHeight="1" thickBot="1" x14ac:dyDescent="0.3">
      <c r="B36" s="442"/>
      <c r="C36" s="76" t="s">
        <v>179</v>
      </c>
      <c r="D36" s="536"/>
      <c r="E36" s="451"/>
      <c r="F36" s="472"/>
      <c r="G36" s="472"/>
      <c r="H36" s="230"/>
      <c r="I36" s="475"/>
      <c r="J36" s="475"/>
      <c r="K36" s="475"/>
      <c r="L36" s="475"/>
      <c r="M36" s="316"/>
    </row>
    <row r="37" spans="2:13" ht="27" customHeight="1" x14ac:dyDescent="0.25">
      <c r="B37" s="516" t="s">
        <v>94</v>
      </c>
      <c r="C37" s="517"/>
      <c r="D37" s="517"/>
      <c r="E37" s="537"/>
      <c r="F37" s="538"/>
      <c r="G37" s="538"/>
      <c r="H37" s="538"/>
      <c r="I37" s="538"/>
      <c r="J37" s="538"/>
      <c r="K37" s="538"/>
      <c r="L37" s="538"/>
      <c r="M37" s="539"/>
    </row>
    <row r="38" spans="2:13" x14ac:dyDescent="0.25">
      <c r="B38" s="36"/>
      <c r="C38" s="28"/>
      <c r="D38" s="28"/>
      <c r="E38" s="28"/>
      <c r="F38" s="28"/>
      <c r="G38" s="28"/>
      <c r="H38" s="28"/>
      <c r="I38" s="28"/>
      <c r="J38" s="28"/>
      <c r="K38" s="28"/>
      <c r="L38" s="28"/>
      <c r="M38" s="29"/>
    </row>
    <row r="39" spans="2:13" ht="13.5" thickBot="1" x14ac:dyDescent="0.3">
      <c r="B39" s="390" t="s">
        <v>9</v>
      </c>
      <c r="C39" s="391"/>
      <c r="D39" s="391"/>
      <c r="E39" s="391"/>
      <c r="F39" s="391"/>
      <c r="G39" s="391"/>
      <c r="H39" s="391"/>
      <c r="I39" s="391"/>
      <c r="J39" s="391"/>
      <c r="K39" s="391"/>
      <c r="L39" s="391"/>
      <c r="M39" s="392"/>
    </row>
  </sheetData>
  <sheetProtection password="C288" sheet="1"/>
  <mergeCells count="85">
    <mergeCell ref="D36:E36"/>
    <mergeCell ref="F36:G36"/>
    <mergeCell ref="I36:L36"/>
    <mergeCell ref="E37:M37"/>
    <mergeCell ref="B39:M39"/>
    <mergeCell ref="D34:E34"/>
    <mergeCell ref="F34:G34"/>
    <mergeCell ref="I34:L34"/>
    <mergeCell ref="D35:E35"/>
    <mergeCell ref="F35:G35"/>
    <mergeCell ref="I35:L35"/>
    <mergeCell ref="D32:E32"/>
    <mergeCell ref="F32:G32"/>
    <mergeCell ref="I32:L32"/>
    <mergeCell ref="D33:E33"/>
    <mergeCell ref="F33:G33"/>
    <mergeCell ref="I33:L33"/>
    <mergeCell ref="D30:E30"/>
    <mergeCell ref="F30:G30"/>
    <mergeCell ref="I30:L30"/>
    <mergeCell ref="D31:E31"/>
    <mergeCell ref="F31:G31"/>
    <mergeCell ref="I31:L31"/>
    <mergeCell ref="D28:E28"/>
    <mergeCell ref="F28:G28"/>
    <mergeCell ref="I28:L28"/>
    <mergeCell ref="D29:E29"/>
    <mergeCell ref="F29:G29"/>
    <mergeCell ref="I29:L29"/>
    <mergeCell ref="D26:E26"/>
    <mergeCell ref="F26:G26"/>
    <mergeCell ref="I26:L26"/>
    <mergeCell ref="D27:E27"/>
    <mergeCell ref="F27:G27"/>
    <mergeCell ref="I27:L27"/>
    <mergeCell ref="D24:E24"/>
    <mergeCell ref="F24:G24"/>
    <mergeCell ref="I24:L24"/>
    <mergeCell ref="D25:E25"/>
    <mergeCell ref="F25:G25"/>
    <mergeCell ref="I25:L25"/>
    <mergeCell ref="F22:G22"/>
    <mergeCell ref="D22:E22"/>
    <mergeCell ref="I22:L22"/>
    <mergeCell ref="D23:E23"/>
    <mergeCell ref="F23:G23"/>
    <mergeCell ref="I23:L23"/>
    <mergeCell ref="C18:M18"/>
    <mergeCell ref="C19:J19"/>
    <mergeCell ref="L19:M19"/>
    <mergeCell ref="C20:M20"/>
    <mergeCell ref="C21:E21"/>
    <mergeCell ref="F21:G21"/>
    <mergeCell ref="I21:L21"/>
    <mergeCell ref="I9:L9"/>
    <mergeCell ref="I10:L10"/>
    <mergeCell ref="I11:L11"/>
    <mergeCell ref="I17:L17"/>
    <mergeCell ref="D12:E12"/>
    <mergeCell ref="D13:E13"/>
    <mergeCell ref="D14:E14"/>
    <mergeCell ref="D15:E15"/>
    <mergeCell ref="D16:E16"/>
    <mergeCell ref="D17:E17"/>
    <mergeCell ref="I12:L12"/>
    <mergeCell ref="I13:L13"/>
    <mergeCell ref="I14:L14"/>
    <mergeCell ref="I15:L15"/>
    <mergeCell ref="I16:L16"/>
    <mergeCell ref="B2:D2"/>
    <mergeCell ref="F2:L2"/>
    <mergeCell ref="B4:B17"/>
    <mergeCell ref="B18:B36"/>
    <mergeCell ref="B37:D37"/>
    <mergeCell ref="C4:M4"/>
    <mergeCell ref="C5:J5"/>
    <mergeCell ref="L5:M5"/>
    <mergeCell ref="C6:M6"/>
    <mergeCell ref="C7:E7"/>
    <mergeCell ref="I7:L7"/>
    <mergeCell ref="D8:E8"/>
    <mergeCell ref="D9:E9"/>
    <mergeCell ref="D10:E10"/>
    <mergeCell ref="D11:E11"/>
    <mergeCell ref="I8:L8"/>
  </mergeCells>
  <dataValidations count="6">
    <dataValidation type="list" allowBlank="1" showInputMessage="1" showErrorMessage="1" sqref="K5 K19">
      <formula1>number</formula1>
    </dataValidation>
    <dataValidation type="list" allowBlank="1" showInputMessage="1" showErrorMessage="1" sqref="F8:F17">
      <formula1>MAD</formula1>
    </dataValidation>
    <dataValidation type="list" allowBlank="1" showInputMessage="1" showErrorMessage="1" sqref="G8:G17 F22:G36">
      <formula1>Country</formula1>
    </dataValidation>
    <dataValidation type="whole" allowBlank="1" showInputMessage="1" showErrorMessage="1" sqref="H8:H17 H22:H36">
      <formula1>1800</formula1>
      <formula2>2100</formula2>
    </dataValidation>
    <dataValidation type="list" allowBlank="1" showInputMessage="1" showErrorMessage="1" sqref="I8:L17">
      <formula1>Objectives</formula1>
    </dataValidation>
    <dataValidation type="list" allowBlank="1" showInputMessage="1" showErrorMessage="1" sqref="I22:L36">
      <formula1>JVReason</formula1>
    </dataValidation>
  </dataValidations>
  <hyperlinks>
    <hyperlink ref="B2:D2" location="'1b'!A1" display="Previous Page"/>
    <hyperlink ref="M2" location="'3a'!A1" display="Next Page"/>
    <hyperlink ref="F2:L2" location="'Table of Contents'!A1" display="Table of Contents"/>
  </hyperlinks>
  <printOptions horizontalCentered="1"/>
  <pageMargins left="0.25" right="0.25" top="0.75" bottom="0.75" header="0.3" footer="0.3"/>
  <pageSetup scale="74" orientation="landscape"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32"/>
  <sheetViews>
    <sheetView showGridLines="0" showRowColHeaders="0" workbookViewId="0"/>
  </sheetViews>
  <sheetFormatPr defaultRowHeight="12.75" x14ac:dyDescent="0.25"/>
  <cols>
    <col min="1" max="1" width="9.140625" style="19"/>
    <col min="2" max="2" width="6.7109375" style="19" customWidth="1"/>
    <col min="3" max="3" width="21.42578125" style="19" customWidth="1"/>
    <col min="4" max="9" width="17.140625" style="19" customWidth="1"/>
    <col min="10" max="16384" width="9.140625" style="19"/>
  </cols>
  <sheetData>
    <row r="1" spans="2:9" ht="13.5" thickBot="1" x14ac:dyDescent="0.3"/>
    <row r="2" spans="2:9" ht="15" customHeight="1" x14ac:dyDescent="0.25">
      <c r="B2" s="493" t="s">
        <v>10</v>
      </c>
      <c r="C2" s="494"/>
      <c r="D2" s="405" t="s">
        <v>11</v>
      </c>
      <c r="E2" s="405"/>
      <c r="F2" s="405"/>
      <c r="G2" s="405"/>
      <c r="H2" s="21"/>
      <c r="I2" s="26" t="s">
        <v>0</v>
      </c>
    </row>
    <row r="3" spans="2:9" ht="13.5" thickBot="1" x14ac:dyDescent="0.3">
      <c r="B3" s="44" t="s">
        <v>180</v>
      </c>
      <c r="C3" s="84"/>
      <c r="D3" s="84"/>
      <c r="E3" s="84"/>
      <c r="F3" s="84"/>
      <c r="G3" s="84"/>
      <c r="H3" s="84"/>
      <c r="I3" s="85"/>
    </row>
    <row r="4" spans="2:9" ht="110.25" customHeight="1" x14ac:dyDescent="0.25">
      <c r="B4" s="540" t="s">
        <v>181</v>
      </c>
      <c r="C4" s="496"/>
      <c r="D4" s="496"/>
      <c r="E4" s="496"/>
      <c r="F4" s="496"/>
      <c r="G4" s="496"/>
      <c r="H4" s="496"/>
      <c r="I4" s="497"/>
    </row>
    <row r="5" spans="2:9" ht="15" customHeight="1" x14ac:dyDescent="0.25">
      <c r="B5" s="86" t="s">
        <v>182</v>
      </c>
      <c r="C5" s="541" t="s">
        <v>183</v>
      </c>
      <c r="D5" s="541"/>
      <c r="E5" s="541"/>
      <c r="F5" s="541"/>
      <c r="G5" s="541"/>
      <c r="H5" s="541"/>
      <c r="I5" s="87" t="s">
        <v>184</v>
      </c>
    </row>
    <row r="6" spans="2:9" ht="15" customHeight="1" x14ac:dyDescent="0.25">
      <c r="B6" s="38" t="s">
        <v>185</v>
      </c>
      <c r="C6" s="542" t="s">
        <v>186</v>
      </c>
      <c r="D6" s="542"/>
      <c r="E6" s="542"/>
      <c r="F6" s="542"/>
      <c r="G6" s="542"/>
      <c r="H6" s="543"/>
      <c r="I6" s="325"/>
    </row>
    <row r="7" spans="2:9" ht="15" customHeight="1" x14ac:dyDescent="0.25">
      <c r="B7" s="38" t="s">
        <v>187</v>
      </c>
      <c r="C7" s="542" t="s">
        <v>188</v>
      </c>
      <c r="D7" s="542"/>
      <c r="E7" s="542"/>
      <c r="F7" s="542"/>
      <c r="G7" s="542"/>
      <c r="H7" s="543"/>
      <c r="I7" s="325"/>
    </row>
    <row r="8" spans="2:9" ht="15" customHeight="1" x14ac:dyDescent="0.25">
      <c r="B8" s="38" t="s">
        <v>189</v>
      </c>
      <c r="C8" s="542" t="s">
        <v>190</v>
      </c>
      <c r="D8" s="542"/>
      <c r="E8" s="542"/>
      <c r="F8" s="542"/>
      <c r="G8" s="542"/>
      <c r="H8" s="543"/>
      <c r="I8" s="325"/>
    </row>
    <row r="9" spans="2:9" ht="15" customHeight="1" x14ac:dyDescent="0.25">
      <c r="B9" s="38" t="s">
        <v>191</v>
      </c>
      <c r="C9" s="542" t="s">
        <v>192</v>
      </c>
      <c r="D9" s="542"/>
      <c r="E9" s="542"/>
      <c r="F9" s="542"/>
      <c r="G9" s="542"/>
      <c r="H9" s="543"/>
      <c r="I9" s="325"/>
    </row>
    <row r="10" spans="2:9" ht="15" customHeight="1" x14ac:dyDescent="0.25">
      <c r="B10" s="38" t="s">
        <v>193</v>
      </c>
      <c r="C10" s="542" t="s">
        <v>194</v>
      </c>
      <c r="D10" s="542"/>
      <c r="E10" s="542"/>
      <c r="F10" s="542"/>
      <c r="G10" s="542"/>
      <c r="H10" s="543"/>
      <c r="I10" s="325"/>
    </row>
    <row r="11" spans="2:9" ht="15" customHeight="1" x14ac:dyDescent="0.25">
      <c r="B11" s="38" t="s">
        <v>195</v>
      </c>
      <c r="C11" s="542" t="s">
        <v>196</v>
      </c>
      <c r="D11" s="542"/>
      <c r="E11" s="542"/>
      <c r="F11" s="542"/>
      <c r="G11" s="542"/>
      <c r="H11" s="543"/>
      <c r="I11" s="325"/>
    </row>
    <row r="12" spans="2:9" ht="15" customHeight="1" x14ac:dyDescent="0.25">
      <c r="B12" s="38" t="s">
        <v>197</v>
      </c>
      <c r="C12" s="542" t="s">
        <v>198</v>
      </c>
      <c r="D12" s="542"/>
      <c r="E12" s="542"/>
      <c r="F12" s="542"/>
      <c r="G12" s="542"/>
      <c r="H12" s="543"/>
      <c r="I12" s="325"/>
    </row>
    <row r="13" spans="2:9" ht="15" customHeight="1" x14ac:dyDescent="0.25">
      <c r="B13" s="38" t="s">
        <v>199</v>
      </c>
      <c r="C13" s="542" t="s">
        <v>200</v>
      </c>
      <c r="D13" s="542"/>
      <c r="E13" s="542"/>
      <c r="F13" s="542"/>
      <c r="G13" s="542"/>
      <c r="H13" s="543"/>
      <c r="I13" s="325"/>
    </row>
    <row r="14" spans="2:9" ht="15" customHeight="1" x14ac:dyDescent="0.25">
      <c r="B14" s="38" t="s">
        <v>13</v>
      </c>
      <c r="C14" s="542" t="s">
        <v>201</v>
      </c>
      <c r="D14" s="542"/>
      <c r="E14" s="542"/>
      <c r="F14" s="542"/>
      <c r="G14" s="542"/>
      <c r="H14" s="543"/>
      <c r="I14" s="325"/>
    </row>
    <row r="15" spans="2:9" ht="15" customHeight="1" x14ac:dyDescent="0.25">
      <c r="B15" s="38" t="s">
        <v>202</v>
      </c>
      <c r="C15" s="542" t="s">
        <v>203</v>
      </c>
      <c r="D15" s="542"/>
      <c r="E15" s="542"/>
      <c r="F15" s="542"/>
      <c r="G15" s="542"/>
      <c r="H15" s="543"/>
      <c r="I15" s="325"/>
    </row>
    <row r="16" spans="2:9" ht="15" customHeight="1" x14ac:dyDescent="0.25">
      <c r="B16" s="38" t="s">
        <v>204</v>
      </c>
      <c r="C16" s="542" t="s">
        <v>205</v>
      </c>
      <c r="D16" s="542"/>
      <c r="E16" s="542"/>
      <c r="F16" s="542"/>
      <c r="G16" s="542"/>
      <c r="H16" s="543"/>
      <c r="I16" s="325"/>
    </row>
    <row r="17" spans="2:9" ht="15" customHeight="1" x14ac:dyDescent="0.25">
      <c r="B17" s="38" t="s">
        <v>206</v>
      </c>
      <c r="C17" s="542" t="s">
        <v>207</v>
      </c>
      <c r="D17" s="542"/>
      <c r="E17" s="542"/>
      <c r="F17" s="542"/>
      <c r="G17" s="542"/>
      <c r="H17" s="543"/>
      <c r="I17" s="325"/>
    </row>
    <row r="18" spans="2:9" ht="15" customHeight="1" x14ac:dyDescent="0.25">
      <c r="B18" s="38" t="s">
        <v>208</v>
      </c>
      <c r="C18" s="542" t="s">
        <v>209</v>
      </c>
      <c r="D18" s="542"/>
      <c r="E18" s="542"/>
      <c r="F18" s="542"/>
      <c r="G18" s="542"/>
      <c r="H18" s="543"/>
      <c r="I18" s="325"/>
    </row>
    <row r="19" spans="2:9" ht="15" customHeight="1" x14ac:dyDescent="0.25">
      <c r="B19" s="38" t="s">
        <v>210</v>
      </c>
      <c r="C19" s="542" t="s">
        <v>211</v>
      </c>
      <c r="D19" s="542"/>
      <c r="E19" s="542"/>
      <c r="F19" s="542"/>
      <c r="G19" s="542"/>
      <c r="H19" s="543"/>
      <c r="I19" s="325"/>
    </row>
    <row r="20" spans="2:9" ht="15" customHeight="1" x14ac:dyDescent="0.25">
      <c r="B20" s="38" t="s">
        <v>212</v>
      </c>
      <c r="C20" s="542" t="s">
        <v>213</v>
      </c>
      <c r="D20" s="542"/>
      <c r="E20" s="542"/>
      <c r="F20" s="542"/>
      <c r="G20" s="542"/>
      <c r="H20" s="543"/>
      <c r="I20" s="325"/>
    </row>
    <row r="21" spans="2:9" ht="15" customHeight="1" x14ac:dyDescent="0.25">
      <c r="B21" s="38" t="s">
        <v>214</v>
      </c>
      <c r="C21" s="542" t="s">
        <v>215</v>
      </c>
      <c r="D21" s="542"/>
      <c r="E21" s="542"/>
      <c r="F21" s="542"/>
      <c r="G21" s="542"/>
      <c r="H21" s="543"/>
      <c r="I21" s="325"/>
    </row>
    <row r="22" spans="2:9" ht="15" customHeight="1" x14ac:dyDescent="0.25">
      <c r="B22" s="38" t="s">
        <v>216</v>
      </c>
      <c r="C22" s="542" t="s">
        <v>217</v>
      </c>
      <c r="D22" s="542"/>
      <c r="E22" s="542"/>
      <c r="F22" s="542"/>
      <c r="G22" s="542"/>
      <c r="H22" s="543"/>
      <c r="I22" s="325"/>
    </row>
    <row r="23" spans="2:9" ht="15" customHeight="1" x14ac:dyDescent="0.25">
      <c r="B23" s="38" t="s">
        <v>218</v>
      </c>
      <c r="C23" s="542" t="s">
        <v>219</v>
      </c>
      <c r="D23" s="542"/>
      <c r="E23" s="542"/>
      <c r="F23" s="542"/>
      <c r="G23" s="542"/>
      <c r="H23" s="543"/>
      <c r="I23" s="325"/>
    </row>
    <row r="24" spans="2:9" ht="15" customHeight="1" x14ac:dyDescent="0.25">
      <c r="B24" s="38" t="s">
        <v>220</v>
      </c>
      <c r="C24" s="542" t="s">
        <v>221</v>
      </c>
      <c r="D24" s="542"/>
      <c r="E24" s="542"/>
      <c r="F24" s="542"/>
      <c r="G24" s="542"/>
      <c r="H24" s="543"/>
      <c r="I24" s="325"/>
    </row>
    <row r="25" spans="2:9" ht="15" customHeight="1" x14ac:dyDescent="0.25">
      <c r="B25" s="38" t="s">
        <v>222</v>
      </c>
      <c r="C25" s="542" t="s">
        <v>223</v>
      </c>
      <c r="D25" s="542"/>
      <c r="E25" s="542"/>
      <c r="F25" s="542"/>
      <c r="G25" s="542"/>
      <c r="H25" s="543"/>
      <c r="I25" s="325"/>
    </row>
    <row r="26" spans="2:9" ht="15" customHeight="1" x14ac:dyDescent="0.25">
      <c r="B26" s="38" t="s">
        <v>224</v>
      </c>
      <c r="C26" s="542" t="s">
        <v>225</v>
      </c>
      <c r="D26" s="542"/>
      <c r="E26" s="542"/>
      <c r="F26" s="542"/>
      <c r="G26" s="542"/>
      <c r="H26" s="543"/>
      <c r="I26" s="325"/>
    </row>
    <row r="27" spans="2:9" ht="15" customHeight="1" x14ac:dyDescent="0.25">
      <c r="B27" s="38" t="s">
        <v>226</v>
      </c>
      <c r="C27" s="542" t="s">
        <v>227</v>
      </c>
      <c r="D27" s="542"/>
      <c r="E27" s="542"/>
      <c r="F27" s="542"/>
      <c r="G27" s="542"/>
      <c r="H27" s="543"/>
      <c r="I27" s="325"/>
    </row>
    <row r="28" spans="2:9" ht="15" customHeight="1" x14ac:dyDescent="0.25">
      <c r="B28" s="38" t="s">
        <v>228</v>
      </c>
      <c r="C28" s="542" t="s">
        <v>229</v>
      </c>
      <c r="D28" s="542"/>
      <c r="E28" s="542"/>
      <c r="F28" s="542"/>
      <c r="G28" s="542"/>
      <c r="H28" s="543"/>
      <c r="I28" s="325"/>
    </row>
    <row r="29" spans="2:9" ht="15" customHeight="1" x14ac:dyDescent="0.25">
      <c r="B29" s="38" t="s">
        <v>230</v>
      </c>
      <c r="C29" s="542" t="s">
        <v>231</v>
      </c>
      <c r="D29" s="542"/>
      <c r="E29" s="542"/>
      <c r="F29" s="542"/>
      <c r="G29" s="542"/>
      <c r="H29" s="543"/>
      <c r="I29" s="325"/>
    </row>
    <row r="30" spans="2:9" ht="15" customHeight="1" thickBot="1" x14ac:dyDescent="0.3">
      <c r="B30" s="39" t="s">
        <v>232</v>
      </c>
      <c r="C30" s="544" t="s">
        <v>233</v>
      </c>
      <c r="D30" s="544"/>
      <c r="E30" s="544"/>
      <c r="F30" s="544"/>
      <c r="G30" s="544"/>
      <c r="H30" s="545"/>
      <c r="I30" s="326"/>
    </row>
    <row r="31" spans="2:9" x14ac:dyDescent="0.25">
      <c r="B31" s="20"/>
      <c r="C31" s="21"/>
      <c r="D31" s="21"/>
      <c r="E31" s="21"/>
      <c r="F31" s="21"/>
      <c r="G31" s="21"/>
      <c r="H31" s="21"/>
      <c r="I31" s="22"/>
    </row>
    <row r="32" spans="2:9" ht="13.5" thickBot="1" x14ac:dyDescent="0.3">
      <c r="B32" s="390" t="s">
        <v>9</v>
      </c>
      <c r="C32" s="391"/>
      <c r="D32" s="391"/>
      <c r="E32" s="391"/>
      <c r="F32" s="391"/>
      <c r="G32" s="391"/>
      <c r="H32" s="391"/>
      <c r="I32" s="392"/>
    </row>
  </sheetData>
  <sheetProtection password="C288" sheet="1"/>
  <mergeCells count="30">
    <mergeCell ref="B32:I32"/>
    <mergeCell ref="C20:H20"/>
    <mergeCell ref="C21:H21"/>
    <mergeCell ref="C22:H22"/>
    <mergeCell ref="C23:H23"/>
    <mergeCell ref="C24:H24"/>
    <mergeCell ref="C25:H25"/>
    <mergeCell ref="C26:H26"/>
    <mergeCell ref="C27:H27"/>
    <mergeCell ref="C28:H28"/>
    <mergeCell ref="C29:H29"/>
    <mergeCell ref="C30:H30"/>
    <mergeCell ref="C19:H19"/>
    <mergeCell ref="C8:H8"/>
    <mergeCell ref="C9:H9"/>
    <mergeCell ref="C10:H10"/>
    <mergeCell ref="C11:H11"/>
    <mergeCell ref="C12:H12"/>
    <mergeCell ref="C13:H13"/>
    <mergeCell ref="C14:H14"/>
    <mergeCell ref="C15:H15"/>
    <mergeCell ref="C16:H16"/>
    <mergeCell ref="C17:H17"/>
    <mergeCell ref="C18:H18"/>
    <mergeCell ref="B2:C2"/>
    <mergeCell ref="B4:I4"/>
    <mergeCell ref="C5:H5"/>
    <mergeCell ref="C6:H6"/>
    <mergeCell ref="C7:H7"/>
    <mergeCell ref="D2:G2"/>
  </mergeCells>
  <dataValidations count="1">
    <dataValidation type="list" allowBlank="1" showInputMessage="1" showErrorMessage="1" sqref="I6:I30">
      <formula1>YesNo</formula1>
    </dataValidation>
  </dataValidations>
  <hyperlinks>
    <hyperlink ref="I2" location="'3b'!A1" display="Next Page"/>
    <hyperlink ref="B2:C2" location="'2'!A1" display="Previous Page"/>
    <hyperlink ref="D2:F2" location="'Table of Contents'!A1" display="Table of Contents"/>
    <hyperlink ref="C6:H6" location="'3b'!B8" display="Raw Materials (Ores, Alloys, Chemicals, etc.)"/>
    <hyperlink ref="C7:H7" location="'3b'!B16" display="Electronics (Circuits, Processors, Diodes, etc.)"/>
    <hyperlink ref="C8:H8" location="'3b'!B35" display="Manufacturing Equipment and Processes (Machinery, Lathes, etc.)"/>
    <hyperlink ref="C9:H9" location="'3c'!B8" display="Lasers"/>
    <hyperlink ref="C10:H10" location="'3b'!B21" display="Directed Energy"/>
    <hyperlink ref="C11:H11" location="'3b'!B27" display="Optics (Optics, Coatings, Lenses, etc.)"/>
    <hyperlink ref="C12:H12" location="'3c'!B36" display="Acoustic Sensors (Sonar, other acoustic sensors, etc.)"/>
    <hyperlink ref="C13:H13" location="'3c'!B43" display="Positioning, Navigation, and Timing (Gyroscopes, Accelerometers, GPS, etc.)"/>
    <hyperlink ref="C14:H14" location="'3c'!B51" display="Radars"/>
    <hyperlink ref="C15:H15" location="'3c'!B9" display="Signature Control (Materials, Chemicals, and Processes for Signature Control)"/>
    <hyperlink ref="C16:H16" location="'3d'!B8" display="Aeronautic Systems (Aircraft, Airframes, Structural Components, etc.)"/>
    <hyperlink ref="C17:H17" location="'3d'!B16" display="Space Systems (Launch Vehicles, Satellites, Rocket Motors, Survivability Systems, etc.)"/>
    <hyperlink ref="C18:H18" location="'3d'!B24" display="Marine Systems (Ships, Landing Vessels, Submarines, etc.)"/>
    <hyperlink ref="C19:H19" location="'3d'!B31" display="Ground Vehicle Systems (Vehicles, Tanks, Unmanned Ground Systems, etc.)"/>
    <hyperlink ref="C20:H20" location="'3d'!B40" display="Armaments, Explosives, and Survivability (Munitions, Armor, Missiles, Launchers, etc.)"/>
    <hyperlink ref="C21:H21" location="'3e'!B8" display="Energy Systems &amp; Energetics (Engines, Catapults, Batteries, Propellants, etc.)"/>
    <hyperlink ref="C22:H22" location="'3e'!B19" display="Nuclear (Reactors, Design, Protection, Detection, Storage, etc.)"/>
    <hyperlink ref="C23:H23" location="'3e'!B29" display="Biological (Biological research, Biological Agent Detection/Destruction/Readiness, etc.)"/>
    <hyperlink ref="C24:H24" location="'3e'!B38" display="Chemical (Chemical research, Chemical Agent Detection/Destruction/Readiness, etc.)"/>
    <hyperlink ref="C25:H25" location="'3e'!B45" display="Emerging Technology (Nanotechnology, Synthetic Biology, Quantum Systems, Cognitive Neuroscience, etc.)"/>
    <hyperlink ref="C26:H26" location="'3e'!B54" display="Agricultural (Agricultural Machinery and Technology)"/>
    <hyperlink ref="C27:H27" location="'3e'!B62" display="Medical (MRI machinery, X-Radiation Machinery, Disease Research, Medicinal Distribution Technology, etc.)"/>
    <hyperlink ref="C28:H28" location="'3f'!B8" display="Command, Control, Communication, and Computer (C4)"/>
    <hyperlink ref="C29:H29" location="'3f'!B20" display="Software"/>
    <hyperlink ref="C30:H30" location="'3f'!B35" display="Services and Other Products (Services and products not included above)"/>
  </hyperlinks>
  <printOptions horizontalCentered="1"/>
  <pageMargins left="0.25" right="0.25" top="0.75" bottom="0.75" header="0.3" footer="0.3"/>
  <pageSetup scale="94" orientation="landscape"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63</vt:i4>
      </vt:variant>
      <vt:variant>
        <vt:lpstr>Named Ranges</vt:lpstr>
      </vt:variant>
      <vt:variant>
        <vt:i4>1272</vt:i4>
      </vt:variant>
    </vt:vector>
  </HeadingPairs>
  <TitlesOfParts>
    <vt:vector size="1335" baseType="lpstr">
      <vt:lpstr>Cover Page</vt:lpstr>
      <vt:lpstr>Table of Contents</vt:lpstr>
      <vt:lpstr>General Instructions</vt:lpstr>
      <vt:lpstr>Definitions</vt:lpstr>
      <vt:lpstr>Reporting Level</vt:lpstr>
      <vt:lpstr>1a</vt:lpstr>
      <vt:lpstr>1b</vt:lpstr>
      <vt:lpstr>2</vt:lpstr>
      <vt:lpstr>3a</vt:lpstr>
      <vt:lpstr>3b</vt:lpstr>
      <vt:lpstr>3c</vt:lpstr>
      <vt:lpstr>3d</vt:lpstr>
      <vt:lpstr>3e</vt:lpstr>
      <vt:lpstr>3f</vt:lpstr>
      <vt:lpstr>3g</vt:lpstr>
      <vt:lpstr>4a</vt:lpstr>
      <vt:lpstr>4b</vt:lpstr>
      <vt:lpstr>5</vt:lpstr>
      <vt:lpstr>6</vt:lpstr>
      <vt:lpstr>7</vt:lpstr>
      <vt:lpstr>8</vt:lpstr>
      <vt:lpstr>9a</vt:lpstr>
      <vt:lpstr>9b</vt:lpstr>
      <vt:lpstr>10</vt:lpstr>
      <vt:lpstr>11</vt:lpstr>
      <vt:lpstr>12</vt:lpstr>
      <vt:lpstr>13</vt:lpstr>
      <vt:lpstr>14</vt:lpstr>
      <vt:lpstr>PSL for Lists</vt:lpstr>
      <vt:lpstr>Lists</vt:lpstr>
      <vt:lpstr>D-RepLevel</vt:lpstr>
      <vt:lpstr>D-1</vt:lpstr>
      <vt:lpstr>D-2 (Pivot)</vt:lpstr>
      <vt:lpstr>D-3</vt:lpstr>
      <vt:lpstr>D-3b (Pivot)</vt:lpstr>
      <vt:lpstr>D-3c (Pivot)</vt:lpstr>
      <vt:lpstr>D-3d (Pivot)</vt:lpstr>
      <vt:lpstr>D-3e (Pivot)</vt:lpstr>
      <vt:lpstr>D-3f (Pivot)</vt:lpstr>
      <vt:lpstr>D-3bf Consolidated (Pivot)</vt:lpstr>
      <vt:lpstr>D-4a</vt:lpstr>
      <vt:lpstr>D-4b-1 (Pivot)</vt:lpstr>
      <vt:lpstr>D-4b-2 (Pivot)</vt:lpstr>
      <vt:lpstr>D-4b-3 (Pivot)</vt:lpstr>
      <vt:lpstr>D-4b-4 (Pivot)</vt:lpstr>
      <vt:lpstr>D-4b-5 (Pivot)</vt:lpstr>
      <vt:lpstr>D-4b-6 (Pivot)</vt:lpstr>
      <vt:lpstr>D-4b-Consolidated (Pivot)</vt:lpstr>
      <vt:lpstr>D-5 (Pivot)</vt:lpstr>
      <vt:lpstr>D-6ACD</vt:lpstr>
      <vt:lpstr>D-6B (Pivot)</vt:lpstr>
      <vt:lpstr>D-7 (Pivot)</vt:lpstr>
      <vt:lpstr>D-8 (Pivot)</vt:lpstr>
      <vt:lpstr>D-9a</vt:lpstr>
      <vt:lpstr>D-9bA - 9aB (Pivot)</vt:lpstr>
      <vt:lpstr>D-9b-10A-11A-8</vt:lpstr>
      <vt:lpstr>D-10 (Pivot)</vt:lpstr>
      <vt:lpstr>D-11 (Pivot)</vt:lpstr>
      <vt:lpstr>D-Ratios (Pivot)</vt:lpstr>
      <vt:lpstr>D-Risk</vt:lpstr>
      <vt:lpstr>D-12 (Pivot)</vt:lpstr>
      <vt:lpstr>D-13a (Pivot)</vt:lpstr>
      <vt:lpstr>D-13b-14-Comments</vt:lpstr>
      <vt:lpstr>Agroup</vt:lpstr>
      <vt:lpstr>AllAgencies</vt:lpstr>
      <vt:lpstr>Bgroup</vt:lpstr>
      <vt:lpstr>Cgroup</vt:lpstr>
      <vt:lpstr>Country</vt:lpstr>
      <vt:lpstr>CustomerType</vt:lpstr>
      <vt:lpstr>CyberInvestigate</vt:lpstr>
      <vt:lpstr>Dgroup</vt:lpstr>
      <vt:lpstr>DiffWorkforce</vt:lpstr>
      <vt:lpstr>Egroup</vt:lpstr>
      <vt:lpstr>EndUse</vt:lpstr>
      <vt:lpstr>ExportControl</vt:lpstr>
      <vt:lpstr>Fgroup</vt:lpstr>
      <vt:lpstr>Foreign</vt:lpstr>
      <vt:lpstr>Ggroup</vt:lpstr>
      <vt:lpstr>Groups</vt:lpstr>
      <vt:lpstr>Hgroup</vt:lpstr>
      <vt:lpstr>HowMany</vt:lpstr>
      <vt:lpstr>Igroup</vt:lpstr>
      <vt:lpstr>Jgroup</vt:lpstr>
      <vt:lpstr>JVReason</vt:lpstr>
      <vt:lpstr>Kgroup</vt:lpstr>
      <vt:lpstr>Level</vt:lpstr>
      <vt:lpstr>Lgroup</vt:lpstr>
      <vt:lpstr>LocPar</vt:lpstr>
      <vt:lpstr>MAD</vt:lpstr>
      <vt:lpstr>Mgroup</vt:lpstr>
      <vt:lpstr>NA</vt:lpstr>
      <vt:lpstr>NetOps</vt:lpstr>
      <vt:lpstr>Ngroup</vt:lpstr>
      <vt:lpstr>number</vt:lpstr>
      <vt:lpstr>Objectives</vt:lpstr>
      <vt:lpstr>Ogroup</vt:lpstr>
      <vt:lpstr>OpType</vt:lpstr>
      <vt:lpstr>OtherAgency</vt:lpstr>
      <vt:lpstr>Participation</vt:lpstr>
      <vt:lpstr>Pgroup</vt:lpstr>
      <vt:lpstr>PossNon</vt:lpstr>
      <vt:lpstr>PrimAdd</vt:lpstr>
      <vt:lpstr>PrimeSub</vt:lpstr>
      <vt:lpstr>'10'!Print_Area</vt:lpstr>
      <vt:lpstr>'11'!Print_Area</vt:lpstr>
      <vt:lpstr>'12'!Print_Area</vt:lpstr>
      <vt:lpstr>'13'!Print_Area</vt:lpstr>
      <vt:lpstr>'14'!Print_Area</vt:lpstr>
      <vt:lpstr>'1a'!Print_Area</vt:lpstr>
      <vt:lpstr>'1b'!Print_Area</vt:lpstr>
      <vt:lpstr>'2'!Print_Area</vt:lpstr>
      <vt:lpstr>'3a'!Print_Area</vt:lpstr>
      <vt:lpstr>'3b'!Print_Area</vt:lpstr>
      <vt:lpstr>'3c'!Print_Area</vt:lpstr>
      <vt:lpstr>'3d'!Print_Area</vt:lpstr>
      <vt:lpstr>'3e'!Print_Area</vt:lpstr>
      <vt:lpstr>'3f'!Print_Area</vt:lpstr>
      <vt:lpstr>'3g'!Print_Area</vt:lpstr>
      <vt:lpstr>'4a'!Print_Area</vt:lpstr>
      <vt:lpstr>'4b'!Print_Area</vt:lpstr>
      <vt:lpstr>'5'!Print_Area</vt:lpstr>
      <vt:lpstr>'6'!Print_Area</vt:lpstr>
      <vt:lpstr>'7'!Print_Area</vt:lpstr>
      <vt:lpstr>'8'!Print_Area</vt:lpstr>
      <vt:lpstr>'9a'!Print_Area</vt:lpstr>
      <vt:lpstr>'9b'!Print_Area</vt:lpstr>
      <vt:lpstr>'Cover Page'!Print_Area</vt:lpstr>
      <vt:lpstr>Definitions!Print_Area</vt:lpstr>
      <vt:lpstr>'General Instructions'!Print_Area</vt:lpstr>
      <vt:lpstr>'Reporting Level'!Print_Area</vt:lpstr>
      <vt:lpstr>'Table of Contents'!Print_Area</vt:lpstr>
      <vt:lpstr>'4b'!Print_Titles</vt:lpstr>
      <vt:lpstr>ProductCats</vt:lpstr>
      <vt:lpstr>ProgramSortStart</vt:lpstr>
      <vt:lpstr>ProgramUnSort</vt:lpstr>
      <vt:lpstr>PSLSortStart</vt:lpstr>
      <vt:lpstr>PSLUnSort</vt:lpstr>
      <vt:lpstr>PubPriv</vt:lpstr>
      <vt:lpstr>Q_RP_A_MultiResponse</vt:lpstr>
      <vt:lpstr>Q_RP_B_DSSCAGE_01</vt:lpstr>
      <vt:lpstr>Q_RP_B_DSSCAGE_02</vt:lpstr>
      <vt:lpstr>Q_RP_B_DSSCAGE_03</vt:lpstr>
      <vt:lpstr>Q_RP_B_DSSCAGE_04</vt:lpstr>
      <vt:lpstr>Q_RP_B_DSSCAGE_05</vt:lpstr>
      <vt:lpstr>Q_RP_B_DSSCAGE_06</vt:lpstr>
      <vt:lpstr>Q_RP_B_DSSCAGE_07</vt:lpstr>
      <vt:lpstr>Q_RP_B_DSSCAGE_08</vt:lpstr>
      <vt:lpstr>Q_RP_B_DSSCAGE_09</vt:lpstr>
      <vt:lpstr>Q_RP_B_DSSCAGE_10</vt:lpstr>
      <vt:lpstr>Q_RP_B_DSSCAGE_11</vt:lpstr>
      <vt:lpstr>Q_RP_B_DSSCAGE_12</vt:lpstr>
      <vt:lpstr>Q_RP_B_DSSCAGE_13</vt:lpstr>
      <vt:lpstr>Q_RP_B_DSSCAGE_14</vt:lpstr>
      <vt:lpstr>Q_RP_B_DSSCAGE_15</vt:lpstr>
      <vt:lpstr>Q_RP_B_OtherCAGE_01</vt:lpstr>
      <vt:lpstr>Q_RP_B_OtherCAGE_02</vt:lpstr>
      <vt:lpstr>Q_RP_B_OtherCAGE_03</vt:lpstr>
      <vt:lpstr>Q_RP_B_OtherCAGE_04</vt:lpstr>
      <vt:lpstr>Q_RP_B_OtherCAGE_05</vt:lpstr>
      <vt:lpstr>Q_RP_B_OtherCAGE_06</vt:lpstr>
      <vt:lpstr>Q_RP_B_OtherCAGE_07</vt:lpstr>
      <vt:lpstr>Q_RP_B_OtherCAGE_08</vt:lpstr>
      <vt:lpstr>Q_RP_B_OtherCAGE_09</vt:lpstr>
      <vt:lpstr>Q_RP_B_OtherCAGE_10</vt:lpstr>
      <vt:lpstr>Q_RP_B_OtherCAGE_11</vt:lpstr>
      <vt:lpstr>Q_RP_B_OtherCAGE_12</vt:lpstr>
      <vt:lpstr>Q_RP_B_OtherCAGE_13</vt:lpstr>
      <vt:lpstr>Q_RP_B_OtherCAGE_14</vt:lpstr>
      <vt:lpstr>Q_RP_B_OtherCAGE_15</vt:lpstr>
      <vt:lpstr>Q_RP_B_OtherCAGE_16</vt:lpstr>
      <vt:lpstr>Q_RP_B_OtherCAGE_17</vt:lpstr>
      <vt:lpstr>Q_RP_B_OtherCAGE_18</vt:lpstr>
      <vt:lpstr>Q_RP_B_OtherCAGE_19</vt:lpstr>
      <vt:lpstr>Q_RP_B_OtherCAGE_20</vt:lpstr>
      <vt:lpstr>Q_RP_B_OtherCAGE_21</vt:lpstr>
      <vt:lpstr>Q_RP_B_OtherCAGE_22</vt:lpstr>
      <vt:lpstr>Q_RP_B_OtherCAGE_23</vt:lpstr>
      <vt:lpstr>Q_RP_B_OtherCAGE_24</vt:lpstr>
      <vt:lpstr>Q_RP_B_OtherCAGE_25</vt:lpstr>
      <vt:lpstr>Q_RP_B_OtherCAGE_26</vt:lpstr>
      <vt:lpstr>Q_RP_B_OtherCAGE_27</vt:lpstr>
      <vt:lpstr>Q_RP_B_OtherCAGE_28</vt:lpstr>
      <vt:lpstr>Q_RP_B_OtherCAGE_29</vt:lpstr>
      <vt:lpstr>Q_RP_B_OtherCAGE_30</vt:lpstr>
      <vt:lpstr>Q_RP_Comments</vt:lpstr>
      <vt:lpstr>Q10_A_Classified_Foreign</vt:lpstr>
      <vt:lpstr>Q10_A_Classified_Prime</vt:lpstr>
      <vt:lpstr>Q10_A_Classified_Sub_Given</vt:lpstr>
      <vt:lpstr>Q10_A_Classified_Sub_Here</vt:lpstr>
      <vt:lpstr>Q10_B_NumberDD254</vt:lpstr>
      <vt:lpstr>Q10_Comments</vt:lpstr>
      <vt:lpstr>Q10_Contract01_CAGE</vt:lpstr>
      <vt:lpstr>Q10_Contract01_Number</vt:lpstr>
      <vt:lpstr>Q10_Contract01_Prod1</vt:lpstr>
      <vt:lpstr>Q10_Contract01_Prod2</vt:lpstr>
      <vt:lpstr>Q10_Contract01_Prod3</vt:lpstr>
      <vt:lpstr>Q10_Contract01_USGCustomer</vt:lpstr>
      <vt:lpstr>Q10_Contract01_USGProgram</vt:lpstr>
      <vt:lpstr>Q10_Contract02_CAGE</vt:lpstr>
      <vt:lpstr>Q10_Contract02_Number</vt:lpstr>
      <vt:lpstr>Q10_Contract02_Prod1</vt:lpstr>
      <vt:lpstr>Q10_Contract02_Prod2</vt:lpstr>
      <vt:lpstr>Q10_Contract02_Prod3</vt:lpstr>
      <vt:lpstr>Q10_Contract02_USGCustomer</vt:lpstr>
      <vt:lpstr>Q10_Contract02_USGProgram</vt:lpstr>
      <vt:lpstr>Q10_Contract03_CAGE</vt:lpstr>
      <vt:lpstr>Q10_Contract03_Number</vt:lpstr>
      <vt:lpstr>Q10_Contract03_Prod1</vt:lpstr>
      <vt:lpstr>Q10_Contract03_Prod2</vt:lpstr>
      <vt:lpstr>Q10_Contract03_Prod3</vt:lpstr>
      <vt:lpstr>Q10_Contract03_USGCustomer</vt:lpstr>
      <vt:lpstr>Q10_Contract03_USGProgram</vt:lpstr>
      <vt:lpstr>Q10_Contract04_CAGE</vt:lpstr>
      <vt:lpstr>Q10_Contract04_Number</vt:lpstr>
      <vt:lpstr>Q10_Contract04_Prod1</vt:lpstr>
      <vt:lpstr>Q10_Contract04_Prod2</vt:lpstr>
      <vt:lpstr>Q10_Contract04_Prod3</vt:lpstr>
      <vt:lpstr>Q10_Contract04_USGCustomer</vt:lpstr>
      <vt:lpstr>Q10_Contract04_USGProgram</vt:lpstr>
      <vt:lpstr>Q10_Contract05_CAGE</vt:lpstr>
      <vt:lpstr>Q10_Contract05_Number</vt:lpstr>
      <vt:lpstr>Q10_Contract05_Prod1</vt:lpstr>
      <vt:lpstr>Q10_Contract05_Prod2</vt:lpstr>
      <vt:lpstr>Q10_Contract05_Prod3</vt:lpstr>
      <vt:lpstr>Q10_Contract05_USGCustomer</vt:lpstr>
      <vt:lpstr>Q10_Contract05_USGProgram</vt:lpstr>
      <vt:lpstr>Q10_Contract06_CAGE</vt:lpstr>
      <vt:lpstr>Q10_Contract06_Number</vt:lpstr>
      <vt:lpstr>Q10_Contract06_Prod1</vt:lpstr>
      <vt:lpstr>Q10_Contract06_Prod2</vt:lpstr>
      <vt:lpstr>Q10_Contract06_Prod3</vt:lpstr>
      <vt:lpstr>Q10_Contract06_USGCustomer</vt:lpstr>
      <vt:lpstr>Q10_Contract06_USGProgram</vt:lpstr>
      <vt:lpstr>Q10_Contract07_CAGE</vt:lpstr>
      <vt:lpstr>Q10_Contract07_Number</vt:lpstr>
      <vt:lpstr>Q10_Contract07_Prod1</vt:lpstr>
      <vt:lpstr>Q10_Contract07_Prod2</vt:lpstr>
      <vt:lpstr>Q10_Contract07_Prod3</vt:lpstr>
      <vt:lpstr>Q10_Contract07_USGCustomer</vt:lpstr>
      <vt:lpstr>Q10_Contract07_USGProgram</vt:lpstr>
      <vt:lpstr>Q10_Contract08_CAGE</vt:lpstr>
      <vt:lpstr>Q10_Contract08_Number</vt:lpstr>
      <vt:lpstr>Q10_Contract08_Prod1</vt:lpstr>
      <vt:lpstr>Q10_Contract08_Prod2</vt:lpstr>
      <vt:lpstr>Q10_Contract08_Prod3</vt:lpstr>
      <vt:lpstr>Q10_Contract08_USGCustomer</vt:lpstr>
      <vt:lpstr>Q10_Contract08_USGProgram</vt:lpstr>
      <vt:lpstr>Q10_Contract09_CAGE</vt:lpstr>
      <vt:lpstr>Q10_Contract09_Number</vt:lpstr>
      <vt:lpstr>Q10_Contract09_Prod1</vt:lpstr>
      <vt:lpstr>Q10_Contract09_Prod2</vt:lpstr>
      <vt:lpstr>Q10_Contract09_Prod3</vt:lpstr>
      <vt:lpstr>Q10_Contract09_USGCustomer</vt:lpstr>
      <vt:lpstr>Q10_Contract09_USGProgram</vt:lpstr>
      <vt:lpstr>Q10_Contract10_CAGE</vt:lpstr>
      <vt:lpstr>Q10_Contract10_Number</vt:lpstr>
      <vt:lpstr>Q10_Contract10_Prod1</vt:lpstr>
      <vt:lpstr>Q10_Contract10_Prod2</vt:lpstr>
      <vt:lpstr>Q10_Contract10_Prod3</vt:lpstr>
      <vt:lpstr>Q10_Contract10_USGCustomer</vt:lpstr>
      <vt:lpstr>Q10_Contract10_USGProgram</vt:lpstr>
      <vt:lpstr>Q11_Comments</vt:lpstr>
      <vt:lpstr>Q11_Expend_Applied_Year1</vt:lpstr>
      <vt:lpstr>Q11_Expend_Applied_Year2</vt:lpstr>
      <vt:lpstr>Q11_Expend_Applied_Year3</vt:lpstr>
      <vt:lpstr>Q11_Expend_Basic_Year1</vt:lpstr>
      <vt:lpstr>Q11_Expend_Basic_Year2</vt:lpstr>
      <vt:lpstr>Q11_Expend_Basic_Year3</vt:lpstr>
      <vt:lpstr>Q11_Expend_PPD_Year1</vt:lpstr>
      <vt:lpstr>Q11_Expend_PPD_Year2</vt:lpstr>
      <vt:lpstr>Q11_Expend_PPD_Year3</vt:lpstr>
      <vt:lpstr>Q11_Expend_Total_Year1</vt:lpstr>
      <vt:lpstr>Q11_Expend_Total_Year2</vt:lpstr>
      <vt:lpstr>Q11_Expend_Total_Year3</vt:lpstr>
      <vt:lpstr>Q11_Funding_Fed_Year1</vt:lpstr>
      <vt:lpstr>Q11_Funding_Fed_Year2</vt:lpstr>
      <vt:lpstr>Q11_Funding_Fed_Year3</vt:lpstr>
      <vt:lpstr>Q11_Funding_IRAD_Year1</vt:lpstr>
      <vt:lpstr>Q11_Funding_IRAD_Year2</vt:lpstr>
      <vt:lpstr>Q11_Funding_IRAD_Year3</vt:lpstr>
      <vt:lpstr>Q11_Funding_Local_Year1</vt:lpstr>
      <vt:lpstr>Q11_Funding_Local_Year2</vt:lpstr>
      <vt:lpstr>Q11_Funding_Local_Year3</vt:lpstr>
      <vt:lpstr>Q11_Funding_NonUS_Year1</vt:lpstr>
      <vt:lpstr>Q11_Funding_NonUS_Year2</vt:lpstr>
      <vt:lpstr>Q11_Funding_NonUS_Year3</vt:lpstr>
      <vt:lpstr>Q11_Funding_Other_Specify</vt:lpstr>
      <vt:lpstr>Q11_Funding_Other_Year1</vt:lpstr>
      <vt:lpstr>Q11_Funding_Other_Year2</vt:lpstr>
      <vt:lpstr>Q11_Funding_Other_Year3</vt:lpstr>
      <vt:lpstr>Q11_Funding_Total_Year1</vt:lpstr>
      <vt:lpstr>Q11_Funding_Total_Year2</vt:lpstr>
      <vt:lpstr>Q11_Funding_Total_Year3</vt:lpstr>
      <vt:lpstr>Q11_Funding_Univ_Year1</vt:lpstr>
      <vt:lpstr>Q11_Funding_Univ_Year2</vt:lpstr>
      <vt:lpstr>Q11_Funding_Univ_Year3</vt:lpstr>
      <vt:lpstr>Q11_Funding_USIndustry_Year1</vt:lpstr>
      <vt:lpstr>Q11_Funding_USIndustry_Year2</vt:lpstr>
      <vt:lpstr>Q11_Funding_USIndustry_Year3</vt:lpstr>
      <vt:lpstr>Q11_RD_YN</vt:lpstr>
      <vt:lpstr>Q11_Schedule</vt:lpstr>
      <vt:lpstr>Q11_Source</vt:lpstr>
      <vt:lpstr>Q12_Cash_Year1</vt:lpstr>
      <vt:lpstr>Q12_Cash_Year2</vt:lpstr>
      <vt:lpstr>Q12_Cash_Year3</vt:lpstr>
      <vt:lpstr>Q12_COGS_Year1</vt:lpstr>
      <vt:lpstr>Q12_COGS_Year2</vt:lpstr>
      <vt:lpstr>Q12_COGS_Year3</vt:lpstr>
      <vt:lpstr>Q12_Comments</vt:lpstr>
      <vt:lpstr>Q12_CurrentAssets_Year1</vt:lpstr>
      <vt:lpstr>Q12_CurrentAssets_Year2</vt:lpstr>
      <vt:lpstr>Q12_CurrentAssets_Year3</vt:lpstr>
      <vt:lpstr>Q12_CurrentLiab_Year1</vt:lpstr>
      <vt:lpstr>Q12_CurrentLiab_Year2</vt:lpstr>
      <vt:lpstr>Q12_CurrentLiab_Year3</vt:lpstr>
      <vt:lpstr>Q12_EBIT_Year1</vt:lpstr>
      <vt:lpstr>Q12_EBIT_Year2</vt:lpstr>
      <vt:lpstr>Q12_EBIT_Year3</vt:lpstr>
      <vt:lpstr>Q12_Inv_Year1</vt:lpstr>
      <vt:lpstr>Q12_Inv_Year2</vt:lpstr>
      <vt:lpstr>Q12_Inv_Year3</vt:lpstr>
      <vt:lpstr>Q12_NetInc_Year1</vt:lpstr>
      <vt:lpstr>Q12_NetInc_Year2</vt:lpstr>
      <vt:lpstr>Q12_NetInc_Year3</vt:lpstr>
      <vt:lpstr>Q12_NetSales_Year1</vt:lpstr>
      <vt:lpstr>Q12_NetSales_Year2</vt:lpstr>
      <vt:lpstr>Q12_NetSales_Year3</vt:lpstr>
      <vt:lpstr>Q12_OpInc_Year1</vt:lpstr>
      <vt:lpstr>Q12_OpInc_Year2</vt:lpstr>
      <vt:lpstr>Q12_OpInc_Year3</vt:lpstr>
      <vt:lpstr>Q12_OwnersEq_Year1</vt:lpstr>
      <vt:lpstr>Q12_OwnersEq_Year2</vt:lpstr>
      <vt:lpstr>Q12_OwnersEq_Year3</vt:lpstr>
      <vt:lpstr>Q12_RetainedEarn_Year1</vt:lpstr>
      <vt:lpstr>Q12_RetainedEarn_Year2</vt:lpstr>
      <vt:lpstr>Q12_RetainedEarn_Year3</vt:lpstr>
      <vt:lpstr>Q12_Schedule_Balance</vt:lpstr>
      <vt:lpstr>Q12_Schedule_Income</vt:lpstr>
      <vt:lpstr>Q12_Source_Balance</vt:lpstr>
      <vt:lpstr>Q12_Source_Income</vt:lpstr>
      <vt:lpstr>Q12_TotalAssets_Year1</vt:lpstr>
      <vt:lpstr>Q12_TotalAssets_Year2</vt:lpstr>
      <vt:lpstr>Q12_TotalAssets_Year3</vt:lpstr>
      <vt:lpstr>Q12_TotalLiab_Year1</vt:lpstr>
      <vt:lpstr>Q12_TotalLiab_Year2</vt:lpstr>
      <vt:lpstr>Q12_TotalLiab_Year3</vt:lpstr>
      <vt:lpstr>Q13_A_AgingEquip_Explain</vt:lpstr>
      <vt:lpstr>Q13_A_AgingEquip_Rank</vt:lpstr>
      <vt:lpstr>Q13_A_AgingEquip_YN</vt:lpstr>
      <vt:lpstr>Q13_A_AgingWorkforce_Explain</vt:lpstr>
      <vt:lpstr>Q13_A_AgingWorkforce_Rank</vt:lpstr>
      <vt:lpstr>Q13_A_AgingWorkforce_YN</vt:lpstr>
      <vt:lpstr>Q13_A_Counterfeits_Explain</vt:lpstr>
      <vt:lpstr>Q13_A_Counterfeits_Rank</vt:lpstr>
      <vt:lpstr>Q13_A_Counterfeits_YN</vt:lpstr>
      <vt:lpstr>Q13_A_Cyber_Explain</vt:lpstr>
      <vt:lpstr>Q13_A_Cyber_Rank</vt:lpstr>
      <vt:lpstr>Q13_A_Cyber_YN</vt:lpstr>
      <vt:lpstr>Q13_A_DomesticComp_Explain</vt:lpstr>
      <vt:lpstr>Q13_A_DomesticComp_Rank</vt:lpstr>
      <vt:lpstr>Q13_A_DomesticComp_YN</vt:lpstr>
      <vt:lpstr>Q13_A_EnviroRegs_Explain</vt:lpstr>
      <vt:lpstr>Q13_A_EnviroRegs_Rank</vt:lpstr>
      <vt:lpstr>Q13_A_EnviroRegs_YN</vt:lpstr>
      <vt:lpstr>Q13_A_ExportControl_Explain</vt:lpstr>
      <vt:lpstr>Q13_A_ExportControl_Rank</vt:lpstr>
      <vt:lpstr>Q13_A_ExportControl_YN</vt:lpstr>
      <vt:lpstr>Q13_A_ForeignComp_Explain</vt:lpstr>
      <vt:lpstr>Q13_A_ForeignComp_Rank</vt:lpstr>
      <vt:lpstr>Q13_A_ForeignComp_YN</vt:lpstr>
      <vt:lpstr>Q13_A_GovtAcquis_Explain</vt:lpstr>
      <vt:lpstr>Q13_A_GovtAcquis_Rank</vt:lpstr>
      <vt:lpstr>Q13_A_GovtAcquis_YN</vt:lpstr>
      <vt:lpstr>Q13_A_GovtRegulatory_Explain</vt:lpstr>
      <vt:lpstr>Q13_A_GovtRegulatory_Rank</vt:lpstr>
      <vt:lpstr>Q13_A_GovtRegulatory_YN</vt:lpstr>
      <vt:lpstr>Q13_A_GovtVolatility_Explain</vt:lpstr>
      <vt:lpstr>Q13_A_GovtVolatility_Rank</vt:lpstr>
      <vt:lpstr>Q13_A_GovtVolatility_YN</vt:lpstr>
      <vt:lpstr>Q13_A_Healthcare_Explain</vt:lpstr>
      <vt:lpstr>Q13_A_Healthcare_Rank</vt:lpstr>
      <vt:lpstr>Q13_A_Healthcare_YN</vt:lpstr>
      <vt:lpstr>Q13_A_InputAvail_Explain</vt:lpstr>
      <vt:lpstr>Q13_A_InputAvail_Rank</vt:lpstr>
      <vt:lpstr>Q13_A_InputAvail_YN</vt:lpstr>
      <vt:lpstr>Q13_A_IP_Explain</vt:lpstr>
      <vt:lpstr>Q13_A_IP_Rank</vt:lpstr>
      <vt:lpstr>Q13_A_IP_YN</vt:lpstr>
      <vt:lpstr>Q13_A_Labor_Explain</vt:lpstr>
      <vt:lpstr>Q13_A_Labor_Rank</vt:lpstr>
      <vt:lpstr>Q13_A_Labor_YN</vt:lpstr>
      <vt:lpstr>Q13_A_Obsol_Explain</vt:lpstr>
      <vt:lpstr>Q13_A_Obsol_Rank</vt:lpstr>
      <vt:lpstr>Q13_A_Obsol_YN</vt:lpstr>
      <vt:lpstr>Q13_A_Other_Explain</vt:lpstr>
      <vt:lpstr>Q13_A_Other_Rank</vt:lpstr>
      <vt:lpstr>Q13_A_Other_Specify</vt:lpstr>
      <vt:lpstr>Q13_A_Other_YN</vt:lpstr>
      <vt:lpstr>Q13_A_Pensions_Explain</vt:lpstr>
      <vt:lpstr>Q13_A_Pensions_Rank</vt:lpstr>
      <vt:lpstr>Q13_A_Pensions_YN</vt:lpstr>
      <vt:lpstr>Q13_A_Proximity_Suppliers_Explain</vt:lpstr>
      <vt:lpstr>Q13_A_Proximity_Suppliers_Rank</vt:lpstr>
      <vt:lpstr>Q13_A_Proximity_Suppliers_YN</vt:lpstr>
      <vt:lpstr>Q13_A_ProximityCustomers_Explain</vt:lpstr>
      <vt:lpstr>Q13_A_ProximityCustomers_Rank</vt:lpstr>
      <vt:lpstr>Q13_A_ProximityCustomers_YN</vt:lpstr>
      <vt:lpstr>Q13_A_QualityInput_Explain</vt:lpstr>
      <vt:lpstr>Q13_A_QualityInput_Rank</vt:lpstr>
      <vt:lpstr>Q13_A_QualityInput_YN</vt:lpstr>
      <vt:lpstr>Q13_A_QualsCerts_Explain</vt:lpstr>
      <vt:lpstr>Q13_A_QualsCerts_Rank</vt:lpstr>
      <vt:lpstr>Q13_A_QualsCerts_YN</vt:lpstr>
      <vt:lpstr>Q13_A_RDCosts_Explain</vt:lpstr>
      <vt:lpstr>Q13_A_RDCosts_Rank</vt:lpstr>
      <vt:lpstr>Q13_A_RDCosts_YN</vt:lpstr>
      <vt:lpstr>Q13_A_ReductionUSGDemand_Explain</vt:lpstr>
      <vt:lpstr>Q13_A_ReductionUSGDemand_Rank</vt:lpstr>
      <vt:lpstr>Q13_A_ReductionUSGDemand_YN</vt:lpstr>
      <vt:lpstr>Q13_A_Taxes_Explain</vt:lpstr>
      <vt:lpstr>Q13_A_Taxes_Rank</vt:lpstr>
      <vt:lpstr>Q13_A_Taxes_YN</vt:lpstr>
      <vt:lpstr>Q13_A_WorkerRetention_Explain</vt:lpstr>
      <vt:lpstr>Q13_A_WorkerRetention_Rank</vt:lpstr>
      <vt:lpstr>Q13_A_WorkerRetention_YN</vt:lpstr>
      <vt:lpstr>Q13_B_Cyber</vt:lpstr>
      <vt:lpstr>Q13_B_DesignforAssembly</vt:lpstr>
      <vt:lpstr>Q13_B_DesignMfg</vt:lpstr>
      <vt:lpstr>Q13_B_Energy</vt:lpstr>
      <vt:lpstr>Q13_B_ExportAssist</vt:lpstr>
      <vt:lpstr>Q13_B_ExportLicense</vt:lpstr>
      <vt:lpstr>Q13_B_GovtProcurement</vt:lpstr>
      <vt:lpstr>Q13_B_LeanMfg</vt:lpstr>
      <vt:lpstr>Q13_B_MarketExpansion</vt:lpstr>
      <vt:lpstr>Q13_B_MatSourcing</vt:lpstr>
      <vt:lpstr>Q13_B_ProdDesign</vt:lpstr>
      <vt:lpstr>Q13_B_Prototyping</vt:lpstr>
      <vt:lpstr>Q13_B_QualityControl</vt:lpstr>
      <vt:lpstr>Q13_B_SBIR</vt:lpstr>
      <vt:lpstr>Q13_B_SupplyChain</vt:lpstr>
      <vt:lpstr>Q13_B_TechAccel</vt:lpstr>
      <vt:lpstr>Q13_Comments</vt:lpstr>
      <vt:lpstr>Q14_Comments</vt:lpstr>
      <vt:lpstr>Q14_DateCert</vt:lpstr>
      <vt:lpstr>Q14_Hours</vt:lpstr>
      <vt:lpstr>Q14_LocName</vt:lpstr>
      <vt:lpstr>Q14_Official_Email</vt:lpstr>
      <vt:lpstr>Q14_Official_Name</vt:lpstr>
      <vt:lpstr>Q14_Official_Phone</vt:lpstr>
      <vt:lpstr>Q14_Official_Title</vt:lpstr>
      <vt:lpstr>Q14_OrgName</vt:lpstr>
      <vt:lpstr>Q14_OrgWeb</vt:lpstr>
      <vt:lpstr>Q1a_A_LocAddress</vt:lpstr>
      <vt:lpstr>Q1a_A_LocationName</vt:lpstr>
      <vt:lpstr>Q1a_A_LocCity</vt:lpstr>
      <vt:lpstr>Q1a_A_LocOrgName</vt:lpstr>
      <vt:lpstr>Q1a_A_LocPhone</vt:lpstr>
      <vt:lpstr>Q1a_A_LocState</vt:lpstr>
      <vt:lpstr>Q1a_A_LocWeb</vt:lpstr>
      <vt:lpstr>Q1a_A_LocZip</vt:lpstr>
      <vt:lpstr>Q1a_A_OnlyLoc_YN</vt:lpstr>
      <vt:lpstr>Q1a_B_Parent1_Address</vt:lpstr>
      <vt:lpstr>Q1a_B_Parent1_CAGE</vt:lpstr>
      <vt:lpstr>Q1a_B_Parent1_City</vt:lpstr>
      <vt:lpstr>Q1a_B_Parent1_Country</vt:lpstr>
      <vt:lpstr>Q1a_B_Parent1_Name</vt:lpstr>
      <vt:lpstr>Q1a_B_Parent1_State</vt:lpstr>
      <vt:lpstr>Q1a_B_Parent1_Zip</vt:lpstr>
      <vt:lpstr>Q1a_B_Parent2_Address</vt:lpstr>
      <vt:lpstr>Q1a_B_Parent2_CAGE</vt:lpstr>
      <vt:lpstr>Q1a_B_Parent2_City</vt:lpstr>
      <vt:lpstr>Q1a_B_Parent2_Country</vt:lpstr>
      <vt:lpstr>Q1a_B_Parent2_Name</vt:lpstr>
      <vt:lpstr>Q1a_B_Parent2_State</vt:lpstr>
      <vt:lpstr>Q1a_B_Parent2_Zip</vt:lpstr>
      <vt:lpstr>Q1a_C_PubPriv</vt:lpstr>
      <vt:lpstr>Q1a_C_Ticker</vt:lpstr>
      <vt:lpstr>Q1a_Comments</vt:lpstr>
      <vt:lpstr>Q1a_D_SharedOrg01_Name</vt:lpstr>
      <vt:lpstr>Q1a_D_SharedOrg01_Purpose</vt:lpstr>
      <vt:lpstr>Q1a_D_SharedOrg02_Name</vt:lpstr>
      <vt:lpstr>Q1a_D_SharedOrg02_Purpose</vt:lpstr>
      <vt:lpstr>Q1a_D_SharedOrg03_Name</vt:lpstr>
      <vt:lpstr>Q1a_D_SharedOrg03_Purpose</vt:lpstr>
      <vt:lpstr>Q1a_D_SharedOrg04_Name</vt:lpstr>
      <vt:lpstr>Q1a_D_SharedOrg04_Purpose</vt:lpstr>
      <vt:lpstr>Q1a_D_SharedOrg05_Name</vt:lpstr>
      <vt:lpstr>Q1a_D_SharedOrg05_Purpose</vt:lpstr>
      <vt:lpstr>Q1a_D_SharedOrg06_Name</vt:lpstr>
      <vt:lpstr>Q1a_D_SharedOrg06_Purpose</vt:lpstr>
      <vt:lpstr>Q1a_D_SharedOrg07_Name</vt:lpstr>
      <vt:lpstr>Q1a_D_SharedOrg07_Purpose</vt:lpstr>
      <vt:lpstr>Q1a_D_SharedOrg08_Name</vt:lpstr>
      <vt:lpstr>Q1a_D_SharedOrg08_Purpose</vt:lpstr>
      <vt:lpstr>Q1a_D_SharedOrg09_Name</vt:lpstr>
      <vt:lpstr>Q1a_D_SharedOrg09_Purpose</vt:lpstr>
      <vt:lpstr>Q1a_D_SharedOrg10_Name</vt:lpstr>
      <vt:lpstr>Q1a_D_SharedOrg10_Purpose</vt:lpstr>
      <vt:lpstr>Q1a_D_SharedSpace</vt:lpstr>
      <vt:lpstr>Q1a_E_POC_Email</vt:lpstr>
      <vt:lpstr>Q1a_E_POC_Name</vt:lpstr>
      <vt:lpstr>Q1a_E_POC_Phone</vt:lpstr>
      <vt:lpstr>Q1a_E_POC_State</vt:lpstr>
      <vt:lpstr>Q1a_E_POC_Title</vt:lpstr>
      <vt:lpstr>Q1b_A_Academic</vt:lpstr>
      <vt:lpstr>Q1b_A_Distribution</vt:lpstr>
      <vt:lpstr>Q1b_A_HoldingCo</vt:lpstr>
      <vt:lpstr>Q1b_A_Inspec</vt:lpstr>
      <vt:lpstr>Q1b_A_Integration</vt:lpstr>
      <vt:lpstr>Q1b_A_IT</vt:lpstr>
      <vt:lpstr>Q1b_A_Maintenance</vt:lpstr>
      <vt:lpstr>Q1b_A_MatFinish</vt:lpstr>
      <vt:lpstr>Q1b_A_MatPrep</vt:lpstr>
      <vt:lpstr>Q1b_A_Mfg</vt:lpstr>
      <vt:lpstr>Q1b_A_MfgDev</vt:lpstr>
      <vt:lpstr>Q1b_A_Other</vt:lpstr>
      <vt:lpstr>Q1b_A_Other_Specify</vt:lpstr>
      <vt:lpstr>Q1b_A_ProductDes</vt:lpstr>
      <vt:lpstr>Q1b_A_ProfServices</vt:lpstr>
      <vt:lpstr>Q1b_A_RawMaterial</vt:lpstr>
      <vt:lpstr>Q1b_A_RD</vt:lpstr>
      <vt:lpstr>Q1b_A_Testing</vt:lpstr>
      <vt:lpstr>Q1b_B_DUNS01</vt:lpstr>
      <vt:lpstr>Q1b_B_DUNS02</vt:lpstr>
      <vt:lpstr>Q1b_B_DUNS03</vt:lpstr>
      <vt:lpstr>Q1b_B_DUNS04</vt:lpstr>
      <vt:lpstr>Q1b_B_DUNS05</vt:lpstr>
      <vt:lpstr>Q1b_B_DUNS06</vt:lpstr>
      <vt:lpstr>Q1b_B_DUNS07</vt:lpstr>
      <vt:lpstr>Q1b_B_DUNS08</vt:lpstr>
      <vt:lpstr>Q1b_B_DUNS09</vt:lpstr>
      <vt:lpstr>Q1b_B_DUNS10</vt:lpstr>
      <vt:lpstr>Q1b_B_NAICS01</vt:lpstr>
      <vt:lpstr>Q1b_B_NAICS02</vt:lpstr>
      <vt:lpstr>Q1b_B_NAICS03</vt:lpstr>
      <vt:lpstr>Q1b_B_NAICS04</vt:lpstr>
      <vt:lpstr>Q1b_B_NAICS05</vt:lpstr>
      <vt:lpstr>Q1b_B_NAICS06</vt:lpstr>
      <vt:lpstr>Q1b_B_NAICS07</vt:lpstr>
      <vt:lpstr>Q1b_B_NAICS08</vt:lpstr>
      <vt:lpstr>Q1b_B_NAICS09</vt:lpstr>
      <vt:lpstr>Q1b_B_NAICS10</vt:lpstr>
      <vt:lpstr>Q1b_C_8a</vt:lpstr>
      <vt:lpstr>Q1b_C_HUBZone</vt:lpstr>
      <vt:lpstr>Q1b_C_Minority</vt:lpstr>
      <vt:lpstr>Q1b_C_SB</vt:lpstr>
      <vt:lpstr>Q1b_C_Vet</vt:lpstr>
      <vt:lpstr>Q1b_C_Woman</vt:lpstr>
      <vt:lpstr>Q1b_Comments</vt:lpstr>
      <vt:lpstr>Q2_A_TotalAcq</vt:lpstr>
      <vt:lpstr>Q2_B_TotalJV</vt:lpstr>
      <vt:lpstr>Q2_Comments</vt:lpstr>
      <vt:lpstr>Q3a_A_RawMat</vt:lpstr>
      <vt:lpstr>Q3a_B_Electronics</vt:lpstr>
      <vt:lpstr>Q3a_C_MfgEquip</vt:lpstr>
      <vt:lpstr>Q3a_D_Lasers</vt:lpstr>
      <vt:lpstr>Q3a_E_DirectedEnergy</vt:lpstr>
      <vt:lpstr>Q3a_F_Optics</vt:lpstr>
      <vt:lpstr>Q3a_G_AcousticSensors</vt:lpstr>
      <vt:lpstr>Q3a_H_Positioning</vt:lpstr>
      <vt:lpstr>Q3a_I_Radars</vt:lpstr>
      <vt:lpstr>Q3a_J_SigControl</vt:lpstr>
      <vt:lpstr>Q3a_K_Aero</vt:lpstr>
      <vt:lpstr>Q3a_L_Space</vt:lpstr>
      <vt:lpstr>Q3a_M_Marine</vt:lpstr>
      <vt:lpstr>Q3a_N_Ground</vt:lpstr>
      <vt:lpstr>Q3a_O_Armaments</vt:lpstr>
      <vt:lpstr>Q3a_P_EnergySystems</vt:lpstr>
      <vt:lpstr>Q3a_Q_Nuclear</vt:lpstr>
      <vt:lpstr>Q3a_R_Bio</vt:lpstr>
      <vt:lpstr>Q3a_S_Chem</vt:lpstr>
      <vt:lpstr>Q3a_T_Emerging</vt:lpstr>
      <vt:lpstr>Q3a_U_Agri</vt:lpstr>
      <vt:lpstr>Q3a_V_Medical</vt:lpstr>
      <vt:lpstr>Q3a_W_C4</vt:lpstr>
      <vt:lpstr>Q3a_X_Software</vt:lpstr>
      <vt:lpstr>Q3a_Y_Services</vt:lpstr>
      <vt:lpstr>Q3b_A1_Participation</vt:lpstr>
      <vt:lpstr>Q3b_A2_Participation</vt:lpstr>
      <vt:lpstr>Q3b_A3_Participation</vt:lpstr>
      <vt:lpstr>Q3b_A4_Participation</vt:lpstr>
      <vt:lpstr>Q3b_A5_Participation</vt:lpstr>
      <vt:lpstr>Q3b_A6_Participation</vt:lpstr>
      <vt:lpstr>Q3b_B1_Participation</vt:lpstr>
      <vt:lpstr>Q3b_B10_Participation</vt:lpstr>
      <vt:lpstr>Q3b_B11_Participation</vt:lpstr>
      <vt:lpstr>Q3b_B12_Participation</vt:lpstr>
      <vt:lpstr>Q3b_B13_Participation</vt:lpstr>
      <vt:lpstr>Q3b_B14_Participation</vt:lpstr>
      <vt:lpstr>Q3b_B15_Participation</vt:lpstr>
      <vt:lpstr>Q3b_B16_Participation</vt:lpstr>
      <vt:lpstr>Q3b_B17_Participation</vt:lpstr>
      <vt:lpstr>Q3b_B2_Participation</vt:lpstr>
      <vt:lpstr>Q3b_B3_Participation</vt:lpstr>
      <vt:lpstr>Q3b_B4_Participation</vt:lpstr>
      <vt:lpstr>Q3b_B5_Participation</vt:lpstr>
      <vt:lpstr>Q3b_B6_Participation</vt:lpstr>
      <vt:lpstr>Q3b_B7_Participation</vt:lpstr>
      <vt:lpstr>Q3b_B8_Participation</vt:lpstr>
      <vt:lpstr>Q3b_B9_Participation</vt:lpstr>
      <vt:lpstr>Q3b_C1_Participation</vt:lpstr>
      <vt:lpstr>Q3b_C2_Participation</vt:lpstr>
      <vt:lpstr>Q3b_C3_Participation</vt:lpstr>
      <vt:lpstr>Q3b_C4_Participation</vt:lpstr>
      <vt:lpstr>Q3b_C5_Participation</vt:lpstr>
      <vt:lpstr>Q3b_C6_Participation</vt:lpstr>
      <vt:lpstr>Q3b_C7_Participation</vt:lpstr>
      <vt:lpstr>Q3b_C8_Participation</vt:lpstr>
      <vt:lpstr>Q3b_C9_Participation</vt:lpstr>
      <vt:lpstr>Q3b_Comments</vt:lpstr>
      <vt:lpstr>Q3b_D1_Participation</vt:lpstr>
      <vt:lpstr>Q3b_D10_Participation</vt:lpstr>
      <vt:lpstr>Q3b_D11_Participation</vt:lpstr>
      <vt:lpstr>Q3b_D2_Participation</vt:lpstr>
      <vt:lpstr>Q3b_D3_Participation</vt:lpstr>
      <vt:lpstr>Q3b_D4_Participation</vt:lpstr>
      <vt:lpstr>Q3b_D5_Participation</vt:lpstr>
      <vt:lpstr>Q3b_D6_Participation</vt:lpstr>
      <vt:lpstr>Q3b_D7_Participation</vt:lpstr>
      <vt:lpstr>Q3b_D8_Participation</vt:lpstr>
      <vt:lpstr>Q3b_D9_Participation</vt:lpstr>
      <vt:lpstr>Q3b_E1_Participation</vt:lpstr>
      <vt:lpstr>Q3b_E2_Participation</vt:lpstr>
      <vt:lpstr>Q3b_E3_Participation</vt:lpstr>
      <vt:lpstr>Q3b_E4_Participation</vt:lpstr>
      <vt:lpstr>Q3b_F1_Participation</vt:lpstr>
      <vt:lpstr>Q3b_F2_Participation</vt:lpstr>
      <vt:lpstr>Q3b_F3_Participation</vt:lpstr>
      <vt:lpstr>Q3b_F4_Participation</vt:lpstr>
      <vt:lpstr>Q3b_F5_Participation</vt:lpstr>
      <vt:lpstr>Q3b_F6_Participation</vt:lpstr>
      <vt:lpstr>Q3b_F7_Participation</vt:lpstr>
      <vt:lpstr>Q3b_G1_Participation</vt:lpstr>
      <vt:lpstr>Q3b_G2_Participation</vt:lpstr>
      <vt:lpstr>Q3b_G3_Participation</vt:lpstr>
      <vt:lpstr>Q3b_G4_Participation</vt:lpstr>
      <vt:lpstr>Q3b_G5_Participation</vt:lpstr>
      <vt:lpstr>Q3b_H1_Participation</vt:lpstr>
      <vt:lpstr>Q3b_H2_Participation</vt:lpstr>
      <vt:lpstr>Q3b_H3_Participation</vt:lpstr>
      <vt:lpstr>Q3b_H4_Participation</vt:lpstr>
      <vt:lpstr>Q3b_H5_Participation</vt:lpstr>
      <vt:lpstr>Q3b_H6_Participation</vt:lpstr>
      <vt:lpstr>Q3b_I1_Participation</vt:lpstr>
      <vt:lpstr>Q3b_I2_Participation</vt:lpstr>
      <vt:lpstr>Q3b_I3_Participation</vt:lpstr>
      <vt:lpstr>Q3b_I4_Participation</vt:lpstr>
      <vt:lpstr>Q3b_I5_Participation</vt:lpstr>
      <vt:lpstr>Q3b_I6_Participation</vt:lpstr>
      <vt:lpstr>Q3b_J1_Participation</vt:lpstr>
      <vt:lpstr>Q3b_J2_Participation</vt:lpstr>
      <vt:lpstr>Q3b_J3_Participation</vt:lpstr>
      <vt:lpstr>Q3b_J4_Participation</vt:lpstr>
      <vt:lpstr>Q3b_K1_Participation</vt:lpstr>
      <vt:lpstr>Q3b_K2_Participation</vt:lpstr>
      <vt:lpstr>Q3b_K3_Participation</vt:lpstr>
      <vt:lpstr>Q3b_K4_Participation</vt:lpstr>
      <vt:lpstr>Q3b_K5_Participation</vt:lpstr>
      <vt:lpstr>Q3b_K6_Participation</vt:lpstr>
      <vt:lpstr>Q3b_L1_Participation</vt:lpstr>
      <vt:lpstr>Q3b_L2_Participation</vt:lpstr>
      <vt:lpstr>Q3b_L3_Participation</vt:lpstr>
      <vt:lpstr>Q3b_L4_Participation</vt:lpstr>
      <vt:lpstr>Q3b_L5_Participation</vt:lpstr>
      <vt:lpstr>Q3b_L6_Participation</vt:lpstr>
      <vt:lpstr>Q3b_M1_Participation</vt:lpstr>
      <vt:lpstr>Q3b_M2_Participation</vt:lpstr>
      <vt:lpstr>Q3b_M3_Participation</vt:lpstr>
      <vt:lpstr>Q3b_M4_Participation</vt:lpstr>
      <vt:lpstr>Q3b_M5_Participation</vt:lpstr>
      <vt:lpstr>Q3b_N1_Participation</vt:lpstr>
      <vt:lpstr>Q3b_N2_Participation</vt:lpstr>
      <vt:lpstr>Q3b_N3_Participation</vt:lpstr>
      <vt:lpstr>Q3b_N4_Participation</vt:lpstr>
      <vt:lpstr>Q3b_N5_Participation</vt:lpstr>
      <vt:lpstr>Q3b_N6_Participation</vt:lpstr>
      <vt:lpstr>Q3b_N7_Participation</vt:lpstr>
      <vt:lpstr>Q3b_O1_Participation</vt:lpstr>
      <vt:lpstr>Q3b_O10_Participation</vt:lpstr>
      <vt:lpstr>Q3b_O11_Participation</vt:lpstr>
      <vt:lpstr>Q3b_O12_Participation</vt:lpstr>
      <vt:lpstr>Q3b_O13_Participation</vt:lpstr>
      <vt:lpstr>Q3b_O2_Participation</vt:lpstr>
      <vt:lpstr>Q3b_O3_Participation</vt:lpstr>
      <vt:lpstr>Q3b_O4_Participation</vt:lpstr>
      <vt:lpstr>Q3b_O5_Participation</vt:lpstr>
      <vt:lpstr>Q3b_O6_Participation</vt:lpstr>
      <vt:lpstr>Q3b_O7_Participation</vt:lpstr>
      <vt:lpstr>Q3b_O8_Participation</vt:lpstr>
      <vt:lpstr>Q3b_O9_Participation</vt:lpstr>
      <vt:lpstr>Q3b_P1_Participation</vt:lpstr>
      <vt:lpstr>Q3b_P2_Participation</vt:lpstr>
      <vt:lpstr>Q3b_P3_Participation</vt:lpstr>
      <vt:lpstr>Q3b_P4_Participation</vt:lpstr>
      <vt:lpstr>Q3b_P5_Participation</vt:lpstr>
      <vt:lpstr>Q3b_P6_Participation</vt:lpstr>
      <vt:lpstr>Q3b_P7_Participation</vt:lpstr>
      <vt:lpstr>Q3b_P8_Participation</vt:lpstr>
      <vt:lpstr>Q3b_P9_Participation</vt:lpstr>
      <vt:lpstr>Q3b_Q1_Participation</vt:lpstr>
      <vt:lpstr>Q3b_Q2_Participation</vt:lpstr>
      <vt:lpstr>Q3b_Q3_Participation</vt:lpstr>
      <vt:lpstr>Q3b_Q4_Participation</vt:lpstr>
      <vt:lpstr>Q3b_Q5_Participation</vt:lpstr>
      <vt:lpstr>Q3b_Q6_Participation</vt:lpstr>
      <vt:lpstr>Q3b_Q7_Participation</vt:lpstr>
      <vt:lpstr>Q3b_Q8_Participation</vt:lpstr>
      <vt:lpstr>Q3b_R1_Participation</vt:lpstr>
      <vt:lpstr>Q3b_R2_Participation</vt:lpstr>
      <vt:lpstr>Q3b_R3_Participation</vt:lpstr>
      <vt:lpstr>Q3b_R4_Participation</vt:lpstr>
      <vt:lpstr>Q3b_R5_Participation</vt:lpstr>
      <vt:lpstr>Q3b_R6_Participation</vt:lpstr>
      <vt:lpstr>Q3b_R7_Participation</vt:lpstr>
      <vt:lpstr>Q3b_S1_Participation</vt:lpstr>
      <vt:lpstr>Q3b_S2_Participation</vt:lpstr>
      <vt:lpstr>Q3b_S3_Participation</vt:lpstr>
      <vt:lpstr>Q3b_S4_Participation</vt:lpstr>
      <vt:lpstr>Q3b_S5_Participation</vt:lpstr>
      <vt:lpstr>Q3b_T1_Participation</vt:lpstr>
      <vt:lpstr>Q3b_T2_Participation</vt:lpstr>
      <vt:lpstr>Q3b_T3_Participation</vt:lpstr>
      <vt:lpstr>Q3b_T4_Participation</vt:lpstr>
      <vt:lpstr>Q3b_T5_Participation</vt:lpstr>
      <vt:lpstr>Q3b_T6_Participation</vt:lpstr>
      <vt:lpstr>Q3b_T7_Participation</vt:lpstr>
      <vt:lpstr>Q3b_U1_Participation</vt:lpstr>
      <vt:lpstr>Q3b_U2_Participation</vt:lpstr>
      <vt:lpstr>Q3b_U3_Participation</vt:lpstr>
      <vt:lpstr>Q3b_U4_Participation</vt:lpstr>
      <vt:lpstr>Q3b_U5_Participation</vt:lpstr>
      <vt:lpstr>Q3b_U6_Participation</vt:lpstr>
      <vt:lpstr>Q3b_V1_Participation</vt:lpstr>
      <vt:lpstr>Q3b_V2_Participation</vt:lpstr>
      <vt:lpstr>Q3b_V3_Participation</vt:lpstr>
      <vt:lpstr>Q3b_V4_Participation</vt:lpstr>
      <vt:lpstr>Q3b_V5_Participation</vt:lpstr>
      <vt:lpstr>Q3b_V6_Participation</vt:lpstr>
      <vt:lpstr>Q3b_V7_Participation</vt:lpstr>
      <vt:lpstr>Q3b_W1_Participation</vt:lpstr>
      <vt:lpstr>Q3b_W10_Participation</vt:lpstr>
      <vt:lpstr>Q3b_W2_Participation</vt:lpstr>
      <vt:lpstr>Q3b_W3_Participation</vt:lpstr>
      <vt:lpstr>Q3b_W4_Participation</vt:lpstr>
      <vt:lpstr>Q3b_W5_Participation</vt:lpstr>
      <vt:lpstr>Q3b_W6_Participation</vt:lpstr>
      <vt:lpstr>Q3b_W7_Participation</vt:lpstr>
      <vt:lpstr>Q3b_W8_Participation</vt:lpstr>
      <vt:lpstr>Q3b_W9_Participation</vt:lpstr>
      <vt:lpstr>Q3b_X1_Participation</vt:lpstr>
      <vt:lpstr>Q3b_X10_Participation</vt:lpstr>
      <vt:lpstr>Q3b_X11_Participation</vt:lpstr>
      <vt:lpstr>Q3b_X12_Participation</vt:lpstr>
      <vt:lpstr>Q3b_X13_Participation</vt:lpstr>
      <vt:lpstr>Q3b_X2_Participation</vt:lpstr>
      <vt:lpstr>Q3b_X3_Participation</vt:lpstr>
      <vt:lpstr>Q3b_X4_Participation</vt:lpstr>
      <vt:lpstr>Q3b_X5_Participation</vt:lpstr>
      <vt:lpstr>Q3b_X6_Participation</vt:lpstr>
      <vt:lpstr>Q3b_X7_Participation</vt:lpstr>
      <vt:lpstr>Q3b_X8_Participation</vt:lpstr>
      <vt:lpstr>Q3b_X9_Participation</vt:lpstr>
      <vt:lpstr>Q3b_Y1_Participation</vt:lpstr>
      <vt:lpstr>Q3b_Y10_Participation</vt:lpstr>
      <vt:lpstr>Q3b_Y11_Participation</vt:lpstr>
      <vt:lpstr>Q3b_Y12_Participation</vt:lpstr>
      <vt:lpstr>Q3b_Y13_Participation</vt:lpstr>
      <vt:lpstr>Q3b_Y14_Participation</vt:lpstr>
      <vt:lpstr>Q3b_Y15_Participation</vt:lpstr>
      <vt:lpstr>Q3b_Y16_Participation</vt:lpstr>
      <vt:lpstr>Q3b_Y17_Participation</vt:lpstr>
      <vt:lpstr>Q3b_Y18_Participation</vt:lpstr>
      <vt:lpstr>Q3b_Y19_Participation</vt:lpstr>
      <vt:lpstr>Q3b_Y2_Participation</vt:lpstr>
      <vt:lpstr>Q3b_Y20_Participation</vt:lpstr>
      <vt:lpstr>Q3b_Y21_Participation</vt:lpstr>
      <vt:lpstr>Q3b_Y22_Participation</vt:lpstr>
      <vt:lpstr>Q3b_Y23_Participation</vt:lpstr>
      <vt:lpstr>Q3b_Y24_Participation</vt:lpstr>
      <vt:lpstr>Q3b_Y25_Participation</vt:lpstr>
      <vt:lpstr>Q3b_Y26_Participation</vt:lpstr>
      <vt:lpstr>Q3b_Y3_Participation</vt:lpstr>
      <vt:lpstr>Q3b_Y4_Participation</vt:lpstr>
      <vt:lpstr>Q3b_Y5_Participation</vt:lpstr>
      <vt:lpstr>Q3b_Y6_Participation</vt:lpstr>
      <vt:lpstr>Q3b_Y7_Participation</vt:lpstr>
      <vt:lpstr>Q3b_Y8_Participation</vt:lpstr>
      <vt:lpstr>Q3b_Y9_Participation</vt:lpstr>
      <vt:lpstr>Q3c_Comments</vt:lpstr>
      <vt:lpstr>Q3d_Comments</vt:lpstr>
      <vt:lpstr>Q3e_Comments</vt:lpstr>
      <vt:lpstr>Q3f_Comments</vt:lpstr>
      <vt:lpstr>Q3g_Comments</vt:lpstr>
      <vt:lpstr>Q3g_Dependent_Explain</vt:lpstr>
      <vt:lpstr>Q3g_Dependent_YN</vt:lpstr>
      <vt:lpstr>Q3g_PrimaryProduct</vt:lpstr>
      <vt:lpstr>Q4a_Army_Pct</vt:lpstr>
      <vt:lpstr>Q4a_Army_Support</vt:lpstr>
      <vt:lpstr>Q4a_Comments</vt:lpstr>
      <vt:lpstr>Q4a_DARPA_Pct</vt:lpstr>
      <vt:lpstr>Q4a_DARPA_Support</vt:lpstr>
      <vt:lpstr>Q4a_DHS_Pct</vt:lpstr>
      <vt:lpstr>Q4a_DHS_Support</vt:lpstr>
      <vt:lpstr>Q4a_DOE_Pct</vt:lpstr>
      <vt:lpstr>Q4a_DOE_Support</vt:lpstr>
      <vt:lpstr>Q4a_Intel_Pct</vt:lpstr>
      <vt:lpstr>Q4a_Intel_Support</vt:lpstr>
      <vt:lpstr>Q4a_MDA_Pct</vt:lpstr>
      <vt:lpstr>Q4a_MDA_Support</vt:lpstr>
      <vt:lpstr>Q4a_NASA_Pct</vt:lpstr>
      <vt:lpstr>Q4a_NASA_Support</vt:lpstr>
      <vt:lpstr>Q4a_Navy_Pct</vt:lpstr>
      <vt:lpstr>Q4a_Navy_Support</vt:lpstr>
      <vt:lpstr>Q4a_Other1_Pct</vt:lpstr>
      <vt:lpstr>Q4a_Other1_Select</vt:lpstr>
      <vt:lpstr>Q4a_Other1_Support</vt:lpstr>
      <vt:lpstr>Q4a_Other10_Pct</vt:lpstr>
      <vt:lpstr>Q4a_Other10_Select</vt:lpstr>
      <vt:lpstr>Q4a_Other10_Support</vt:lpstr>
      <vt:lpstr>Q4a_Other2_Pct</vt:lpstr>
      <vt:lpstr>Q4a_Other2_Select</vt:lpstr>
      <vt:lpstr>Q4a_Other2_Support</vt:lpstr>
      <vt:lpstr>Q4a_Other3_Pct</vt:lpstr>
      <vt:lpstr>Q4a_Other3_Select</vt:lpstr>
      <vt:lpstr>Q4a_Other3_Support</vt:lpstr>
      <vt:lpstr>Q4a_Other4_Pct</vt:lpstr>
      <vt:lpstr>Q4a_Other4_Select</vt:lpstr>
      <vt:lpstr>Q4a_Other4_Support</vt:lpstr>
      <vt:lpstr>Q4a_Other5_Pct</vt:lpstr>
      <vt:lpstr>Q4a_Other5_Select</vt:lpstr>
      <vt:lpstr>Q4a_Other5_Support</vt:lpstr>
      <vt:lpstr>Q4a_Other6_Pct</vt:lpstr>
      <vt:lpstr>Q4a_Other6_Select</vt:lpstr>
      <vt:lpstr>Q4a_Other6_Support</vt:lpstr>
      <vt:lpstr>Q4a_Other7_Pct</vt:lpstr>
      <vt:lpstr>Q4a_Other7_Select</vt:lpstr>
      <vt:lpstr>Q4a_Other7_Support</vt:lpstr>
      <vt:lpstr>Q4a_Other8_Pct</vt:lpstr>
      <vt:lpstr>Q4a_Other8_Select</vt:lpstr>
      <vt:lpstr>Q4a_Other8_Support</vt:lpstr>
      <vt:lpstr>Q4a_Other9_Pct</vt:lpstr>
      <vt:lpstr>Q4a_Other9_Select</vt:lpstr>
      <vt:lpstr>Q4a_Other9_Support</vt:lpstr>
      <vt:lpstr>Q4a_OtherWrite1_Pct</vt:lpstr>
      <vt:lpstr>Q4a_OtherWrite1_Select</vt:lpstr>
      <vt:lpstr>Q4a_OtherWrite1_Support</vt:lpstr>
      <vt:lpstr>Q4a_OtherWrite2_Pct</vt:lpstr>
      <vt:lpstr>Q4a_OtherWrite2_Select</vt:lpstr>
      <vt:lpstr>Q4a_OtherWrite2_Support</vt:lpstr>
      <vt:lpstr>Q4a_OtherWrite3_Pct</vt:lpstr>
      <vt:lpstr>Q4a_OtherWrite3_Select</vt:lpstr>
      <vt:lpstr>Q4a_OtherWrite3_Support</vt:lpstr>
      <vt:lpstr>Q4a_State_Pct</vt:lpstr>
      <vt:lpstr>Q4a_State_Support</vt:lpstr>
      <vt:lpstr>Q4a_USAF_Pct</vt:lpstr>
      <vt:lpstr>Q4a_USAF_Support</vt:lpstr>
      <vt:lpstr>Q4a_USMC_Pct</vt:lpstr>
      <vt:lpstr>Q4a_USMC_Support</vt:lpstr>
      <vt:lpstr>Q4b_001_Participation</vt:lpstr>
      <vt:lpstr>Q4b_002_Participation</vt:lpstr>
      <vt:lpstr>Q4b_003_Participation</vt:lpstr>
      <vt:lpstr>Q4b_004_Participation</vt:lpstr>
      <vt:lpstr>Q4b_005_Participation</vt:lpstr>
      <vt:lpstr>Q4b_006_Participation</vt:lpstr>
      <vt:lpstr>Q4b_007_Participation</vt:lpstr>
      <vt:lpstr>Q4b_008_Participation</vt:lpstr>
      <vt:lpstr>Q4b_009_Participation</vt:lpstr>
      <vt:lpstr>Q4b_010_Participation</vt:lpstr>
      <vt:lpstr>Q4b_011_Participation</vt:lpstr>
      <vt:lpstr>Q4b_012_Participation</vt:lpstr>
      <vt:lpstr>Q4b_013_Participation</vt:lpstr>
      <vt:lpstr>Q4b_014_Participation</vt:lpstr>
      <vt:lpstr>Q4b_015_Participation</vt:lpstr>
      <vt:lpstr>Q4b_016_Participation</vt:lpstr>
      <vt:lpstr>Q4b_017_Participation</vt:lpstr>
      <vt:lpstr>Q4b_018_Participation</vt:lpstr>
      <vt:lpstr>Q4b_019_Participation</vt:lpstr>
      <vt:lpstr>Q4b_020_Participation</vt:lpstr>
      <vt:lpstr>Q4b_021_Participation</vt:lpstr>
      <vt:lpstr>Q4b_022_Participation</vt:lpstr>
      <vt:lpstr>Q4b_023_Participation</vt:lpstr>
      <vt:lpstr>Q4b_024_Participation</vt:lpstr>
      <vt:lpstr>Q4b_025_Participation</vt:lpstr>
      <vt:lpstr>Q4b_026_Participation</vt:lpstr>
      <vt:lpstr>Q4b_027_Participation</vt:lpstr>
      <vt:lpstr>Q4b_028_Participation</vt:lpstr>
      <vt:lpstr>Q4b_029_Participation</vt:lpstr>
      <vt:lpstr>Q4b_030_Participation</vt:lpstr>
      <vt:lpstr>Q4b_031_Participation</vt:lpstr>
      <vt:lpstr>Q4b_032_Participation</vt:lpstr>
      <vt:lpstr>Q4b_033_Participation</vt:lpstr>
      <vt:lpstr>Q4b_034_Participation</vt:lpstr>
      <vt:lpstr>Q4b_035_Participation</vt:lpstr>
      <vt:lpstr>Q4b_036_Participation</vt:lpstr>
      <vt:lpstr>Q4b_037_Participation</vt:lpstr>
      <vt:lpstr>Q4b_038_Participation</vt:lpstr>
      <vt:lpstr>Q4b_039_Participation</vt:lpstr>
      <vt:lpstr>Q4b_040_Participation</vt:lpstr>
      <vt:lpstr>Q4b_041_Participation</vt:lpstr>
      <vt:lpstr>Q4b_042_Participation</vt:lpstr>
      <vt:lpstr>Q4b_043_Participation</vt:lpstr>
      <vt:lpstr>Q4b_044_Participation</vt:lpstr>
      <vt:lpstr>Q4b_045_Participation</vt:lpstr>
      <vt:lpstr>Q4b_046_Participation</vt:lpstr>
      <vt:lpstr>Q4b_047_Participation</vt:lpstr>
      <vt:lpstr>Q4b_048_Participation</vt:lpstr>
      <vt:lpstr>Q4b_049_Participation</vt:lpstr>
      <vt:lpstr>Q4b_050_Participation</vt:lpstr>
      <vt:lpstr>Q4b_051_Participation</vt:lpstr>
      <vt:lpstr>Q4b_052_Participation</vt:lpstr>
      <vt:lpstr>Q4b_053_Participation</vt:lpstr>
      <vt:lpstr>Q4b_054_Participation</vt:lpstr>
      <vt:lpstr>Q4b_055_Participation</vt:lpstr>
      <vt:lpstr>Q4b_056_Participation</vt:lpstr>
      <vt:lpstr>Q4b_057_Participation</vt:lpstr>
      <vt:lpstr>Q4b_058_Participation</vt:lpstr>
      <vt:lpstr>Q4b_059_Participation</vt:lpstr>
      <vt:lpstr>Q4b_060_Participation</vt:lpstr>
      <vt:lpstr>Q4b_061_Participation</vt:lpstr>
      <vt:lpstr>Q4b_062_Participation</vt:lpstr>
      <vt:lpstr>Q4b_063_Participation</vt:lpstr>
      <vt:lpstr>Q4b_064_Participation</vt:lpstr>
      <vt:lpstr>Q4b_065_Participation</vt:lpstr>
      <vt:lpstr>Q4b_066_Participation</vt:lpstr>
      <vt:lpstr>Q4b_067_Participation</vt:lpstr>
      <vt:lpstr>Q4b_068_Participation</vt:lpstr>
      <vt:lpstr>Q4b_069_Participation</vt:lpstr>
      <vt:lpstr>Q4b_070_Participation</vt:lpstr>
      <vt:lpstr>Q4b_071_Participation</vt:lpstr>
      <vt:lpstr>Q4b_072_Participation</vt:lpstr>
      <vt:lpstr>Q4b_073_Participation</vt:lpstr>
      <vt:lpstr>Q4b_074_Participation</vt:lpstr>
      <vt:lpstr>Q4b_075_Participation</vt:lpstr>
      <vt:lpstr>Q4b_076_Participation</vt:lpstr>
      <vt:lpstr>Q4b_077_Participation</vt:lpstr>
      <vt:lpstr>Q4b_078_Participation</vt:lpstr>
      <vt:lpstr>Q4b_079_Participation</vt:lpstr>
      <vt:lpstr>Q4b_080_Participation</vt:lpstr>
      <vt:lpstr>Q4b_081_Participation</vt:lpstr>
      <vt:lpstr>Q4b_082_Participation</vt:lpstr>
      <vt:lpstr>Q4b_083_Participation</vt:lpstr>
      <vt:lpstr>Q4b_084_Participation</vt:lpstr>
      <vt:lpstr>Q4b_085_Participation</vt:lpstr>
      <vt:lpstr>Q4b_086_Participation</vt:lpstr>
      <vt:lpstr>Q4b_087_Participation</vt:lpstr>
      <vt:lpstr>Q4b_088_Participation</vt:lpstr>
      <vt:lpstr>Q4b_089_Participation</vt:lpstr>
      <vt:lpstr>Q4b_090_Participation</vt:lpstr>
      <vt:lpstr>Q4b_091_Participation</vt:lpstr>
      <vt:lpstr>Q4b_092_Participation</vt:lpstr>
      <vt:lpstr>Q4b_093_Participation</vt:lpstr>
      <vt:lpstr>Q4b_094_Participation</vt:lpstr>
      <vt:lpstr>Q4b_095_Participation</vt:lpstr>
      <vt:lpstr>Q4b_096_Participation</vt:lpstr>
      <vt:lpstr>Q4b_097_Participation</vt:lpstr>
      <vt:lpstr>Q4b_098_Participation</vt:lpstr>
      <vt:lpstr>Q4b_099_Participation</vt:lpstr>
      <vt:lpstr>Q4b_100_Participation</vt:lpstr>
      <vt:lpstr>Q4b_101_Participation</vt:lpstr>
      <vt:lpstr>Q4b_102_Participation</vt:lpstr>
      <vt:lpstr>Q4b_103_Participation</vt:lpstr>
      <vt:lpstr>Q4b_104_Participation</vt:lpstr>
      <vt:lpstr>Q4b_105_Participation</vt:lpstr>
      <vt:lpstr>Q4b_106_Participation</vt:lpstr>
      <vt:lpstr>Q4b_107_Participation</vt:lpstr>
      <vt:lpstr>Q4b_108_Participation</vt:lpstr>
      <vt:lpstr>Q4b_109_Participation</vt:lpstr>
      <vt:lpstr>Q4b_110_Participation</vt:lpstr>
      <vt:lpstr>Q4b_111_Participation</vt:lpstr>
      <vt:lpstr>Q4b_112_Participation</vt:lpstr>
      <vt:lpstr>Q4b_113_Participation</vt:lpstr>
      <vt:lpstr>Q4b_114_Participation</vt:lpstr>
      <vt:lpstr>Q4b_115_Participation</vt:lpstr>
      <vt:lpstr>Q4b_116_Participation</vt:lpstr>
      <vt:lpstr>Q4b_117_Participation</vt:lpstr>
      <vt:lpstr>Q4b_118_Participation</vt:lpstr>
      <vt:lpstr>Q4b_119_Participation</vt:lpstr>
      <vt:lpstr>Q4b_120_Participation</vt:lpstr>
      <vt:lpstr>Q4b_121_Participation</vt:lpstr>
      <vt:lpstr>Q4b_122_Participation</vt:lpstr>
      <vt:lpstr>Q4b_123_Participation</vt:lpstr>
      <vt:lpstr>Q4b_124_Participation</vt:lpstr>
      <vt:lpstr>Q4b_125_Participation</vt:lpstr>
      <vt:lpstr>Q4b_126_Participation</vt:lpstr>
      <vt:lpstr>Q4b_127_Participation</vt:lpstr>
      <vt:lpstr>Q4b_128_Participation</vt:lpstr>
      <vt:lpstr>Q4b_129_Participation</vt:lpstr>
      <vt:lpstr>Q4b_130_Participation</vt:lpstr>
      <vt:lpstr>Q4b_131_Participation</vt:lpstr>
      <vt:lpstr>Q4b_132_Participation</vt:lpstr>
      <vt:lpstr>Q4b_133_Participation</vt:lpstr>
      <vt:lpstr>Q4b_134_Participation</vt:lpstr>
      <vt:lpstr>Q4b_135_Participation</vt:lpstr>
      <vt:lpstr>Q4b_136_Participation</vt:lpstr>
      <vt:lpstr>Q4b_137_Participation</vt:lpstr>
      <vt:lpstr>Q4b_138_Participation</vt:lpstr>
      <vt:lpstr>Q4b_139_Participation</vt:lpstr>
      <vt:lpstr>Q4b_140_Participation</vt:lpstr>
      <vt:lpstr>Q4b_141_Participation</vt:lpstr>
      <vt:lpstr>Q4b_142_Participation</vt:lpstr>
      <vt:lpstr>Q4b_143_Participation</vt:lpstr>
      <vt:lpstr>Q4b_144_Participation</vt:lpstr>
      <vt:lpstr>Q4b_145_Participation</vt:lpstr>
      <vt:lpstr>Q4b_146_Participation</vt:lpstr>
      <vt:lpstr>Q4b_147_Participation</vt:lpstr>
      <vt:lpstr>Q4b_148_Participation</vt:lpstr>
      <vt:lpstr>Q4b_149_Participation</vt:lpstr>
      <vt:lpstr>Q4b_150_Participation</vt:lpstr>
      <vt:lpstr>Q4b_151_Participation</vt:lpstr>
      <vt:lpstr>Q4b_152_Participation</vt:lpstr>
      <vt:lpstr>Q4b_153_Participation</vt:lpstr>
      <vt:lpstr>Q4b_154_Participation</vt:lpstr>
      <vt:lpstr>Q4b_155_Participation</vt:lpstr>
      <vt:lpstr>Q4b_156_Participation</vt:lpstr>
      <vt:lpstr>Q4b_157_Participation</vt:lpstr>
      <vt:lpstr>Q4b_158_Participation</vt:lpstr>
      <vt:lpstr>Q4b_159_Participation</vt:lpstr>
      <vt:lpstr>Q4b_160_Participation</vt:lpstr>
      <vt:lpstr>Q4b_161_Participation</vt:lpstr>
      <vt:lpstr>Q4b_162_Participation</vt:lpstr>
      <vt:lpstr>Q4b_163_Participation</vt:lpstr>
      <vt:lpstr>Q4b_164_Participation</vt:lpstr>
      <vt:lpstr>Q4b_165_Participation</vt:lpstr>
      <vt:lpstr>Q4b_166_Participation</vt:lpstr>
      <vt:lpstr>Q4b_167_Participation</vt:lpstr>
      <vt:lpstr>Q4b_168_Participation</vt:lpstr>
      <vt:lpstr>Q4b_169_Participation</vt:lpstr>
      <vt:lpstr>Q4b_170_Participation</vt:lpstr>
      <vt:lpstr>Q4b_171_Participation</vt:lpstr>
      <vt:lpstr>Q4b_172_Participation</vt:lpstr>
      <vt:lpstr>Q4b_173_Participation</vt:lpstr>
      <vt:lpstr>Q4b_174_Participation</vt:lpstr>
      <vt:lpstr>Q4b_175_Participation</vt:lpstr>
      <vt:lpstr>Q4b_176_Participation</vt:lpstr>
      <vt:lpstr>Q4b_177_Participation</vt:lpstr>
      <vt:lpstr>Q4b_178_Participation</vt:lpstr>
      <vt:lpstr>Q4b_179_Participation</vt:lpstr>
      <vt:lpstr>Q4b_180_Participation</vt:lpstr>
      <vt:lpstr>Q4b_181_Participation</vt:lpstr>
      <vt:lpstr>Q4b_182_Participation</vt:lpstr>
      <vt:lpstr>Q4b_183_Participation</vt:lpstr>
      <vt:lpstr>Q4b_184_Participation</vt:lpstr>
      <vt:lpstr>Q4b_185_Participation</vt:lpstr>
      <vt:lpstr>Q4b_186_Participation</vt:lpstr>
      <vt:lpstr>Q4b_187_Participation</vt:lpstr>
      <vt:lpstr>Q4b_188_Participation</vt:lpstr>
      <vt:lpstr>Q4b_189_Participation</vt:lpstr>
      <vt:lpstr>Q4b_190_Participation</vt:lpstr>
      <vt:lpstr>Q4b_191_Participation</vt:lpstr>
      <vt:lpstr>Q4b_192_Participation</vt:lpstr>
      <vt:lpstr>Q4b_193_Participation</vt:lpstr>
      <vt:lpstr>Q4b_194_Participation</vt:lpstr>
      <vt:lpstr>Q4b_195_Participation</vt:lpstr>
      <vt:lpstr>Q4b_196_Participation</vt:lpstr>
      <vt:lpstr>Q4b_197_Participation</vt:lpstr>
      <vt:lpstr>Q4b_198_Participation</vt:lpstr>
      <vt:lpstr>Q4b_199_Participation</vt:lpstr>
      <vt:lpstr>Q4b_200_Participation</vt:lpstr>
      <vt:lpstr>Q4b_201_Participation</vt:lpstr>
      <vt:lpstr>Q4b_202_Participation</vt:lpstr>
      <vt:lpstr>Q4b_203_Participation</vt:lpstr>
      <vt:lpstr>Q4b_204_Participation</vt:lpstr>
      <vt:lpstr>Q4b_205_Participation</vt:lpstr>
      <vt:lpstr>Q4b_206_Participation</vt:lpstr>
      <vt:lpstr>Q4b_207_Participation</vt:lpstr>
      <vt:lpstr>Q4b_208_Participation</vt:lpstr>
      <vt:lpstr>Q4b_209_Participation</vt:lpstr>
      <vt:lpstr>Q4b_210_Participation</vt:lpstr>
      <vt:lpstr>Q4b_A_NumUSGPrograms</vt:lpstr>
      <vt:lpstr>Q4b_Applicability</vt:lpstr>
      <vt:lpstr>Q4b_Comments</vt:lpstr>
      <vt:lpstr>Q4b_Other01_Agency</vt:lpstr>
      <vt:lpstr>Q4b_Other01_Participation</vt:lpstr>
      <vt:lpstr>Q4b_Other01_Program</vt:lpstr>
      <vt:lpstr>Q4b_Other02_Agency</vt:lpstr>
      <vt:lpstr>Q4b_Other02_Participation</vt:lpstr>
      <vt:lpstr>Q4b_Other02_Program</vt:lpstr>
      <vt:lpstr>Q4b_Other03_Agency</vt:lpstr>
      <vt:lpstr>Q4b_Other03_Participation</vt:lpstr>
      <vt:lpstr>Q4b_Other03_Program</vt:lpstr>
      <vt:lpstr>Q4b_Other04_Agency</vt:lpstr>
      <vt:lpstr>Q4b_Other04_Participation</vt:lpstr>
      <vt:lpstr>Q4b_Other04_Program</vt:lpstr>
      <vt:lpstr>Q4b_Other05_Agency</vt:lpstr>
      <vt:lpstr>Q4b_Other05_Participation</vt:lpstr>
      <vt:lpstr>Q4b_Other05_Program</vt:lpstr>
      <vt:lpstr>Q4b_Other06_Agency</vt:lpstr>
      <vt:lpstr>Q4b_Other06_Participation</vt:lpstr>
      <vt:lpstr>Q4b_Other06_Program</vt:lpstr>
      <vt:lpstr>Q4b_Other07_Agency</vt:lpstr>
      <vt:lpstr>Q4b_Other07_Participation</vt:lpstr>
      <vt:lpstr>Q4b_Other07_Program</vt:lpstr>
      <vt:lpstr>Q4b_Other08_Agency</vt:lpstr>
      <vt:lpstr>Q4b_Other08_Participation</vt:lpstr>
      <vt:lpstr>Q4b_Other08_Program</vt:lpstr>
      <vt:lpstr>Q4b_Other09_Agency</vt:lpstr>
      <vt:lpstr>Q4b_Other09_Participation</vt:lpstr>
      <vt:lpstr>Q4b_Other09_Program</vt:lpstr>
      <vt:lpstr>Q4b_Other10_Agency</vt:lpstr>
      <vt:lpstr>Q4b_Other10_Participation</vt:lpstr>
      <vt:lpstr>Q4b_Other10_Program</vt:lpstr>
      <vt:lpstr>Q4b_Other11_Agency</vt:lpstr>
      <vt:lpstr>Q4b_Other11_Participation</vt:lpstr>
      <vt:lpstr>Q4b_Other11_Program</vt:lpstr>
      <vt:lpstr>Q4b_Other12_Agency</vt:lpstr>
      <vt:lpstr>Q4b_Other12_Participation</vt:lpstr>
      <vt:lpstr>Q4b_Other12_Program</vt:lpstr>
      <vt:lpstr>Q4b_Other13_Agency</vt:lpstr>
      <vt:lpstr>Q4b_Other13_Participation</vt:lpstr>
      <vt:lpstr>Q4b_Other13_Program</vt:lpstr>
      <vt:lpstr>Q4b_Other14_Agency</vt:lpstr>
      <vt:lpstr>Q4b_Other14_Participation</vt:lpstr>
      <vt:lpstr>Q4b_Other14_Program</vt:lpstr>
      <vt:lpstr>Q4b_Other15_Agency</vt:lpstr>
      <vt:lpstr>Q4b_Other15_Participation</vt:lpstr>
      <vt:lpstr>Q4b_Other15_Program</vt:lpstr>
      <vt:lpstr>Q4b_Other16_Agency</vt:lpstr>
      <vt:lpstr>Q4b_Other16_Participation</vt:lpstr>
      <vt:lpstr>Q4b_Other16_Program</vt:lpstr>
      <vt:lpstr>Q4b_Other17_Agency</vt:lpstr>
      <vt:lpstr>Q4b_Other17_Participation</vt:lpstr>
      <vt:lpstr>Q4b_Other17_Program</vt:lpstr>
      <vt:lpstr>Q4b_Other18_Agency</vt:lpstr>
      <vt:lpstr>Q4b_Other18_Participation</vt:lpstr>
      <vt:lpstr>Q4b_Other18_Program</vt:lpstr>
      <vt:lpstr>Q4b_Other19_Agency</vt:lpstr>
      <vt:lpstr>Q4b_Other19_Participation</vt:lpstr>
      <vt:lpstr>Q4b_Other19_Program</vt:lpstr>
      <vt:lpstr>Q4b_Other20_Agency</vt:lpstr>
      <vt:lpstr>Q4b_Other20_Participation</vt:lpstr>
      <vt:lpstr>Q4b_Other20_Program</vt:lpstr>
      <vt:lpstr>Q5_Comments</vt:lpstr>
      <vt:lpstr>Q6_A_Contractors_Year1</vt:lpstr>
      <vt:lpstr>Q6_A_Contractors_Year2</vt:lpstr>
      <vt:lpstr>Q6_A_Contractors_Year3</vt:lpstr>
      <vt:lpstr>Q6_A_Employees_Year1</vt:lpstr>
      <vt:lpstr>Q6_A_Employees_Year2</vt:lpstr>
      <vt:lpstr>Q6_A_Employees_Year3</vt:lpstr>
      <vt:lpstr>Q6_B_Contractor_F1_Total</vt:lpstr>
      <vt:lpstr>Q6_B_Contractor_GreenCard_Total</vt:lpstr>
      <vt:lpstr>Q6_B_Contractor_H1B_Total</vt:lpstr>
      <vt:lpstr>Q6_B_Contractor_H2B_Total</vt:lpstr>
      <vt:lpstr>Q6_B_Contractor_Other_Total</vt:lpstr>
      <vt:lpstr>Q6_B_Employee_F1_Total</vt:lpstr>
      <vt:lpstr>Q6_B_Employee_GreenCard_Total</vt:lpstr>
      <vt:lpstr>Q6_B_Employee_H1B_Total</vt:lpstr>
      <vt:lpstr>Q6_B_Employee_H2B_Total</vt:lpstr>
      <vt:lpstr>Q6_B_Employee_Other_Total</vt:lpstr>
      <vt:lpstr>Q6_B_TotalNonUS</vt:lpstr>
      <vt:lpstr>Q6_C_Confidential</vt:lpstr>
      <vt:lpstr>Q6_C_Secret</vt:lpstr>
      <vt:lpstr>Q6_C_TopSecret</vt:lpstr>
      <vt:lpstr>Q6_Comments</vt:lpstr>
      <vt:lpstr>Q6D_Difficulty_YN</vt:lpstr>
      <vt:lpstr>Q6D_Engineer_Difficulty_Explain</vt:lpstr>
      <vt:lpstr>Q6D_Engineer_Difficulty_Type</vt:lpstr>
      <vt:lpstr>Q6D_IT_Difficulty_Explain</vt:lpstr>
      <vt:lpstr>Q6D_IT_Difficulty_Type</vt:lpstr>
      <vt:lpstr>Q6D_Other_Difficulty_Explain</vt:lpstr>
      <vt:lpstr>Q6D_Other_Difficulty_Specify</vt:lpstr>
      <vt:lpstr>Q6D_Other_Difficulty_Type</vt:lpstr>
      <vt:lpstr>Q6D_Production_Difficulty_Explain</vt:lpstr>
      <vt:lpstr>Q6D_Production_Difficulty_Type</vt:lpstr>
      <vt:lpstr>Q6D_Testing_Difficulty_Explain</vt:lpstr>
      <vt:lpstr>Q6D_Testing_Difficulty_Type</vt:lpstr>
      <vt:lpstr>Q7_A_TotalSales_NonUS_Year1</vt:lpstr>
      <vt:lpstr>Q7_A_TotalSales_NonUS_Year2</vt:lpstr>
      <vt:lpstr>Q7_A_TotalSales_NonUS_Year3</vt:lpstr>
      <vt:lpstr>Q7_A_TotalSales_US_Year1</vt:lpstr>
      <vt:lpstr>Q7_A_TotalSales_US_Year2</vt:lpstr>
      <vt:lpstr>Q7_A_TotalSales_US_Year3</vt:lpstr>
      <vt:lpstr>Q7_B_ClassSales_NonUS_Year1_Pct</vt:lpstr>
      <vt:lpstr>Q7_B_ClassSales_NonUS_Year2_Pct</vt:lpstr>
      <vt:lpstr>Q7_B_ClassSales_NonUS_Year3_Pct</vt:lpstr>
      <vt:lpstr>Q7_B_ClassSales_US_Year1_Pct</vt:lpstr>
      <vt:lpstr>Q7_B_ClassSales_US_Year2_Pct</vt:lpstr>
      <vt:lpstr>Q7_B_ClassSales_US_Year3_Pct</vt:lpstr>
      <vt:lpstr>Q7_B_DefSales_NonUS_Year1_Pct</vt:lpstr>
      <vt:lpstr>Q7_B_DefSales_NonUS_Year2_Pct</vt:lpstr>
      <vt:lpstr>Q7_B_DefSales_NonUS_Year3_Pct</vt:lpstr>
      <vt:lpstr>Q7_B_DefSales_US_Year1_Pct</vt:lpstr>
      <vt:lpstr>Q7_B_DefSales_US_Year2_Pct</vt:lpstr>
      <vt:lpstr>Q7_B_DefSales_US_Year3_Pct</vt:lpstr>
      <vt:lpstr>Q7_B_GovSales_NonUS_Year1_Pct</vt:lpstr>
      <vt:lpstr>Q7_B_GovSales_NonUS_Year2_Pct</vt:lpstr>
      <vt:lpstr>Q7_B_GovSales_NonUS_Year3_Pct</vt:lpstr>
      <vt:lpstr>Q7_B_GovSales_US_Year1_Pct</vt:lpstr>
      <vt:lpstr>Q7_B_GovSales_US_Year2_Pct</vt:lpstr>
      <vt:lpstr>Q7_B_GovSales_US_Year3_Pct</vt:lpstr>
      <vt:lpstr>Q7_Comments</vt:lpstr>
      <vt:lpstr>Q7_Schedule</vt:lpstr>
      <vt:lpstr>Q7_Source</vt:lpstr>
      <vt:lpstr>Q8_Comments</vt:lpstr>
      <vt:lpstr>Q8_Total_NonUS</vt:lpstr>
      <vt:lpstr>Q8_Total_US</vt:lpstr>
      <vt:lpstr>Q9a_A_Authorities_BIS</vt:lpstr>
      <vt:lpstr>Q9a_A_Authorities_DefInvestigative</vt:lpstr>
      <vt:lpstr>Q9a_A_Authorities_DHS</vt:lpstr>
      <vt:lpstr>Q9a_A_Authorities_DLA</vt:lpstr>
      <vt:lpstr>Q9a_A_Authorities_DOE</vt:lpstr>
      <vt:lpstr>Q9a_A_Authorities_DOJ</vt:lpstr>
      <vt:lpstr>Q9a_A_Authorities_DSS</vt:lpstr>
      <vt:lpstr>Q9a_A_Authorities_FBI</vt:lpstr>
      <vt:lpstr>Q9a_A_Authorities_FCC</vt:lpstr>
      <vt:lpstr>Q9a_A_Authorities_FTC</vt:lpstr>
      <vt:lpstr>Q9a_A_Authorities_GIDEP</vt:lpstr>
      <vt:lpstr>Q9a_A_Authorities_Local</vt:lpstr>
      <vt:lpstr>Q9a_A_Authorities_NASA</vt:lpstr>
      <vt:lpstr>Q9a_A_Authorities_None</vt:lpstr>
      <vt:lpstr>Q9a_A_Authorities_NRC</vt:lpstr>
      <vt:lpstr>Q9a_A_Authorities_NSA</vt:lpstr>
      <vt:lpstr>Q9a_A_Authorities_Other1</vt:lpstr>
      <vt:lpstr>Q9a_A_Authorities_Other1_Specify</vt:lpstr>
      <vt:lpstr>Q9a_A_Authorities_Other2</vt:lpstr>
      <vt:lpstr>Q9a_A_Authorities_Other2_Specify</vt:lpstr>
      <vt:lpstr>Q9a_A_Authorities_SS</vt:lpstr>
      <vt:lpstr>Q9a_A_Authorities_USCERT</vt:lpstr>
      <vt:lpstr>Q9a_A_Authorities_YN</vt:lpstr>
      <vt:lpstr>Q9a_B_Cyber_Year1</vt:lpstr>
      <vt:lpstr>Q9a_B_Cyber_Year2</vt:lpstr>
      <vt:lpstr>Q9a_B_Cyber_Year3</vt:lpstr>
      <vt:lpstr>Q9a_B_Physical_Year1</vt:lpstr>
      <vt:lpstr>Q9a_B_Physical_Year2</vt:lpstr>
      <vt:lpstr>Q9a_B_Physical_Year3</vt:lpstr>
      <vt:lpstr>Q9a_C_Cyber_AccountMonitoring</vt:lpstr>
      <vt:lpstr>Q9a_C_Cyber_ApplicationSec</vt:lpstr>
      <vt:lpstr>Q9a_C_Cyber_AuditLogs</vt:lpstr>
      <vt:lpstr>Q9a_C_Cyber_BoundaryDef</vt:lpstr>
      <vt:lpstr>Q9a_C_Cyber_ContinuousVuln</vt:lpstr>
      <vt:lpstr>Q9a_C_Cyber_ControlledAccess</vt:lpstr>
      <vt:lpstr>Q9a_C_Cyber_ControlledAdmin</vt:lpstr>
      <vt:lpstr>Q9a_C_Cyber_DataProtection</vt:lpstr>
      <vt:lpstr>Q9a_C_Cyber_DataRecovery</vt:lpstr>
      <vt:lpstr>Q9a_C_Cyber_DeviceInventory</vt:lpstr>
      <vt:lpstr>Q9a_C_Cyber_HardwareConfig</vt:lpstr>
      <vt:lpstr>Q9a_C_Cyber_IncidentResponse</vt:lpstr>
      <vt:lpstr>Q9a_C_Cyber_MalwareDefense</vt:lpstr>
      <vt:lpstr>Q9a_C_Cyber_NetworkConfig</vt:lpstr>
      <vt:lpstr>Q9a_C_Cyber_NetworkEngineer</vt:lpstr>
      <vt:lpstr>Q9a_C_Cyber_Other1</vt:lpstr>
      <vt:lpstr>Q9a_C_Cyber_Other1_Specify</vt:lpstr>
      <vt:lpstr>Q9a_C_Cyber_Other2</vt:lpstr>
      <vt:lpstr>Q9a_C_Cyber_Other2_Specify</vt:lpstr>
      <vt:lpstr>Q9a_C_Cyber_PortControl</vt:lpstr>
      <vt:lpstr>Q9a_C_Cyber_RedTeamTests</vt:lpstr>
      <vt:lpstr>Q9a_C_Cyber_SkillsAssessment</vt:lpstr>
      <vt:lpstr>Q9a_C_Cyber_SoftwareInventory</vt:lpstr>
      <vt:lpstr>Q9a_C_Cyber_WirelessControl</vt:lpstr>
      <vt:lpstr>Q9a_C_Physical_AccessCards</vt:lpstr>
      <vt:lpstr>Q9a_C_Physical_AfterHours</vt:lpstr>
      <vt:lpstr>Q9a_C_Physical_Alarms</vt:lpstr>
      <vt:lpstr>Q9a_C_Physical_Barriers</vt:lpstr>
      <vt:lpstr>Q9a_C_Physical_CCTV</vt:lpstr>
      <vt:lpstr>Q9a_C_Physical_ControlEntry</vt:lpstr>
      <vt:lpstr>Q9a_C_Physical_Guards</vt:lpstr>
      <vt:lpstr>Q9a_C_Physical_Other1</vt:lpstr>
      <vt:lpstr>Q9a_C_Physical_Other1_Specify</vt:lpstr>
      <vt:lpstr>Q9a_C_Physical_Other2</vt:lpstr>
      <vt:lpstr>Q9a_C_Physical_Other2_Specify</vt:lpstr>
      <vt:lpstr>Q9a_C_Physical_Other3</vt:lpstr>
      <vt:lpstr>Q9a_C_Physical_Other3_Specify</vt:lpstr>
      <vt:lpstr>Q9a_C_Physical_Separation</vt:lpstr>
      <vt:lpstr>Q9a_Comments</vt:lpstr>
      <vt:lpstr>Q9a_D_NIST_Explain</vt:lpstr>
      <vt:lpstr>Q9a_D_NIST_Familiar_YN</vt:lpstr>
      <vt:lpstr>Q9a_D_NIST_Use</vt:lpstr>
      <vt:lpstr>Q9b_A_CyberSpending_Year1</vt:lpstr>
      <vt:lpstr>Q9b_A_CyberSpending_Year2</vt:lpstr>
      <vt:lpstr>Q9b_A_CyberSpending_Year3</vt:lpstr>
      <vt:lpstr>Q9b_A_PhysicalSpending_Year1</vt:lpstr>
      <vt:lpstr>Q9b_A_PhysicalSpending_Year2</vt:lpstr>
      <vt:lpstr>Q9b_A_PhysicalSpending_Year3</vt:lpstr>
      <vt:lpstr>Q9b_A_Schedule</vt:lpstr>
      <vt:lpstr>Q9b_A_Source</vt:lpstr>
      <vt:lpstr>Q9b_B_AccessEmployees_Explain</vt:lpstr>
      <vt:lpstr>Q9b_B_AccessEmployees_YN</vt:lpstr>
      <vt:lpstr>Q9b_B_AccessOutsiders_Explain</vt:lpstr>
      <vt:lpstr>Q9b_B_AccessOutsiders_YN</vt:lpstr>
      <vt:lpstr>Q9b_C_Data_Explain</vt:lpstr>
      <vt:lpstr>Q9b_C_DataCenter_NonUS_Count</vt:lpstr>
      <vt:lpstr>Q9b_C_DataCenter_NonUS_YN</vt:lpstr>
      <vt:lpstr>Q9b_C_DataCenter_US_Count</vt:lpstr>
      <vt:lpstr>Q9b_C_DataCenter_US_YN</vt:lpstr>
      <vt:lpstr>Q9b_C_External_NonUS</vt:lpstr>
      <vt:lpstr>Q9b_C_External_US</vt:lpstr>
      <vt:lpstr>Q9b_C_Pct_CSI_External</vt:lpstr>
      <vt:lpstr>Q9b_C_Share_CSI</vt:lpstr>
      <vt:lpstr>Q9b_C_Share_CSI_Explain</vt:lpstr>
      <vt:lpstr>Q9b_Comments</vt:lpstr>
      <vt:lpstr>Q9b_D1_CSI_Detect</vt:lpstr>
      <vt:lpstr>Q9b_D1_CSI_Explain</vt:lpstr>
      <vt:lpstr>Q9b_D1_CSI_Investigate</vt:lpstr>
      <vt:lpstr>Q9b_D2_APT_Detect</vt:lpstr>
      <vt:lpstr>Q9b_D2_APT_Number</vt:lpstr>
      <vt:lpstr>Q9b_D3_Costs</vt:lpstr>
      <vt:lpstr>Q9b_D3_Exfiltration</vt:lpstr>
      <vt:lpstr>Q9b_D3_ExitMarket</vt:lpstr>
      <vt:lpstr>Q9b_D3_ExitProduct</vt:lpstr>
      <vt:lpstr>Q9b_D3_ITDamage</vt:lpstr>
      <vt:lpstr>Q9b_D3_ITDowntime</vt:lpstr>
      <vt:lpstr>Q9b_D3_NewCyber</vt:lpstr>
      <vt:lpstr>Q9b_D3_Other1</vt:lpstr>
      <vt:lpstr>Q9b_D3_Other1_Specify</vt:lpstr>
      <vt:lpstr>Q9b_D3_Other2</vt:lpstr>
      <vt:lpstr>Q9b_D3_Other2_Specify</vt:lpstr>
      <vt:lpstr>Q9b_D3_RDChange</vt:lpstr>
      <vt:lpstr>Q9b_D3_RevisedPartnerships</vt:lpstr>
      <vt:lpstr>Q9b_D3_SalesLoss</vt:lpstr>
      <vt:lpstr>Q9b_D3_SoftwareTheft</vt:lpstr>
      <vt:lpstr>Q9b_D3_SystemsDamage</vt:lpstr>
      <vt:lpstr>Qgroup</vt:lpstr>
      <vt:lpstr>Rgroup</vt:lpstr>
      <vt:lpstr>RiskFinalRating</vt:lpstr>
      <vt:lpstr>RiskFinalScore</vt:lpstr>
      <vt:lpstr>RiskYear1</vt:lpstr>
      <vt:lpstr>RiskYear2</vt:lpstr>
      <vt:lpstr>RiskYear3</vt:lpstr>
      <vt:lpstr>Sgroup</vt:lpstr>
      <vt:lpstr>SoleSingle</vt:lpstr>
      <vt:lpstr>State</vt:lpstr>
      <vt:lpstr>SupportType</vt:lpstr>
      <vt:lpstr>Tgroup</vt:lpstr>
      <vt:lpstr>Ugroup</vt:lpstr>
      <vt:lpstr>Vgroup</vt:lpstr>
      <vt:lpstr>Wgroup</vt:lpstr>
      <vt:lpstr>Xgroup</vt:lpstr>
      <vt:lpstr>Year1</vt:lpstr>
      <vt:lpstr>Year2</vt:lpstr>
      <vt:lpstr>Year3</vt:lpstr>
      <vt:lpstr>YearType</vt:lpstr>
      <vt:lpstr>YesNo</vt:lpstr>
      <vt:lpstr>YesNoNA</vt:lpstr>
      <vt:lpstr>YesNoUnk</vt:lpstr>
      <vt:lpstr>Ygroup</vt:lpstr>
      <vt:lpstr>YNUnk</vt:lpstr>
    </vt:vector>
  </TitlesOfParts>
  <Company>US DOC Bureau of Industry and Security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Boylan-Kolchin</dc:creator>
  <cp:lastModifiedBy>BIS User</cp:lastModifiedBy>
  <cp:lastPrinted>2016-06-15T14:14:54Z</cp:lastPrinted>
  <dcterms:created xsi:type="dcterms:W3CDTF">2016-05-09T14:41:57Z</dcterms:created>
  <dcterms:modified xsi:type="dcterms:W3CDTF">2016-06-29T17:54:26Z</dcterms:modified>
</cp:coreProperties>
</file>