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Kerwin\Desktop\ICR Review Sept\"/>
    </mc:Choice>
  </mc:AlternateContent>
  <bookViews>
    <workbookView xWindow="120" yWindow="30" windowWidth="9600" windowHeight="693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s>
  <calcPr calcId="152511"/>
</workbook>
</file>

<file path=xl/calcChain.xml><?xml version="1.0" encoding="utf-8"?>
<calcChain xmlns="http://schemas.openxmlformats.org/spreadsheetml/2006/main">
  <c r="F21" i="1" l="1"/>
  <c r="F20" i="1"/>
  <c r="F24" i="1" l="1"/>
  <c r="G7" i="6" s="1"/>
  <c r="F32" i="1"/>
  <c r="F13" i="1"/>
  <c r="F11" i="1"/>
  <c r="F33" i="1" l="1"/>
  <c r="F15" i="3"/>
  <c r="C11" i="5"/>
  <c r="F11" i="5" s="1"/>
  <c r="E5" i="6"/>
  <c r="E8" i="6" s="1"/>
  <c r="C14" i="5"/>
  <c r="F14" i="5" s="1"/>
  <c r="C16" i="5"/>
  <c r="F16" i="5" s="1"/>
  <c r="D12" i="3"/>
  <c r="E12" i="3" s="1"/>
  <c r="D14" i="3"/>
  <c r="E14" i="3" s="1"/>
  <c r="D15" i="3"/>
  <c r="E15" i="3" s="1"/>
  <c r="D13" i="3"/>
  <c r="E13" i="3" s="1"/>
  <c r="D16" i="3"/>
  <c r="E16" i="3" s="1"/>
  <c r="F16" i="3"/>
  <c r="D17" i="3"/>
  <c r="E17" i="3" s="1"/>
  <c r="D18" i="3"/>
  <c r="E18" i="3" s="1"/>
  <c r="D20" i="3"/>
  <c r="E20" i="3" s="1"/>
  <c r="D8" i="3"/>
  <c r="E8" i="3" s="1"/>
  <c r="D9" i="3"/>
  <c r="E9" i="3" s="1"/>
  <c r="D10" i="3"/>
  <c r="E10" i="3" s="1"/>
  <c r="D7" i="3"/>
  <c r="E32" i="1"/>
  <c r="E24" i="1"/>
  <c r="G24" i="1" s="1"/>
  <c r="H24" i="1" s="1"/>
  <c r="E23" i="1"/>
  <c r="E22" i="1"/>
  <c r="G22" i="1" s="1"/>
  <c r="E19" i="1"/>
  <c r="F14" i="1"/>
  <c r="F19" i="1" s="1"/>
  <c r="E14" i="1"/>
  <c r="E26" i="1"/>
  <c r="F26" i="1"/>
  <c r="C18" i="5" s="1"/>
  <c r="F18" i="5" s="1"/>
  <c r="E13" i="1"/>
  <c r="E21" i="1"/>
  <c r="E20" i="1"/>
  <c r="F18" i="1"/>
  <c r="C10" i="5" s="1"/>
  <c r="F10" i="5" s="1"/>
  <c r="G16" i="3" l="1"/>
  <c r="H16" i="3" s="1"/>
  <c r="F13" i="3"/>
  <c r="G13" i="3" s="1"/>
  <c r="H13" i="3" s="1"/>
  <c r="G5" i="6"/>
  <c r="H5" i="6" s="1"/>
  <c r="F23" i="1"/>
  <c r="C15" i="5" s="1"/>
  <c r="F15" i="5" s="1"/>
  <c r="F10" i="3"/>
  <c r="G10" i="3" s="1"/>
  <c r="H10" i="3" s="1"/>
  <c r="C8" i="5"/>
  <c r="F8" i="5" s="1"/>
  <c r="C12" i="5"/>
  <c r="F12" i="5" s="1"/>
  <c r="F14" i="3"/>
  <c r="G14" i="3" s="1"/>
  <c r="H14" i="3" s="1"/>
  <c r="G6" i="6"/>
  <c r="H6" i="6" s="1"/>
  <c r="F12" i="3"/>
  <c r="G12" i="3" s="1"/>
  <c r="H12" i="3" s="1"/>
  <c r="F9" i="3"/>
  <c r="G9" i="3" s="1"/>
  <c r="H9" i="3" s="1"/>
  <c r="C7" i="5"/>
  <c r="F7" i="5" s="1"/>
  <c r="F20" i="3"/>
  <c r="G20" i="3" s="1"/>
  <c r="H20" i="3" s="1"/>
  <c r="F18" i="3"/>
  <c r="G18" i="3" s="1"/>
  <c r="C13" i="5"/>
  <c r="F13" i="5" s="1"/>
  <c r="G15" i="3"/>
  <c r="H15" i="3" s="1"/>
  <c r="I16" i="3"/>
  <c r="J16" i="3" s="1"/>
  <c r="G32" i="1"/>
  <c r="I24" i="1"/>
  <c r="J24" i="1" s="1"/>
  <c r="H22" i="1"/>
  <c r="I22" i="1"/>
  <c r="G14" i="1"/>
  <c r="H14" i="1" s="1"/>
  <c r="G21" i="1"/>
  <c r="H21" i="1" s="1"/>
  <c r="G19" i="1"/>
  <c r="I19" i="1" s="1"/>
  <c r="G26" i="1"/>
  <c r="I26" i="1" s="1"/>
  <c r="G13" i="1"/>
  <c r="H13" i="1" s="1"/>
  <c r="G20" i="1"/>
  <c r="H20" i="1" s="1"/>
  <c r="F12" i="1"/>
  <c r="E11" i="1"/>
  <c r="E9" i="1"/>
  <c r="G7" i="4"/>
  <c r="D8" i="4" s="1"/>
  <c r="M2" i="1" s="1"/>
  <c r="E18" i="1"/>
  <c r="G18" i="1" s="1"/>
  <c r="H18" i="1" s="1"/>
  <c r="E7" i="3"/>
  <c r="I32" i="1" l="1"/>
  <c r="I15" i="3"/>
  <c r="J15" i="3" s="1"/>
  <c r="I14" i="3"/>
  <c r="J14" i="3" s="1"/>
  <c r="C6" i="5"/>
  <c r="F6" i="5" s="1"/>
  <c r="F8" i="3"/>
  <c r="G8" i="3" s="1"/>
  <c r="C5" i="5"/>
  <c r="F5" i="5" s="1"/>
  <c r="F7" i="3"/>
  <c r="G7" i="3" s="1"/>
  <c r="H18" i="3"/>
  <c r="I18" i="3"/>
  <c r="I12" i="3"/>
  <c r="J12" i="3" s="1"/>
  <c r="I20" i="3"/>
  <c r="J20" i="3" s="1"/>
  <c r="G23" i="1"/>
  <c r="I23" i="1" s="1"/>
  <c r="I13" i="3"/>
  <c r="J13" i="3" s="1"/>
  <c r="F17" i="3"/>
  <c r="G17" i="3" s="1"/>
  <c r="H17" i="3" s="1"/>
  <c r="I10" i="3"/>
  <c r="J10" i="3" s="1"/>
  <c r="I9" i="3"/>
  <c r="J9" i="3" s="1"/>
  <c r="H32" i="1"/>
  <c r="J22" i="1"/>
  <c r="I14" i="1"/>
  <c r="J14" i="1" s="1"/>
  <c r="I21" i="1"/>
  <c r="J21" i="1" s="1"/>
  <c r="H19" i="1"/>
  <c r="J19" i="1" s="1"/>
  <c r="I20" i="1"/>
  <c r="J20" i="1" s="1"/>
  <c r="I13" i="1"/>
  <c r="J13" i="1" s="1"/>
  <c r="H26" i="1"/>
  <c r="J26" i="1" s="1"/>
  <c r="I18" i="1"/>
  <c r="J18" i="1" s="1"/>
  <c r="G11" i="1"/>
  <c r="H11" i="1" s="1"/>
  <c r="J32" i="1" l="1"/>
  <c r="F19" i="5"/>
  <c r="H7" i="3"/>
  <c r="I7" i="3"/>
  <c r="H8" i="3"/>
  <c r="I8" i="3"/>
  <c r="J18" i="3"/>
  <c r="H23" i="1"/>
  <c r="J23" i="1" s="1"/>
  <c r="I17" i="3"/>
  <c r="J17" i="3" s="1"/>
  <c r="I11" i="1"/>
  <c r="J11" i="1" s="1"/>
  <c r="G21" i="3" l="1"/>
  <c r="J8" i="3"/>
  <c r="J7" i="3"/>
  <c r="E33" i="1"/>
  <c r="G33" i="1" s="1"/>
  <c r="E12" i="1"/>
  <c r="G12" i="1" s="1"/>
  <c r="J21" i="3" l="1"/>
  <c r="H33" i="1"/>
  <c r="G39" i="1" s="1"/>
  <c r="I33" i="1"/>
  <c r="H12" i="1"/>
  <c r="I12" i="1"/>
  <c r="J33" i="1" l="1"/>
  <c r="J39" i="1" s="1"/>
  <c r="J12" i="1"/>
  <c r="H7" i="6" l="1"/>
  <c r="H8" i="6" s="1"/>
  <c r="J41" i="1" l="1"/>
  <c r="F10" i="4"/>
  <c r="E10" i="4"/>
  <c r="C8" i="4" l="1"/>
  <c r="C9" i="4" l="1"/>
  <c r="C10" i="4"/>
  <c r="M7" i="1" s="1"/>
  <c r="F9" i="1" l="1"/>
  <c r="G9" i="1" s="1"/>
  <c r="G8" i="4"/>
  <c r="D9" i="4" s="1"/>
  <c r="H9" i="1" l="1"/>
  <c r="I9" i="1"/>
  <c r="G9" i="4"/>
  <c r="G10" i="4" s="1"/>
  <c r="D10" i="4"/>
  <c r="G27" i="1" l="1"/>
  <c r="G40" i="1" s="1"/>
  <c r="F20" i="5" s="1"/>
  <c r="J9" i="1"/>
  <c r="J27" i="1" s="1"/>
  <c r="J40" i="1" s="1"/>
  <c r="J42" i="1" s="1"/>
</calcChain>
</file>

<file path=xl/sharedStrings.xml><?xml version="1.0" encoding="utf-8"?>
<sst xmlns="http://schemas.openxmlformats.org/spreadsheetml/2006/main" count="208" uniqueCount="167">
  <si>
    <t>(A)</t>
  </si>
  <si>
    <t>(B)</t>
  </si>
  <si>
    <t>(C)</t>
  </si>
  <si>
    <t>(D)</t>
  </si>
  <si>
    <t>(E)</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</si>
  <si>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</si>
  <si>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</si>
  <si>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</si>
  <si>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</si>
  <si>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</si>
  <si>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</si>
  <si>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</si>
  <si>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</si>
  <si>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</si>
  <si>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</si>
  <si>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</si>
  <si>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</si>
  <si>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</si>
  <si>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</si>
  <si>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</si>
  <si>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</si>
  <si>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</si>
  <si>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</si>
  <si>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</si>
  <si>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Source Type</t>
  </si>
  <si>
    <t>No.</t>
  </si>
  <si>
    <t>Existing</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</si>
  <si>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</si>
  <si>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</si>
  <si>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</si>
  <si>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</si>
  <si>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</si>
  <si>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</si>
  <si>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</si>
  <si>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</si>
  <si>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</si>
  <si>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</si>
  <si>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</si>
  <si>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</si>
  <si>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</si>
  <si>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</si>
  <si>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</si>
  <si>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</si>
  <si>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TOTAL ANNUAL BURDEN AND COST (ROUNDED)</t>
  </si>
  <si>
    <t>EPA
person-hours
per occurrence</t>
  </si>
  <si>
    <t>EPA
person-hours
per respondent
per year (AxB)</t>
  </si>
  <si>
    <t>Technical hours
per year
(CxD)</t>
  </si>
  <si>
    <t>Management
hours per year
(Ex0.05)</t>
  </si>
  <si>
    <t>Assumptions:</t>
  </si>
  <si>
    <t>Capital/Startup vs. Operation and Maintenance (O&amp;M) Costs</t>
  </si>
  <si>
    <t>Capital/Startup Cost for One Respondent</t>
  </si>
  <si>
    <t>(F)</t>
  </si>
  <si>
    <t>Number of Respondents  with O&amp;M</t>
  </si>
  <si>
    <t>(G)</t>
  </si>
  <si>
    <t>Total O&amp;M, (E X F)</t>
  </si>
  <si>
    <t>Recordkeeping Subtotal</t>
  </si>
  <si>
    <t>GRAND TOTAL (LABOR, CAPITAL, AND O&amp;M)</t>
  </si>
  <si>
    <t>ERG Notes</t>
  </si>
  <si>
    <t>Labor Rates:</t>
  </si>
  <si>
    <t>hrs/response:</t>
  </si>
  <si>
    <t>TOTAL ANNUAL CAPITAL AND O&amp;M COST (SEE SECTION 6(b)(iii))</t>
  </si>
  <si>
    <t>Requirement</t>
  </si>
  <si>
    <t>N/A - Not Applicable</t>
  </si>
  <si>
    <t>ERG Notes:</t>
  </si>
  <si>
    <r>
      <t>1</t>
    </r>
    <r>
      <rPr>
        <sz val="10"/>
        <color theme="1"/>
        <rFont val="Times New Roman"/>
        <family val="1"/>
      </rPr>
      <t xml:space="preserve"> New respondents include sources with constructed, reconstructed, and modified affected facilities.</t>
    </r>
  </si>
  <si>
    <t>b  This ICR uses the following labor rates: $103.97 (technical), $129.93 (managerial), and $51.79 (clerical).  These rates are from the United States Department of Labor, Bureau of Labor Statistics, June 2014, “Table 2. Civilian Workers, by occupational and industry group.”  The rates are from column 1, “Total compensation.”  They have been increased by 110 percent to account for the benefit packages available to those employed by private industry.</t>
  </si>
  <si>
    <t>New</t>
  </si>
  <si>
    <t>Table 1: Annual Respondent Burden and Cost – NSPS for Oil and Natural Gas Production and Natural Gas Transmission and Distribution (40 CFR Part 60, Subpart OOOO) (Renewal)</t>
  </si>
  <si>
    <t>Table 2: Average Annual EPA Burden and Cost – NSPS for Oil and Natural Gas Production and Natural Gas Transmission and Distribution (40 CFR Part 60, Subpart OOOO) (Renewal)</t>
  </si>
  <si>
    <t>1. Applications</t>
  </si>
  <si>
    <t>N/A</t>
  </si>
  <si>
    <t>2. Survey and Studies</t>
  </si>
  <si>
    <t>3. Acquisition, installation, and utilization of technology and systems</t>
  </si>
  <si>
    <t>4. Report requirements</t>
  </si>
  <si>
    <t>a. Read instructions</t>
  </si>
  <si>
    <t>b. Required activities</t>
  </si>
  <si>
    <t>i. Notification of gas well completion</t>
  </si>
  <si>
    <t>Processing plants</t>
  </si>
  <si>
    <t>Sweetening units</t>
  </si>
  <si>
    <t>Exploration/production</t>
  </si>
  <si>
    <t>Transmission/storage</t>
  </si>
  <si>
    <t>a  EPA estimates an average of 564 existing sources and 32 new sources will be subject to the standard over the next three years. Existing sources comprise 300 exploration and production businesses, 136 transmission and storage operations, 116 processing plants and 12 sweetening units.  New sources comprise 29 processing plants and 3 sweetening units.</t>
  </si>
  <si>
    <t>c. Create information</t>
  </si>
  <si>
    <t>See 4E</t>
  </si>
  <si>
    <t>See 4B</t>
  </si>
  <si>
    <t>d. Gather existing information</t>
  </si>
  <si>
    <t>e. Annual reports</t>
  </si>
  <si>
    <t>i. Gas well completion/recompletion</t>
  </si>
  <si>
    <t>f. Semiannual reports</t>
  </si>
  <si>
    <t>5. Recordkeeping requirements</t>
  </si>
  <si>
    <t>See 4A</t>
  </si>
  <si>
    <t>b. Plan activities</t>
  </si>
  <si>
    <t>c. Implement activities</t>
  </si>
  <si>
    <t>d. Record data</t>
  </si>
  <si>
    <t>i. Records required by standards</t>
  </si>
  <si>
    <t>See 5C</t>
  </si>
  <si>
    <t>e. Time to transmit or disclose information</t>
  </si>
  <si>
    <t>f. Time to train personnel</t>
  </si>
  <si>
    <t>g. Time for audits</t>
  </si>
  <si>
    <t>Review initial notifications</t>
  </si>
  <si>
    <t>ii. Notification of gas well recompletion</t>
  </si>
  <si>
    <t>Review annual reports</t>
  </si>
  <si>
    <t>Review semiannual reports</t>
  </si>
  <si>
    <t>i. Gas processing plant</t>
  </si>
  <si>
    <t>vii. Storage vessel</t>
  </si>
  <si>
    <t>b This ICR uses the following labor rates: $46.67 (technical), $62.90 (managerial), and $25.25 (clerical).  These rates are from the Office of Personnel Management (OPM), 2014 General Schedule, which excludes locality rates of pay.  The rates have been increased by 60 percent to account for the benefit packages available to government employees.</t>
  </si>
  <si>
    <t>Annual reports</t>
  </si>
  <si>
    <t>Notifications</t>
  </si>
  <si>
    <t>Gas well completion</t>
  </si>
  <si>
    <t>Gas well recompletion</t>
  </si>
  <si>
    <t>New gas processing plant</t>
  </si>
  <si>
    <t>New sweetening unit</t>
  </si>
  <si>
    <t>Gas well completion/recompletion</t>
  </si>
  <si>
    <t>Centrifugal compressor</t>
  </si>
  <si>
    <t>Reciprocating compressor</t>
  </si>
  <si>
    <t>Sweetening unit</t>
  </si>
  <si>
    <t>Semiannual reports</t>
  </si>
  <si>
    <t>Gas processing plant</t>
  </si>
  <si>
    <t>Production pneumatic controller</t>
  </si>
  <si>
    <t>Gas processing pneumatic controller</t>
  </si>
  <si>
    <t>Storage vessel</t>
  </si>
  <si>
    <t>vi. Gas processing pneumatic controller</t>
  </si>
  <si>
    <t>v. Production pneumatic controller</t>
  </si>
  <si>
    <t>CEM - Continuous Emission Monitoring System</t>
  </si>
  <si>
    <r>
      <t>SO</t>
    </r>
    <r>
      <rPr>
        <vertAlign val="subscript"/>
        <sz val="10"/>
        <color rgb="FF000000"/>
        <rFont val="Times New Roman"/>
        <family val="1"/>
      </rPr>
      <t>2</t>
    </r>
    <r>
      <rPr>
        <sz val="10"/>
        <color rgb="FF000000"/>
        <rFont val="Times New Roman"/>
        <family val="1"/>
      </rPr>
      <t xml:space="preserve"> CEMS (control outlet)</t>
    </r>
  </si>
  <si>
    <r>
      <t xml:space="preserve">Continuous control device monitoring for storage vessels </t>
    </r>
    <r>
      <rPr>
        <vertAlign val="superscript"/>
        <sz val="10"/>
        <color rgb="FF000000"/>
        <rFont val="Times New Roman"/>
        <family val="1"/>
      </rPr>
      <t>2</t>
    </r>
  </si>
  <si>
    <t>Total Capital/Startup Cost,  (B X C)</t>
  </si>
  <si>
    <r>
      <t xml:space="preserve">Continuous control device monitoring for centrifugal compressors </t>
    </r>
    <r>
      <rPr>
        <vertAlign val="superscript"/>
        <sz val="10"/>
        <color rgb="FF000000"/>
        <rFont val="Times New Roman"/>
        <family val="1"/>
      </rPr>
      <t>2</t>
    </r>
  </si>
  <si>
    <r>
      <t xml:space="preserve">Annual O&amp;M Costs for One Respondent </t>
    </r>
    <r>
      <rPr>
        <vertAlign val="superscript"/>
        <sz val="10"/>
        <color rgb="FF000000"/>
        <rFont val="Times New Roman"/>
        <family val="1"/>
      </rPr>
      <t>1</t>
    </r>
  </si>
  <si>
    <r>
      <t>1</t>
    </r>
    <r>
      <rPr>
        <sz val="10"/>
        <color theme="1"/>
        <rFont val="Times New Roman"/>
        <family val="1"/>
      </rPr>
      <t xml:space="preserve"> Annual O&amp;M costs for centrifugal compressors and storage vessels were calculated assuming 2 hours per month at $33.51 per hour.</t>
    </r>
  </si>
  <si>
    <r>
      <t>2</t>
    </r>
    <r>
      <rPr>
        <sz val="10"/>
        <color theme="1"/>
        <rFont val="Times New Roman"/>
        <family val="1"/>
      </rPr>
      <t xml:space="preserve"> Capital/Startup costs for continuous control device monitoring were included in storage vessel and centrifugal compressor control device costs.</t>
    </r>
  </si>
  <si>
    <t>-prev renewal: 3,230 responses, 21 hrs/response.</t>
  </si>
  <si>
    <t>Prev renewal: Cap/Startup = $219,000; O&amp;M = $612,336; O&amp;M increase due to industry growth.</t>
  </si>
  <si>
    <t>Prev renewal: 9,207 hrs and $420,919 (3-yr avg). Net increase due to industry growth.</t>
  </si>
  <si>
    <r>
      <t xml:space="preserve">a. Familiarization with the rule requirements </t>
    </r>
    <r>
      <rPr>
        <vertAlign val="superscript"/>
        <sz val="10"/>
        <rFont val="Times New Roman"/>
        <family val="1"/>
      </rPr>
      <t>c</t>
    </r>
  </si>
  <si>
    <r>
      <t xml:space="preserve">i. Notification of gas well completion </t>
    </r>
    <r>
      <rPr>
        <vertAlign val="superscript"/>
        <sz val="10"/>
        <rFont val="Times New Roman"/>
        <family val="1"/>
      </rPr>
      <t>d</t>
    </r>
  </si>
  <si>
    <r>
      <t xml:space="preserve">i. Gas well completion/recompletion </t>
    </r>
    <r>
      <rPr>
        <vertAlign val="superscript"/>
        <sz val="10"/>
        <rFont val="Times New Roman"/>
        <family val="1"/>
      </rPr>
      <t>d</t>
    </r>
  </si>
  <si>
    <r>
      <t xml:space="preserve">v. Production pneumatic controller </t>
    </r>
    <r>
      <rPr>
        <vertAlign val="superscript"/>
        <sz val="10"/>
        <rFont val="Times New Roman"/>
        <family val="1"/>
      </rPr>
      <t>i</t>
    </r>
  </si>
  <si>
    <r>
      <t xml:space="preserve">vi. Gas processing pneumatic controller </t>
    </r>
    <r>
      <rPr>
        <vertAlign val="superscript"/>
        <sz val="10"/>
        <rFont val="Times New Roman"/>
        <family val="1"/>
      </rPr>
      <t>j</t>
    </r>
  </si>
  <si>
    <r>
      <t xml:space="preserve">vii. Storage vessel </t>
    </r>
    <r>
      <rPr>
        <vertAlign val="superscript"/>
        <sz val="10"/>
        <rFont val="Times New Roman"/>
        <family val="1"/>
      </rPr>
      <t>k</t>
    </r>
  </si>
  <si>
    <r>
      <t xml:space="preserve">i. Gas processing plant </t>
    </r>
    <r>
      <rPr>
        <vertAlign val="superscript"/>
        <sz val="10"/>
        <rFont val="Times New Roman"/>
        <family val="1"/>
      </rPr>
      <t>l</t>
    </r>
  </si>
  <si>
    <r>
      <t xml:space="preserve">i. Filing and maintaining records </t>
    </r>
    <r>
      <rPr>
        <vertAlign val="superscript"/>
        <sz val="10"/>
        <rFont val="Times New Roman"/>
        <family val="1"/>
      </rPr>
      <t>l</t>
    </r>
  </si>
  <si>
    <r>
      <t xml:space="preserve">ii. Filing and maintaining records </t>
    </r>
    <r>
      <rPr>
        <vertAlign val="superscript"/>
        <sz val="10"/>
        <rFont val="Times New Roman"/>
        <family val="1"/>
      </rPr>
      <t>m</t>
    </r>
  </si>
  <si>
    <t>d Assumes 9,759 completions and 1,206 recompletions each year performed by 300 operators.</t>
  </si>
  <si>
    <t>i EPA estimates 13,632 pneumatic controllers across the 300 exploration &amp; production sites.</t>
  </si>
  <si>
    <t>j EPA estimates an average of 60 existing and 15 new pneumatic controllers at affected processing plants.</t>
  </si>
  <si>
    <t>l Activity applies to exploration &amp; production businesses and transmission &amp; storage operations, for which EPA estimates an average of 300 and 136 sources, respectively.</t>
  </si>
  <si>
    <t>m Activity applies to gas processing plants and sweetening units.  EPA estimates an average of 116 existing and 29 new processing plants and 12 existing and 3 new units.</t>
  </si>
  <si>
    <t>Prev renewal: 68,906 hrs and $2,306,573 (3-yr avg). Net increase due to industry growth. Also note that labor rates have nearly doubled since prev ICR, hence the significant burden increase.</t>
  </si>
  <si>
    <r>
      <t xml:space="preserve">ii. Notification of gas well recompletion </t>
    </r>
    <r>
      <rPr>
        <vertAlign val="superscript"/>
        <sz val="10"/>
        <rFont val="Times New Roman"/>
        <family val="1"/>
      </rPr>
      <t>d</t>
    </r>
  </si>
  <si>
    <r>
      <rPr>
        <b/>
        <sz val="10"/>
        <rFont val="Times New Roman"/>
        <family val="1"/>
      </rPr>
      <t>Note:</t>
    </r>
    <r>
      <rPr>
        <sz val="10"/>
        <rFont val="Times New Roman"/>
        <family val="1"/>
      </rPr>
      <t xml:space="preserve"> Totals have been rounded to three significant digits. Figures may not add exactly due to rounding. </t>
    </r>
  </si>
  <si>
    <t>c  This burden represents the time existing respondents spend re-familiarizing themselves with rule requirements, or that new respondents spend learning rule requirements.</t>
  </si>
  <si>
    <t>k EPA estimates an average of 304 existing and 76 new respondents in the production, processing, transmission, or storage segment will submit annual reports.  EPA anticipates each report will cover approximately four storage vessels, based on research the Agency conducted during initial rule development.</t>
  </si>
  <si>
    <t>e EPA estimates an average of 116 existing and 29 new processing plants.</t>
  </si>
  <si>
    <t>f EPA estimates an average of 12 existing and 3 new sweetening units.</t>
  </si>
  <si>
    <t>g EPA estimates an average of 52 existing and 13 new centrifugal compressors equipped with wet seals at processing plants.</t>
  </si>
  <si>
    <t>h EPA estimates an average of 1,676 existing and 419 new reciprocating compressors.  For existing sources, EPA estimates there are 840 compressors at gathering &amp; boosting stations and 836 compressors are at processing plants. For new sources, EPA estimates there will be 210 compressors at gathering &amp; boosting stations and 209 compressors at processing plants.</t>
  </si>
  <si>
    <r>
      <t xml:space="preserve">iii. Notification of new gas processing plant </t>
    </r>
    <r>
      <rPr>
        <vertAlign val="superscript"/>
        <sz val="10"/>
        <rFont val="Times New Roman"/>
        <family val="1"/>
      </rPr>
      <t>e</t>
    </r>
  </si>
  <si>
    <r>
      <t xml:space="preserve">iv. Notification of new sweetening unit </t>
    </r>
    <r>
      <rPr>
        <vertAlign val="superscript"/>
        <sz val="10"/>
        <rFont val="Times New Roman"/>
        <family val="1"/>
      </rPr>
      <t>f</t>
    </r>
  </si>
  <si>
    <r>
      <t xml:space="preserve">ii. Sweetening unit </t>
    </r>
    <r>
      <rPr>
        <vertAlign val="superscript"/>
        <sz val="10"/>
        <rFont val="Times New Roman"/>
        <family val="1"/>
      </rPr>
      <t>f</t>
    </r>
  </si>
  <si>
    <r>
      <t xml:space="preserve">iii. Centrifugal compressor </t>
    </r>
    <r>
      <rPr>
        <vertAlign val="superscript"/>
        <sz val="10"/>
        <rFont val="Times New Roman"/>
        <family val="1"/>
      </rPr>
      <t>g</t>
    </r>
  </si>
  <si>
    <r>
      <t xml:space="preserve">iv. Reciprocating compressor </t>
    </r>
    <r>
      <rPr>
        <vertAlign val="superscript"/>
        <sz val="10"/>
        <rFont val="Times New Roman"/>
        <family val="1"/>
      </rPr>
      <t>h</t>
    </r>
  </si>
  <si>
    <t>iii. Notification of new gas processing plant</t>
  </si>
  <si>
    <t>iv. Notification of new sweetening unit</t>
  </si>
  <si>
    <t>ii. Sweetening unit</t>
  </si>
  <si>
    <t>iii. Centrifugal compressor</t>
  </si>
  <si>
    <t>iv. Reciprocating compressor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</si>
</sst>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00"/>
    <numFmt numFmtId="165" formatCode="#,##0.0"/>
    <numFmt numFmtId="166" formatCode="0.0"/>
    <numFmt numFmtId="167" formatCode="&quot;$&quot;#,##0"/>
  </numFmts>
  <fonts count="22"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name val="Arial"/>
      <family val="2"/>
    </font>
    <font>
      <vertAlign val="subscript"/>
      <sz val="10"/>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7" fillId="0" borderId="0"/>
  </cellStyleXfs>
  <cellXfs count="131">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4" fontId="3" fillId="0" borderId="0" xfId="0" applyNumberFormat="1"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Alignment="1"/>
    <xf numFmtId="0" fontId="3" fillId="0" borderId="0" xfId="0" applyFont="1" applyAlignment="1"/>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3" fillId="0" borderId="0" xfId="0" applyNumberFormat="1" applyFont="1" applyAlignment="1">
      <alignment wrapText="1"/>
    </xf>
    <xf numFmtId="0" fontId="5" fillId="2" borderId="2" xfId="0" applyFont="1" applyFill="1" applyBorder="1"/>
    <xf numFmtId="0" fontId="3" fillId="0" borderId="2" xfId="0" applyFont="1" applyBorder="1"/>
    <xf numFmtId="0" fontId="7" fillId="0" borderId="0" xfId="1"/>
    <xf numFmtId="0" fontId="8" fillId="0" borderId="4" xfId="1" applyFont="1" applyBorder="1" applyAlignment="1">
      <alignment vertical="top" wrapText="1"/>
    </xf>
    <xf numFmtId="0" fontId="9" fillId="0" borderId="2" xfId="1" applyFont="1" applyBorder="1" applyAlignment="1">
      <alignment vertical="top" wrapText="1"/>
    </xf>
    <xf numFmtId="0" fontId="10" fillId="0" borderId="1" xfId="1" applyFont="1" applyBorder="1" applyAlignment="1">
      <alignment horizontal="center" vertical="top" wrapText="1"/>
    </xf>
    <xf numFmtId="0" fontId="10" fillId="0" borderId="8" xfId="1" applyFont="1" applyBorder="1" applyAlignment="1">
      <alignment horizontal="center" vertical="top"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5" fillId="0" borderId="0" xfId="0" applyFont="1" applyFill="1" applyBorder="1" applyAlignment="1">
      <alignment horizontal="center" vertical="top" wrapText="1"/>
    </xf>
    <xf numFmtId="3" fontId="5" fillId="0" borderId="0" xfId="0" applyNumberFormat="1" applyFont="1" applyFill="1" applyBorder="1" applyAlignment="1">
      <alignment horizontal="center" vertical="top" wrapText="1"/>
    </xf>
    <xf numFmtId="3" fontId="5" fillId="0" borderId="0" xfId="0" applyNumberFormat="1" applyFont="1" applyFill="1" applyBorder="1" applyAlignment="1">
      <alignment horizontal="right" vertical="top" wrapText="1"/>
    </xf>
    <xf numFmtId="0" fontId="3" fillId="0" borderId="0" xfId="0" quotePrefix="1" applyFont="1"/>
    <xf numFmtId="3" fontId="5" fillId="0" borderId="2" xfId="0" applyNumberFormat="1" applyFont="1" applyFill="1" applyBorder="1" applyAlignment="1">
      <alignment horizontal="right" vertical="top" wrapText="1"/>
    </xf>
    <xf numFmtId="0" fontId="5" fillId="0" borderId="0" xfId="0" applyFont="1" applyFill="1" applyBorder="1" applyAlignment="1">
      <alignment vertical="top" wrapText="1"/>
    </xf>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3" fillId="0" borderId="2" xfId="1" applyFont="1" applyBorder="1" applyAlignment="1">
      <alignment horizontal="center" vertical="top" wrapText="1"/>
    </xf>
    <xf numFmtId="3" fontId="3" fillId="0" borderId="2" xfId="1" applyNumberFormat="1" applyFont="1" applyFill="1" applyBorder="1" applyAlignment="1">
      <alignment horizontal="center" vertical="top" wrapText="1"/>
    </xf>
    <xf numFmtId="0" fontId="1" fillId="0" borderId="0" xfId="0" applyFont="1" applyFill="1"/>
    <xf numFmtId="0" fontId="10" fillId="0" borderId="2" xfId="0" applyFont="1" applyFill="1" applyBorder="1" applyAlignment="1">
      <alignment horizontal="center" vertical="top" wrapText="1"/>
    </xf>
    <xf numFmtId="0" fontId="10" fillId="0" borderId="2" xfId="0" applyFont="1" applyFill="1" applyBorder="1" applyAlignment="1">
      <alignment vertical="top" wrapText="1"/>
    </xf>
    <xf numFmtId="164" fontId="3" fillId="0" borderId="0" xfId="0" applyNumberFormat="1" applyFont="1" applyFill="1" applyAlignment="1">
      <alignment vertical="top"/>
    </xf>
    <xf numFmtId="0" fontId="13" fillId="0" borderId="0" xfId="0" applyFont="1" applyFill="1" applyAlignment="1">
      <alignment horizontal="left" vertical="top"/>
    </xf>
    <xf numFmtId="0" fontId="15" fillId="0" borderId="0" xfId="0" applyFont="1"/>
    <xf numFmtId="0" fontId="13" fillId="0" borderId="0" xfId="0" applyFont="1" applyFill="1" applyAlignment="1">
      <alignment horizontal="left"/>
    </xf>
    <xf numFmtId="0" fontId="3" fillId="0" borderId="0" xfId="0" applyFont="1" applyAlignment="1">
      <alignment horizontal="right" vertical="top"/>
    </xf>
    <xf numFmtId="164" fontId="3" fillId="0" borderId="0" xfId="0" applyNumberFormat="1" applyFont="1" applyAlignment="1">
      <alignment vertical="top"/>
    </xf>
    <xf numFmtId="4" fontId="5" fillId="0" borderId="2" xfId="0" applyNumberFormat="1" applyFont="1" applyFill="1" applyBorder="1" applyAlignment="1">
      <alignment horizontal="center" wrapText="1"/>
    </xf>
    <xf numFmtId="0" fontId="18" fillId="0" borderId="0" xfId="1" applyFont="1" applyAlignment="1">
      <alignment horizontal="right"/>
    </xf>
    <xf numFmtId="0" fontId="7" fillId="0" borderId="0" xfId="1" applyFill="1"/>
    <xf numFmtId="0" fontId="1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Fill="1"/>
    <xf numFmtId="6" fontId="10" fillId="0" borderId="2" xfId="0" applyNumberFormat="1" applyFont="1" applyFill="1" applyBorder="1" applyAlignment="1">
      <alignment horizontal="center" vertical="top" wrapText="1"/>
    </xf>
    <xf numFmtId="3" fontId="10" fillId="0" borderId="2" xfId="0" applyNumberFormat="1" applyFont="1" applyFill="1" applyBorder="1" applyAlignment="1">
      <alignment horizontal="center" vertical="top" wrapText="1"/>
    </xf>
    <xf numFmtId="6" fontId="10" fillId="0" borderId="2" xfId="0" applyNumberFormat="1" applyFont="1" applyFill="1" applyBorder="1" applyAlignment="1">
      <alignment horizontal="center" vertical="top"/>
    </xf>
    <xf numFmtId="0" fontId="10" fillId="0" borderId="0" xfId="0" applyFont="1" applyFill="1" applyBorder="1" applyAlignment="1">
      <alignment vertical="top" wrapText="1"/>
    </xf>
    <xf numFmtId="6" fontId="10" fillId="0" borderId="0" xfId="0" applyNumberFormat="1" applyFont="1" applyFill="1" applyBorder="1" applyAlignment="1">
      <alignment horizontal="center" vertical="top"/>
    </xf>
    <xf numFmtId="3" fontId="10" fillId="0" borderId="0" xfId="0" applyNumberFormat="1" applyFont="1" applyFill="1" applyBorder="1" applyAlignment="1">
      <alignment horizontal="center" vertical="top"/>
    </xf>
    <xf numFmtId="3" fontId="5" fillId="0" borderId="2" xfId="0" applyNumberFormat="1" applyFont="1" applyFill="1" applyBorder="1" applyAlignment="1">
      <alignment horizontal="center" vertical="top" wrapText="1"/>
    </xf>
    <xf numFmtId="1" fontId="3" fillId="0" borderId="2" xfId="1" applyNumberFormat="1" applyFont="1" applyFill="1" applyBorder="1" applyAlignment="1">
      <alignment horizontal="center" vertical="top" wrapText="1"/>
    </xf>
    <xf numFmtId="1" fontId="10" fillId="0" borderId="2" xfId="0" applyNumberFormat="1" applyFont="1" applyFill="1" applyBorder="1" applyAlignment="1">
      <alignment horizontal="center" vertical="top"/>
    </xf>
    <xf numFmtId="1" fontId="9" fillId="0" borderId="0" xfId="1" applyNumberFormat="1" applyFont="1" applyFill="1" applyBorder="1" applyAlignment="1">
      <alignment horizontal="center" vertical="top" wrapText="1"/>
    </xf>
    <xf numFmtId="1" fontId="10" fillId="0" borderId="0" xfId="0" applyNumberFormat="1" applyFont="1" applyFill="1" applyBorder="1" applyAlignment="1">
      <alignment horizontal="center" vertical="top"/>
    </xf>
    <xf numFmtId="166" fontId="19" fillId="0" borderId="0" xfId="1" applyNumberFormat="1" applyFont="1"/>
    <xf numFmtId="0" fontId="20" fillId="0" borderId="0" xfId="1" applyFont="1"/>
    <xf numFmtId="0" fontId="3" fillId="0" borderId="0" xfId="1" applyFont="1" applyBorder="1" applyAlignment="1">
      <alignment horizontal="left" vertical="top"/>
    </xf>
    <xf numFmtId="167" fontId="10" fillId="0" borderId="2" xfId="0" applyNumberFormat="1" applyFont="1" applyFill="1" applyBorder="1" applyAlignment="1">
      <alignment horizontal="center" vertical="top"/>
    </xf>
    <xf numFmtId="0" fontId="3" fillId="0" borderId="2" xfId="0" applyFont="1" applyFill="1" applyBorder="1"/>
    <xf numFmtId="0" fontId="13" fillId="0" borderId="2" xfId="0" applyFont="1" applyFill="1" applyBorder="1" applyAlignment="1">
      <alignment horizontal="center" vertical="top" wrapText="1"/>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0" fontId="3" fillId="0" borderId="2" xfId="0" applyNumberFormat="1" applyFont="1" applyBorder="1" applyAlignment="1">
      <alignment horizontal="right"/>
    </xf>
    <xf numFmtId="0" fontId="3" fillId="0" borderId="2" xfId="0" applyNumberFormat="1" applyFont="1" applyBorder="1" applyAlignment="1"/>
    <xf numFmtId="0" fontId="3" fillId="0" borderId="2" xfId="0" applyNumberFormat="1" applyFont="1" applyBorder="1" applyAlignment="1">
      <alignment horizontal="right" wrapText="1"/>
    </xf>
    <xf numFmtId="0" fontId="3" fillId="0" borderId="2" xfId="0" applyNumberFormat="1" applyFont="1" applyBorder="1" applyAlignment="1">
      <alignment wrapText="1"/>
    </xf>
    <xf numFmtId="0" fontId="3" fillId="0" borderId="2" xfId="0" applyFont="1" applyFill="1" applyBorder="1" applyAlignment="1">
      <alignment horizontal="right"/>
    </xf>
    <xf numFmtId="0" fontId="3" fillId="0" borderId="2" xfId="0" applyFont="1" applyBorder="1" applyAlignment="1">
      <alignment horizontal="right"/>
    </xf>
    <xf numFmtId="0" fontId="5" fillId="0" borderId="2" xfId="0" applyFont="1" applyBorder="1"/>
    <xf numFmtId="1" fontId="5" fillId="0" borderId="2" xfId="0" applyNumberFormat="1" applyFont="1" applyFill="1" applyBorder="1"/>
    <xf numFmtId="0" fontId="16" fillId="0" borderId="0" xfId="0" applyFont="1"/>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165" fontId="3" fillId="0" borderId="2" xfId="0" applyNumberFormat="1" applyFont="1" applyFill="1" applyBorder="1" applyAlignment="1">
      <alignment horizontal="center" vertical="top" wrapText="1"/>
    </xf>
    <xf numFmtId="3" fontId="3" fillId="0" borderId="2" xfId="0" applyNumberFormat="1" applyFont="1" applyFill="1" applyBorder="1" applyAlignment="1">
      <alignment horizontal="right" vertical="top" wrapText="1"/>
    </xf>
    <xf numFmtId="165" fontId="3" fillId="0" borderId="2" xfId="0" applyNumberFormat="1" applyFont="1" applyFill="1" applyBorder="1" applyAlignment="1">
      <alignment horizontal="right" vertical="top" wrapText="1"/>
    </xf>
    <xf numFmtId="0" fontId="3" fillId="0" borderId="2" xfId="0" applyFont="1" applyFill="1" applyBorder="1" applyAlignment="1">
      <alignment vertical="top" wrapText="1"/>
    </xf>
    <xf numFmtId="1" fontId="3" fillId="0" borderId="6" xfId="0" applyNumberFormat="1" applyFont="1" applyFill="1" applyBorder="1" applyAlignment="1">
      <alignment horizontal="center" vertical="top" wrapText="1"/>
    </xf>
    <xf numFmtId="0" fontId="3" fillId="0" borderId="2" xfId="0" applyFont="1" applyFill="1" applyBorder="1" applyAlignment="1">
      <alignment horizontal="left" vertical="top" wrapText="1" indent="3"/>
    </xf>
    <xf numFmtId="166" fontId="3" fillId="0" borderId="2"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2" fillId="0" borderId="2" xfId="0" applyFont="1" applyFill="1" applyBorder="1"/>
    <xf numFmtId="3" fontId="13" fillId="0" borderId="2" xfId="0" applyNumberFormat="1" applyFont="1" applyFill="1" applyBorder="1" applyAlignment="1">
      <alignment horizontal="center" vertical="top" wrapText="1"/>
    </xf>
    <xf numFmtId="3" fontId="13" fillId="0" borderId="2" xfId="0" applyNumberFormat="1" applyFont="1" applyFill="1" applyBorder="1" applyAlignment="1">
      <alignment horizontal="right" vertical="top" wrapText="1"/>
    </xf>
    <xf numFmtId="1" fontId="12" fillId="0" borderId="2" xfId="1" applyNumberFormat="1" applyFont="1" applyFill="1" applyBorder="1" applyAlignment="1">
      <alignment horizontal="center" vertical="top" wrapText="1"/>
    </xf>
    <xf numFmtId="0" fontId="3" fillId="0" borderId="0" xfId="0" applyFont="1" applyFill="1" applyBorder="1" applyAlignment="1">
      <alignment horizontal="left" vertical="top"/>
    </xf>
    <xf numFmtId="3" fontId="3" fillId="0" borderId="0" xfId="0" applyNumberFormat="1" applyFont="1"/>
    <xf numFmtId="0" fontId="8" fillId="0" borderId="5" xfId="1" applyFont="1" applyBorder="1" applyAlignment="1">
      <alignment horizontal="center" vertical="top" wrapText="1"/>
    </xf>
    <xf numFmtId="0" fontId="8" fillId="0" borderId="7" xfId="1" applyFont="1" applyBorder="1" applyAlignment="1">
      <alignment horizontal="center" vertical="top" wrapText="1"/>
    </xf>
    <xf numFmtId="0" fontId="8" fillId="0" borderId="6" xfId="1" applyFont="1" applyBorder="1" applyAlignment="1">
      <alignment horizontal="center"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16" fillId="0" borderId="9" xfId="0" applyFont="1" applyFill="1" applyBorder="1" applyAlignment="1">
      <alignment horizontal="left" vertical="top" wrapText="1"/>
    </xf>
    <xf numFmtId="0" fontId="8" fillId="0" borderId="2" xfId="1" applyFont="1" applyBorder="1" applyAlignment="1">
      <alignment horizontal="center" vertical="top" wrapText="1"/>
    </xf>
    <xf numFmtId="0" fontId="1" fillId="0" borderId="0" xfId="0" applyFont="1" applyFill="1" applyAlignment="1">
      <alignment horizontal="left" wrapText="1"/>
    </xf>
    <xf numFmtId="2" fontId="3" fillId="0" borderId="0" xfId="0" applyNumberFormat="1" applyFont="1" applyFill="1" applyAlignment="1">
      <alignment horizontal="left" vertical="top" wrapText="1"/>
    </xf>
    <xf numFmtId="0" fontId="3" fillId="0" borderId="0" xfId="0" applyNumberFormat="1" applyFont="1" applyFill="1" applyAlignment="1">
      <alignment horizontal="left" vertical="top"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5" fillId="0" borderId="2"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tabSelected="1" workbookViewId="0"/>
  </sheetViews>
  <sheetFormatPr defaultRowHeight="12.75" x14ac:dyDescent="0.2"/>
  <cols>
    <col min="1" max="1" width="1" style="17" customWidth="1"/>
    <col min="2" max="2" width="9.7109375" style="17" customWidth="1"/>
    <col min="3" max="3" width="12.85546875" style="17" bestFit="1" customWidth="1"/>
    <col min="4" max="4" width="15.5703125" style="17" bestFit="1" customWidth="1"/>
    <col min="5" max="5" width="18.5703125" style="17" customWidth="1"/>
    <col min="6" max="6" width="15.5703125" style="17" bestFit="1" customWidth="1"/>
    <col min="7" max="7" width="12.85546875" style="17" customWidth="1"/>
    <col min="8" max="16384" width="9.140625" style="17"/>
  </cols>
  <sheetData>
    <row r="2" spans="2:7" ht="15.75" x14ac:dyDescent="0.2">
      <c r="B2" s="108" t="s">
        <v>27</v>
      </c>
      <c r="C2" s="109"/>
      <c r="D2" s="109"/>
      <c r="E2" s="109"/>
      <c r="F2" s="109"/>
      <c r="G2" s="110"/>
    </row>
    <row r="3" spans="2:7" ht="24" customHeight="1" x14ac:dyDescent="0.2">
      <c r="B3" s="18"/>
      <c r="C3" s="111" t="s">
        <v>28</v>
      </c>
      <c r="D3" s="112"/>
      <c r="E3" s="19" t="s">
        <v>29</v>
      </c>
      <c r="F3" s="111"/>
      <c r="G3" s="112"/>
    </row>
    <row r="4" spans="2:7" x14ac:dyDescent="0.2">
      <c r="B4" s="20"/>
      <c r="C4" s="21" t="s">
        <v>0</v>
      </c>
      <c r="D4" s="21" t="s">
        <v>1</v>
      </c>
      <c r="E4" s="21" t="s">
        <v>2</v>
      </c>
      <c r="F4" s="21" t="s">
        <v>3</v>
      </c>
      <c r="G4" s="21" t="s">
        <v>4</v>
      </c>
    </row>
    <row r="5" spans="2:7" ht="51" x14ac:dyDescent="0.2">
      <c r="B5" s="21" t="s">
        <v>30</v>
      </c>
      <c r="C5" s="21" t="s">
        <v>31</v>
      </c>
      <c r="D5" s="21" t="s">
        <v>32</v>
      </c>
      <c r="E5" s="22" t="s">
        <v>33</v>
      </c>
      <c r="F5" s="21" t="s">
        <v>34</v>
      </c>
      <c r="G5" s="21" t="s">
        <v>27</v>
      </c>
    </row>
    <row r="6" spans="2:7" x14ac:dyDescent="0.2">
      <c r="B6" s="21"/>
      <c r="C6" s="21"/>
      <c r="D6" s="21"/>
      <c r="E6" s="21"/>
      <c r="F6" s="21"/>
      <c r="G6" s="21" t="s">
        <v>35</v>
      </c>
    </row>
    <row r="7" spans="2:7" x14ac:dyDescent="0.2">
      <c r="B7" s="42">
        <v>1</v>
      </c>
      <c r="C7" s="66">
        <v>32</v>
      </c>
      <c r="D7" s="66">
        <v>532</v>
      </c>
      <c r="E7" s="66">
        <v>0</v>
      </c>
      <c r="F7" s="66">
        <v>0</v>
      </c>
      <c r="G7" s="66">
        <f>C7+D7+E7-F7</f>
        <v>564</v>
      </c>
    </row>
    <row r="8" spans="2:7" x14ac:dyDescent="0.2">
      <c r="B8" s="42">
        <v>2</v>
      </c>
      <c r="C8" s="66">
        <f>C7</f>
        <v>32</v>
      </c>
      <c r="D8" s="66">
        <f>G7</f>
        <v>564</v>
      </c>
      <c r="E8" s="66">
        <v>0</v>
      </c>
      <c r="F8" s="66">
        <v>0</v>
      </c>
      <c r="G8" s="66">
        <f>C8+D8+E8-F8</f>
        <v>596</v>
      </c>
    </row>
    <row r="9" spans="2:7" x14ac:dyDescent="0.2">
      <c r="B9" s="42">
        <v>3</v>
      </c>
      <c r="C9" s="66">
        <f>C8</f>
        <v>32</v>
      </c>
      <c r="D9" s="66">
        <f>G8</f>
        <v>596</v>
      </c>
      <c r="E9" s="66">
        <v>0</v>
      </c>
      <c r="F9" s="66">
        <v>0</v>
      </c>
      <c r="G9" s="66">
        <f>C9+D9+E9-F9</f>
        <v>628</v>
      </c>
    </row>
    <row r="10" spans="2:7" s="23" customFormat="1" x14ac:dyDescent="0.2">
      <c r="B10" s="42" t="s">
        <v>36</v>
      </c>
      <c r="C10" s="66">
        <f>AVERAGE(C7:C9)</f>
        <v>32</v>
      </c>
      <c r="D10" s="66">
        <f>AVERAGE(D7:D9)</f>
        <v>564</v>
      </c>
      <c r="E10" s="43">
        <f t="shared" ref="E10:F10" si="0">AVERAGE(E7:E9)</f>
        <v>0</v>
      </c>
      <c r="F10" s="43">
        <f t="shared" si="0"/>
        <v>0</v>
      </c>
      <c r="G10" s="43">
        <f>AVERAGE(G7:G9)</f>
        <v>596</v>
      </c>
    </row>
    <row r="11" spans="2:7" s="55" customFormat="1" ht="15.75" x14ac:dyDescent="0.2">
      <c r="B11" s="113" t="s">
        <v>64</v>
      </c>
      <c r="C11" s="113"/>
      <c r="D11" s="113"/>
      <c r="E11" s="113"/>
      <c r="F11" s="113"/>
      <c r="G11" s="113"/>
    </row>
    <row r="12" spans="2:7" s="55" customFormat="1" ht="15.75" x14ac:dyDescent="0.2">
      <c r="B12" s="56"/>
      <c r="C12" s="56"/>
      <c r="D12" s="56"/>
      <c r="E12" s="56"/>
      <c r="F12" s="56"/>
      <c r="G12" s="56"/>
    </row>
  </sheetData>
  <mergeCells count="4">
    <mergeCell ref="B2:G2"/>
    <mergeCell ref="C3:D3"/>
    <mergeCell ref="F3:G3"/>
    <mergeCell ref="B11:G11"/>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4"/>
  <sheetViews>
    <sheetView workbookViewId="0">
      <selection activeCell="J14" sqref="J14"/>
    </sheetView>
  </sheetViews>
  <sheetFormatPr defaultColWidth="9.140625" defaultRowHeight="12.75" x14ac:dyDescent="0.2"/>
  <cols>
    <col min="1" max="1" width="0.7109375" style="23" customWidth="1"/>
    <col min="2" max="2" width="32.140625" style="23" customWidth="1"/>
    <col min="3" max="4" width="10" style="23" customWidth="1"/>
    <col min="5" max="5" width="16" style="23" customWidth="1"/>
    <col min="6" max="6" width="10.5703125" style="23" customWidth="1"/>
    <col min="7" max="7" width="1" style="23" customWidth="1"/>
    <col min="8" max="16384" width="9.140625" style="23"/>
  </cols>
  <sheetData>
    <row r="2" spans="2:12" ht="15.75" customHeight="1" x14ac:dyDescent="0.2">
      <c r="B2" s="114" t="s">
        <v>37</v>
      </c>
      <c r="C2" s="114"/>
      <c r="D2" s="114"/>
      <c r="E2" s="114"/>
      <c r="F2" s="114"/>
      <c r="G2" s="24"/>
    </row>
    <row r="3" spans="2:12" ht="63.75" customHeight="1" x14ac:dyDescent="0.2">
      <c r="B3" s="25" t="s">
        <v>38</v>
      </c>
      <c r="C3" s="40" t="s">
        <v>39</v>
      </c>
      <c r="D3" s="40" t="s">
        <v>40</v>
      </c>
      <c r="E3" s="25" t="s">
        <v>41</v>
      </c>
      <c r="F3" s="25" t="s">
        <v>42</v>
      </c>
      <c r="G3" s="26"/>
      <c r="H3" s="48" t="s">
        <v>63</v>
      </c>
    </row>
    <row r="4" spans="2:12" x14ac:dyDescent="0.2">
      <c r="B4" s="87" t="s">
        <v>107</v>
      </c>
      <c r="C4" s="39"/>
      <c r="D4" s="39"/>
      <c r="E4" s="40"/>
      <c r="F4" s="40"/>
      <c r="G4" s="27"/>
      <c r="H4" s="5"/>
      <c r="I4" s="71"/>
      <c r="J4" s="71"/>
      <c r="K4" s="71"/>
      <c r="L4" s="71"/>
    </row>
    <row r="5" spans="2:12" x14ac:dyDescent="0.2">
      <c r="B5" s="93" t="s">
        <v>108</v>
      </c>
      <c r="C5" s="39">
        <f>'Respondent Burden'!F11</f>
        <v>300</v>
      </c>
      <c r="D5" s="39">
        <v>33</v>
      </c>
      <c r="E5" s="40">
        <v>0</v>
      </c>
      <c r="F5" s="39">
        <f>C5*D5+E5</f>
        <v>9900</v>
      </c>
      <c r="G5" s="27"/>
      <c r="H5" s="2"/>
      <c r="I5" s="71"/>
      <c r="J5" s="71"/>
      <c r="K5" s="71"/>
      <c r="L5" s="71"/>
    </row>
    <row r="6" spans="2:12" x14ac:dyDescent="0.2">
      <c r="B6" s="93" t="s">
        <v>109</v>
      </c>
      <c r="C6" s="39">
        <f>'Respondent Burden'!F12</f>
        <v>300</v>
      </c>
      <c r="D6" s="39">
        <v>4</v>
      </c>
      <c r="E6" s="40">
        <v>0</v>
      </c>
      <c r="F6" s="39">
        <f t="shared" ref="F6:F8" si="0">C6*D6+E6</f>
        <v>1200</v>
      </c>
      <c r="G6" s="27"/>
      <c r="H6" s="71"/>
      <c r="I6" s="71"/>
      <c r="J6" s="71"/>
      <c r="K6" s="71"/>
      <c r="L6" s="71"/>
    </row>
    <row r="7" spans="2:12" x14ac:dyDescent="0.2">
      <c r="B7" s="93" t="s">
        <v>110</v>
      </c>
      <c r="C7" s="39">
        <f>'Respondent Burden'!F13</f>
        <v>29</v>
      </c>
      <c r="D7" s="105">
        <v>1</v>
      </c>
      <c r="E7" s="40">
        <v>0</v>
      </c>
      <c r="F7" s="39">
        <f t="shared" si="0"/>
        <v>29</v>
      </c>
      <c r="G7" s="68"/>
      <c r="H7" s="71"/>
      <c r="I7" s="71"/>
      <c r="J7" s="71"/>
      <c r="K7" s="71"/>
      <c r="L7" s="71"/>
    </row>
    <row r="8" spans="2:12" x14ac:dyDescent="0.2">
      <c r="B8" s="93" t="s">
        <v>111</v>
      </c>
      <c r="C8" s="39">
        <f>'Respondent Burden'!F14</f>
        <v>3</v>
      </c>
      <c r="D8" s="105">
        <v>1</v>
      </c>
      <c r="E8" s="40">
        <v>0</v>
      </c>
      <c r="F8" s="39">
        <f t="shared" si="0"/>
        <v>3</v>
      </c>
      <c r="G8" s="68"/>
      <c r="H8" s="71"/>
      <c r="I8" s="71"/>
      <c r="J8" s="71"/>
      <c r="K8" s="71"/>
      <c r="L8" s="71"/>
    </row>
    <row r="9" spans="2:12" x14ac:dyDescent="0.2">
      <c r="B9" s="87" t="s">
        <v>106</v>
      </c>
      <c r="C9" s="105"/>
      <c r="D9" s="105"/>
      <c r="E9" s="105"/>
      <c r="F9" s="105"/>
      <c r="G9" s="68"/>
      <c r="H9" s="72"/>
      <c r="I9" s="71"/>
      <c r="J9" s="71"/>
      <c r="K9" s="71"/>
      <c r="L9" s="71"/>
    </row>
    <row r="10" spans="2:12" x14ac:dyDescent="0.2">
      <c r="B10" s="93" t="s">
        <v>112</v>
      </c>
      <c r="C10" s="39">
        <f>'Respondent Burden'!F18</f>
        <v>300</v>
      </c>
      <c r="D10" s="105">
        <v>1</v>
      </c>
      <c r="E10" s="40">
        <v>0</v>
      </c>
      <c r="F10" s="39">
        <f t="shared" ref="F10:F15" si="1">C10*D10+E10</f>
        <v>300</v>
      </c>
      <c r="G10" s="68"/>
      <c r="H10" s="72"/>
      <c r="I10" s="71"/>
      <c r="J10" s="71"/>
      <c r="K10" s="71"/>
      <c r="L10" s="71"/>
    </row>
    <row r="11" spans="2:12" x14ac:dyDescent="0.2">
      <c r="B11" s="93" t="s">
        <v>113</v>
      </c>
      <c r="C11" s="39">
        <f>'Respondent Burden'!F20</f>
        <v>65</v>
      </c>
      <c r="D11" s="105">
        <v>1</v>
      </c>
      <c r="E11" s="40">
        <v>0</v>
      </c>
      <c r="F11" s="39">
        <f t="shared" si="1"/>
        <v>65</v>
      </c>
      <c r="G11" s="27"/>
      <c r="H11" s="71"/>
      <c r="I11" s="71"/>
      <c r="J11" s="71"/>
      <c r="K11" s="71"/>
      <c r="L11" s="71"/>
    </row>
    <row r="12" spans="2:12" x14ac:dyDescent="0.2">
      <c r="B12" s="93" t="s">
        <v>114</v>
      </c>
      <c r="C12" s="39">
        <f>'Respondent Burden'!F21</f>
        <v>2095</v>
      </c>
      <c r="D12" s="39">
        <v>1</v>
      </c>
      <c r="E12" s="40">
        <v>0</v>
      </c>
      <c r="F12" s="39">
        <f t="shared" si="1"/>
        <v>2095</v>
      </c>
      <c r="G12" s="27"/>
      <c r="H12" s="5"/>
      <c r="I12" s="71"/>
      <c r="J12" s="71"/>
      <c r="K12" s="71"/>
      <c r="L12" s="71"/>
    </row>
    <row r="13" spans="2:12" x14ac:dyDescent="0.2">
      <c r="B13" s="93" t="s">
        <v>115</v>
      </c>
      <c r="C13" s="39">
        <f>'Respondent Burden'!F19</f>
        <v>15</v>
      </c>
      <c r="D13" s="39">
        <v>1</v>
      </c>
      <c r="E13" s="40">
        <v>0</v>
      </c>
      <c r="F13" s="39">
        <f t="shared" si="1"/>
        <v>15</v>
      </c>
      <c r="G13" s="27"/>
      <c r="H13" s="2"/>
      <c r="I13" s="71"/>
      <c r="J13" s="71"/>
      <c r="K13" s="71"/>
      <c r="L13" s="71"/>
    </row>
    <row r="14" spans="2:12" x14ac:dyDescent="0.2">
      <c r="B14" s="93" t="s">
        <v>118</v>
      </c>
      <c r="C14" s="39">
        <f>'Respondent Burden'!F22</f>
        <v>300</v>
      </c>
      <c r="D14" s="39">
        <v>1</v>
      </c>
      <c r="E14" s="40">
        <v>0</v>
      </c>
      <c r="F14" s="39">
        <f t="shared" si="1"/>
        <v>300</v>
      </c>
      <c r="G14" s="27"/>
      <c r="H14" s="71"/>
      <c r="I14" s="71"/>
      <c r="J14" s="71"/>
      <c r="K14" s="71"/>
      <c r="L14" s="71"/>
    </row>
    <row r="15" spans="2:12" x14ac:dyDescent="0.2">
      <c r="B15" s="93" t="s">
        <v>119</v>
      </c>
      <c r="C15" s="39">
        <f>'Respondent Burden'!F23</f>
        <v>75</v>
      </c>
      <c r="D15" s="105">
        <v>1</v>
      </c>
      <c r="E15" s="40">
        <v>0</v>
      </c>
      <c r="F15" s="39">
        <f t="shared" si="1"/>
        <v>75</v>
      </c>
      <c r="G15" s="68"/>
      <c r="H15" s="71"/>
      <c r="I15" s="71"/>
      <c r="J15" s="71"/>
      <c r="K15" s="71"/>
      <c r="L15" s="71"/>
    </row>
    <row r="16" spans="2:12" x14ac:dyDescent="0.2">
      <c r="B16" s="93" t="s">
        <v>120</v>
      </c>
      <c r="C16" s="39">
        <f>'Respondent Burden'!F24</f>
        <v>380</v>
      </c>
      <c r="D16" s="105">
        <v>1</v>
      </c>
      <c r="E16" s="40">
        <v>0</v>
      </c>
      <c r="F16" s="39">
        <f>C16*D16+E16</f>
        <v>380</v>
      </c>
      <c r="G16" s="68"/>
      <c r="H16" s="71"/>
      <c r="I16" s="71"/>
      <c r="J16" s="71"/>
      <c r="K16" s="71"/>
      <c r="L16" s="71"/>
    </row>
    <row r="17" spans="2:12" x14ac:dyDescent="0.2">
      <c r="B17" s="87" t="s">
        <v>116</v>
      </c>
      <c r="C17" s="105"/>
      <c r="D17" s="105"/>
      <c r="E17" s="105"/>
      <c r="F17" s="105"/>
      <c r="G17" s="68"/>
      <c r="H17" s="71"/>
      <c r="I17" s="71"/>
      <c r="J17" s="71"/>
      <c r="K17" s="71"/>
      <c r="L17" s="71"/>
    </row>
    <row r="18" spans="2:12" x14ac:dyDescent="0.2">
      <c r="B18" s="93" t="s">
        <v>117</v>
      </c>
      <c r="C18" s="39">
        <f>'Respondent Burden'!F26</f>
        <v>145</v>
      </c>
      <c r="D18" s="105">
        <v>2</v>
      </c>
      <c r="E18" s="40">
        <v>0</v>
      </c>
      <c r="F18" s="39">
        <f>C18*D18+E18</f>
        <v>290</v>
      </c>
      <c r="G18" s="68"/>
      <c r="H18" s="71"/>
      <c r="I18" s="71"/>
      <c r="J18" s="71"/>
      <c r="K18" s="71"/>
      <c r="L18" s="71"/>
    </row>
    <row r="19" spans="2:12" x14ac:dyDescent="0.2">
      <c r="B19" s="41"/>
      <c r="C19" s="41"/>
      <c r="D19" s="41"/>
      <c r="E19" s="40" t="s">
        <v>6</v>
      </c>
      <c r="F19" s="39">
        <f>SUM(F4:F18)</f>
        <v>14652</v>
      </c>
      <c r="G19" s="26"/>
      <c r="H19" s="31" t="s">
        <v>131</v>
      </c>
      <c r="I19" s="71"/>
      <c r="J19" s="71"/>
      <c r="K19" s="71"/>
      <c r="L19" s="71"/>
    </row>
    <row r="20" spans="2:12" x14ac:dyDescent="0.2">
      <c r="E20" s="54" t="s">
        <v>59</v>
      </c>
      <c r="F20" s="70">
        <f>'Respondent Burden'!G40/F19</f>
        <v>6.4086814086814083</v>
      </c>
      <c r="H20" s="71"/>
      <c r="I20" s="71"/>
      <c r="J20" s="71"/>
      <c r="K20" s="71"/>
      <c r="L20" s="71"/>
    </row>
    <row r="21" spans="2:12" x14ac:dyDescent="0.2">
      <c r="H21" s="71"/>
      <c r="I21" s="71"/>
      <c r="J21" s="71"/>
      <c r="K21" s="71"/>
      <c r="L21" s="71"/>
    </row>
    <row r="22" spans="2:12" x14ac:dyDescent="0.2">
      <c r="H22" s="71"/>
      <c r="I22" s="71"/>
      <c r="J22" s="71"/>
      <c r="K22" s="71"/>
      <c r="L22" s="71"/>
    </row>
    <row r="23" spans="2:12" x14ac:dyDescent="0.2">
      <c r="H23" s="71"/>
      <c r="I23" s="71"/>
      <c r="J23" s="71"/>
      <c r="K23" s="71"/>
      <c r="L23" s="71"/>
    </row>
    <row r="24" spans="2:12" x14ac:dyDescent="0.2">
      <c r="H24" s="71"/>
      <c r="I24" s="71"/>
      <c r="J24" s="71"/>
      <c r="K24" s="71"/>
      <c r="L24" s="71"/>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workbookViewId="0"/>
  </sheetViews>
  <sheetFormatPr defaultRowHeight="12.75" x14ac:dyDescent="0.2"/>
  <cols>
    <col min="1" max="1" width="0.7109375" style="44"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2.7109375" style="1" bestFit="1" customWidth="1"/>
    <col min="11" max="11" width="2.28515625" style="5" customWidth="1"/>
    <col min="12" max="12" width="20" style="5" customWidth="1"/>
    <col min="13" max="13" width="4.85546875" style="5" bestFit="1" customWidth="1"/>
    <col min="14" max="14" width="8" style="1" bestFit="1" customWidth="1"/>
    <col min="15" max="15" width="11" style="1" customWidth="1"/>
    <col min="16" max="16384" width="9.140625" style="1"/>
  </cols>
  <sheetData>
    <row r="1" spans="1:13" s="5" customFormat="1" ht="15.75" x14ac:dyDescent="0.25">
      <c r="A1" s="2"/>
      <c r="B1" s="3" t="s">
        <v>67</v>
      </c>
      <c r="C1" s="2"/>
      <c r="D1" s="2"/>
      <c r="E1" s="2"/>
      <c r="F1" s="2"/>
      <c r="G1" s="2"/>
      <c r="H1" s="2"/>
      <c r="I1" s="2"/>
      <c r="J1" s="4"/>
      <c r="L1" s="15" t="s">
        <v>24</v>
      </c>
      <c r="M1" s="15" t="s">
        <v>25</v>
      </c>
    </row>
    <row r="2" spans="1:13" s="5" customFormat="1" x14ac:dyDescent="0.2">
      <c r="A2" s="2"/>
      <c r="F2" s="51" t="s">
        <v>58</v>
      </c>
      <c r="G2" s="52">
        <v>103.97</v>
      </c>
      <c r="H2" s="52">
        <v>129.93</v>
      </c>
      <c r="I2" s="47">
        <v>51.79</v>
      </c>
      <c r="J2" s="6"/>
      <c r="L2" s="84" t="s">
        <v>26</v>
      </c>
      <c r="M2" s="85">
        <f>'# Respondents'!D8</f>
        <v>564</v>
      </c>
    </row>
    <row r="3" spans="1:13" s="10" customFormat="1" ht="12.75" customHeight="1" x14ac:dyDescent="0.2">
      <c r="A3" s="7"/>
      <c r="B3" s="121" t="s">
        <v>7</v>
      </c>
      <c r="C3" s="8" t="s">
        <v>8</v>
      </c>
      <c r="D3" s="8" t="s">
        <v>9</v>
      </c>
      <c r="E3" s="8" t="s">
        <v>10</v>
      </c>
      <c r="F3" s="8" t="s">
        <v>11</v>
      </c>
      <c r="G3" s="8" t="s">
        <v>12</v>
      </c>
      <c r="H3" s="8" t="s">
        <v>13</v>
      </c>
      <c r="I3" s="8" t="s">
        <v>14</v>
      </c>
      <c r="J3" s="9" t="s">
        <v>15</v>
      </c>
      <c r="L3" s="78" t="s">
        <v>79</v>
      </c>
      <c r="M3" s="79">
        <v>300</v>
      </c>
    </row>
    <row r="4" spans="1:13" s="14" customFormat="1" ht="51" x14ac:dyDescent="0.2">
      <c r="A4" s="12"/>
      <c r="B4" s="122"/>
      <c r="C4" s="13" t="s">
        <v>16</v>
      </c>
      <c r="D4" s="13" t="s">
        <v>17</v>
      </c>
      <c r="E4" s="13" t="s">
        <v>18</v>
      </c>
      <c r="F4" s="13" t="s">
        <v>19</v>
      </c>
      <c r="G4" s="13" t="s">
        <v>20</v>
      </c>
      <c r="H4" s="13" t="s">
        <v>21</v>
      </c>
      <c r="I4" s="13" t="s">
        <v>22</v>
      </c>
      <c r="J4" s="53" t="s">
        <v>23</v>
      </c>
      <c r="L4" s="80" t="s">
        <v>80</v>
      </c>
      <c r="M4" s="81">
        <v>136</v>
      </c>
    </row>
    <row r="5" spans="1:13" s="2" customFormat="1" x14ac:dyDescent="0.2">
      <c r="B5" s="97" t="s">
        <v>69</v>
      </c>
      <c r="C5" s="89" t="s">
        <v>70</v>
      </c>
      <c r="D5" s="89"/>
      <c r="E5" s="90"/>
      <c r="F5" s="90"/>
      <c r="G5" s="91"/>
      <c r="H5" s="91"/>
      <c r="I5" s="91"/>
      <c r="J5" s="92"/>
      <c r="L5" s="82" t="s">
        <v>77</v>
      </c>
      <c r="M5" s="74">
        <v>116</v>
      </c>
    </row>
    <row r="6" spans="1:13" s="5" customFormat="1" x14ac:dyDescent="0.2">
      <c r="A6" s="2"/>
      <c r="B6" s="97" t="s">
        <v>71</v>
      </c>
      <c r="C6" s="89" t="s">
        <v>70</v>
      </c>
      <c r="D6" s="89"/>
      <c r="E6" s="90"/>
      <c r="F6" s="89"/>
      <c r="G6" s="91"/>
      <c r="H6" s="91"/>
      <c r="I6" s="91"/>
      <c r="J6" s="92"/>
      <c r="L6" s="83" t="s">
        <v>78</v>
      </c>
      <c r="M6" s="16">
        <v>12</v>
      </c>
    </row>
    <row r="7" spans="1:13" s="2" customFormat="1" ht="25.5" x14ac:dyDescent="0.2">
      <c r="B7" s="97" t="s">
        <v>72</v>
      </c>
      <c r="C7" s="89" t="s">
        <v>70</v>
      </c>
      <c r="D7" s="89"/>
      <c r="E7" s="90"/>
      <c r="F7" s="89"/>
      <c r="G7" s="91"/>
      <c r="H7" s="91"/>
      <c r="I7" s="91"/>
      <c r="J7" s="92"/>
      <c r="K7" s="5"/>
      <c r="L7" s="84" t="s">
        <v>66</v>
      </c>
      <c r="M7" s="85">
        <f>'# Respondents'!C10</f>
        <v>32</v>
      </c>
    </row>
    <row r="8" spans="1:13" s="2" customFormat="1" x14ac:dyDescent="0.2">
      <c r="B8" s="97" t="s">
        <v>73</v>
      </c>
      <c r="C8" s="89" t="s">
        <v>70</v>
      </c>
      <c r="D8" s="89"/>
      <c r="E8" s="90"/>
      <c r="F8" s="89"/>
      <c r="G8" s="91"/>
      <c r="H8" s="91"/>
      <c r="I8" s="91"/>
      <c r="J8" s="92"/>
      <c r="K8" s="5"/>
      <c r="L8" s="82" t="s">
        <v>77</v>
      </c>
      <c r="M8" s="74">
        <v>29</v>
      </c>
    </row>
    <row r="9" spans="1:13" s="5" customFormat="1" ht="15.75" x14ac:dyDescent="0.2">
      <c r="A9" s="2"/>
      <c r="B9" s="93" t="s">
        <v>134</v>
      </c>
      <c r="C9" s="89">
        <v>1</v>
      </c>
      <c r="D9" s="98">
        <v>1</v>
      </c>
      <c r="E9" s="89">
        <f t="shared" ref="E9" si="0">C9*D9</f>
        <v>1</v>
      </c>
      <c r="F9" s="89">
        <f>M7+M2</f>
        <v>596</v>
      </c>
      <c r="G9" s="90">
        <f>ROUND(E9*F9,2)</f>
        <v>596</v>
      </c>
      <c r="H9" s="94">
        <f>ROUND(G9*0.05,2)</f>
        <v>29.8</v>
      </c>
      <c r="I9" s="94">
        <f>ROUND(G9*0.1, 2)</f>
        <v>59.6</v>
      </c>
      <c r="J9" s="92">
        <f>ROUND(G9*$G$2+H9*$H$2+I9*$I$2, 2)</f>
        <v>68924.72</v>
      </c>
      <c r="L9" s="83" t="s">
        <v>78</v>
      </c>
      <c r="M9" s="16">
        <v>3</v>
      </c>
    </row>
    <row r="10" spans="1:13" s="5" customFormat="1" x14ac:dyDescent="0.2">
      <c r="A10" s="2"/>
      <c r="B10" s="93" t="s">
        <v>75</v>
      </c>
      <c r="C10" s="88"/>
      <c r="D10" s="88"/>
      <c r="E10" s="90"/>
      <c r="F10" s="90"/>
      <c r="G10" s="91"/>
      <c r="H10" s="91"/>
      <c r="I10" s="91"/>
      <c r="J10" s="92"/>
    </row>
    <row r="11" spans="1:13" s="5" customFormat="1" ht="15.75" x14ac:dyDescent="0.25">
      <c r="A11" s="2"/>
      <c r="B11" s="99" t="s">
        <v>135</v>
      </c>
      <c r="C11" s="100">
        <v>0.5</v>
      </c>
      <c r="D11" s="98">
        <v>33</v>
      </c>
      <c r="E11" s="89">
        <f t="shared" ref="E11" si="1">C11*D11</f>
        <v>16.5</v>
      </c>
      <c r="F11" s="89">
        <f>M3</f>
        <v>300</v>
      </c>
      <c r="G11" s="90">
        <f t="shared" ref="G11:G14" si="2">ROUND(E11*F11,2)</f>
        <v>4950</v>
      </c>
      <c r="H11" s="94">
        <f t="shared" ref="H11:H14" si="3">ROUND(G11*0.05,2)</f>
        <v>247.5</v>
      </c>
      <c r="I11" s="90">
        <f t="shared" ref="I11:I14" si="4">ROUND(G11*0.1, 2)</f>
        <v>495</v>
      </c>
      <c r="J11" s="92">
        <f t="shared" ref="J11:J14" si="5">ROUND(G11*$G$2+H11*$H$2+I11*$I$2, 2)</f>
        <v>572445.23</v>
      </c>
      <c r="L11" s="50" t="s">
        <v>63</v>
      </c>
    </row>
    <row r="12" spans="1:13" s="5" customFormat="1" ht="15.75" x14ac:dyDescent="0.2">
      <c r="A12" s="2"/>
      <c r="B12" s="99" t="s">
        <v>149</v>
      </c>
      <c r="C12" s="100">
        <v>0.5</v>
      </c>
      <c r="D12" s="101">
        <v>4</v>
      </c>
      <c r="E12" s="90">
        <f>C12*D12</f>
        <v>2</v>
      </c>
      <c r="F12" s="90">
        <f>M3</f>
        <v>300</v>
      </c>
      <c r="G12" s="90">
        <f t="shared" si="2"/>
        <v>600</v>
      </c>
      <c r="H12" s="90">
        <f t="shared" si="3"/>
        <v>30</v>
      </c>
      <c r="I12" s="90">
        <f t="shared" si="4"/>
        <v>60</v>
      </c>
      <c r="J12" s="96">
        <f t="shared" si="5"/>
        <v>69387.3</v>
      </c>
    </row>
    <row r="13" spans="1:13" s="5" customFormat="1" ht="15.75" x14ac:dyDescent="0.2">
      <c r="A13" s="2"/>
      <c r="B13" s="99" t="s">
        <v>157</v>
      </c>
      <c r="C13" s="89">
        <v>1</v>
      </c>
      <c r="D13" s="98">
        <v>1</v>
      </c>
      <c r="E13" s="89">
        <f t="shared" ref="E13" si="6">C13*D13</f>
        <v>1</v>
      </c>
      <c r="F13" s="89">
        <f>M8</f>
        <v>29</v>
      </c>
      <c r="G13" s="90">
        <f t="shared" si="2"/>
        <v>29</v>
      </c>
      <c r="H13" s="91">
        <f t="shared" si="3"/>
        <v>1.45</v>
      </c>
      <c r="I13" s="94">
        <f t="shared" si="4"/>
        <v>2.9</v>
      </c>
      <c r="J13" s="92">
        <f t="shared" si="5"/>
        <v>3353.72</v>
      </c>
    </row>
    <row r="14" spans="1:13" s="5" customFormat="1" ht="15.75" x14ac:dyDescent="0.2">
      <c r="A14" s="2"/>
      <c r="B14" s="99" t="s">
        <v>158</v>
      </c>
      <c r="C14" s="89">
        <v>1</v>
      </c>
      <c r="D14" s="98">
        <v>1</v>
      </c>
      <c r="E14" s="89">
        <f t="shared" ref="E14" si="7">C14*D14</f>
        <v>1</v>
      </c>
      <c r="F14" s="89">
        <f>M9</f>
        <v>3</v>
      </c>
      <c r="G14" s="90">
        <f t="shared" si="2"/>
        <v>3</v>
      </c>
      <c r="H14" s="91">
        <f t="shared" si="3"/>
        <v>0.15</v>
      </c>
      <c r="I14" s="94">
        <f t="shared" si="4"/>
        <v>0.3</v>
      </c>
      <c r="J14" s="92">
        <f t="shared" si="5"/>
        <v>346.94</v>
      </c>
    </row>
    <row r="15" spans="1:13" s="5" customFormat="1" x14ac:dyDescent="0.2">
      <c r="A15" s="2"/>
      <c r="B15" s="93" t="s">
        <v>82</v>
      </c>
      <c r="C15" s="89" t="s">
        <v>84</v>
      </c>
      <c r="D15" s="98"/>
      <c r="E15" s="89"/>
      <c r="F15" s="89"/>
      <c r="G15" s="91"/>
      <c r="H15" s="91"/>
      <c r="I15" s="91"/>
      <c r="J15" s="92"/>
    </row>
    <row r="16" spans="1:13" s="5" customFormat="1" x14ac:dyDescent="0.2">
      <c r="A16" s="2"/>
      <c r="B16" s="93" t="s">
        <v>85</v>
      </c>
      <c r="C16" s="89" t="s">
        <v>83</v>
      </c>
      <c r="D16" s="74"/>
      <c r="E16" s="74"/>
      <c r="F16" s="74"/>
      <c r="G16" s="74"/>
      <c r="H16" s="74"/>
      <c r="I16" s="74"/>
      <c r="J16" s="74"/>
    </row>
    <row r="17" spans="1:10" s="5" customFormat="1" x14ac:dyDescent="0.2">
      <c r="A17" s="2"/>
      <c r="B17" s="93" t="s">
        <v>86</v>
      </c>
      <c r="C17" s="89"/>
      <c r="D17" s="98"/>
      <c r="E17" s="89"/>
      <c r="F17" s="89"/>
      <c r="G17" s="91"/>
      <c r="H17" s="91"/>
      <c r="I17" s="91"/>
      <c r="J17" s="92"/>
    </row>
    <row r="18" spans="1:10" s="5" customFormat="1" ht="15.75" x14ac:dyDescent="0.2">
      <c r="A18" s="2"/>
      <c r="B18" s="99" t="s">
        <v>136</v>
      </c>
      <c r="C18" s="89">
        <v>16</v>
      </c>
      <c r="D18" s="98">
        <v>1</v>
      </c>
      <c r="E18" s="89">
        <f t="shared" ref="E18" si="8">C18*D18</f>
        <v>16</v>
      </c>
      <c r="F18" s="89">
        <f>M3</f>
        <v>300</v>
      </c>
      <c r="G18" s="90">
        <f t="shared" ref="G18:G24" si="9">ROUND(E18*F18,2)</f>
        <v>4800</v>
      </c>
      <c r="H18" s="90">
        <f t="shared" ref="H18:H24" si="10">ROUND(G18*0.05,2)</f>
        <v>240</v>
      </c>
      <c r="I18" s="90">
        <f t="shared" ref="I18:I24" si="11">ROUND(G18*0.1, 2)</f>
        <v>480</v>
      </c>
      <c r="J18" s="96">
        <f t="shared" ref="J18:J24" si="12">ROUND(G18*$G$2+H18*$H$2+I18*$I$2, 2)</f>
        <v>555098.4</v>
      </c>
    </row>
    <row r="19" spans="1:10" s="5" customFormat="1" ht="15.75" x14ac:dyDescent="0.2">
      <c r="A19" s="2"/>
      <c r="B19" s="99" t="s">
        <v>159</v>
      </c>
      <c r="C19" s="89">
        <v>1</v>
      </c>
      <c r="D19" s="98">
        <v>1</v>
      </c>
      <c r="E19" s="89">
        <f>C19*D19</f>
        <v>1</v>
      </c>
      <c r="F19" s="89">
        <f>9+2*F14</f>
        <v>15</v>
      </c>
      <c r="G19" s="90">
        <f>ROUND(E19*F19,2)</f>
        <v>15</v>
      </c>
      <c r="H19" s="91">
        <f>ROUND(G19*0.05,2)</f>
        <v>0.75</v>
      </c>
      <c r="I19" s="94">
        <f>ROUND(G19*0.1, 2)</f>
        <v>1.5</v>
      </c>
      <c r="J19" s="92">
        <f>ROUND(G19*$G$2+H19*$H$2+I19*$I$2, 2)</f>
        <v>1734.68</v>
      </c>
    </row>
    <row r="20" spans="1:10" s="5" customFormat="1" ht="15.75" x14ac:dyDescent="0.2">
      <c r="A20" s="2"/>
      <c r="B20" s="99" t="s">
        <v>160</v>
      </c>
      <c r="C20" s="89">
        <v>8</v>
      </c>
      <c r="D20" s="98">
        <v>1</v>
      </c>
      <c r="E20" s="89">
        <f t="shared" ref="E20" si="13">C20*D20</f>
        <v>8</v>
      </c>
      <c r="F20" s="89">
        <f>39+2*13</f>
        <v>65</v>
      </c>
      <c r="G20" s="90">
        <f t="shared" si="9"/>
        <v>520</v>
      </c>
      <c r="H20" s="90">
        <f t="shared" si="10"/>
        <v>26</v>
      </c>
      <c r="I20" s="90">
        <f t="shared" si="11"/>
        <v>52</v>
      </c>
      <c r="J20" s="92">
        <f t="shared" si="12"/>
        <v>60135.66</v>
      </c>
    </row>
    <row r="21" spans="1:10" s="5" customFormat="1" ht="15.75" x14ac:dyDescent="0.2">
      <c r="A21" s="2"/>
      <c r="B21" s="99" t="s">
        <v>161</v>
      </c>
      <c r="C21" s="89">
        <v>8</v>
      </c>
      <c r="D21" s="98">
        <v>1</v>
      </c>
      <c r="E21" s="89">
        <f t="shared" ref="E21:E26" si="14">C21*D21</f>
        <v>8</v>
      </c>
      <c r="F21" s="90">
        <f>1257+2*419</f>
        <v>2095</v>
      </c>
      <c r="G21" s="90">
        <f t="shared" si="9"/>
        <v>16760</v>
      </c>
      <c r="H21" s="90">
        <f t="shared" si="10"/>
        <v>838</v>
      </c>
      <c r="I21" s="90">
        <f t="shared" si="11"/>
        <v>1676</v>
      </c>
      <c r="J21" s="92">
        <f t="shared" si="12"/>
        <v>1938218.58</v>
      </c>
    </row>
    <row r="22" spans="1:10" s="5" customFormat="1" ht="15.75" x14ac:dyDescent="0.2">
      <c r="A22" s="2"/>
      <c r="B22" s="99" t="s">
        <v>137</v>
      </c>
      <c r="C22" s="89">
        <v>8</v>
      </c>
      <c r="D22" s="98">
        <v>1</v>
      </c>
      <c r="E22" s="89">
        <f t="shared" ref="E22" si="15">C22*D22</f>
        <v>8</v>
      </c>
      <c r="F22" s="89">
        <v>300</v>
      </c>
      <c r="G22" s="90">
        <f t="shared" si="9"/>
        <v>2400</v>
      </c>
      <c r="H22" s="90">
        <f t="shared" si="10"/>
        <v>120</v>
      </c>
      <c r="I22" s="90">
        <f t="shared" si="11"/>
        <v>240</v>
      </c>
      <c r="J22" s="96">
        <f t="shared" si="12"/>
        <v>277549.2</v>
      </c>
    </row>
    <row r="23" spans="1:10" s="5" customFormat="1" ht="15.75" x14ac:dyDescent="0.2">
      <c r="A23" s="2"/>
      <c r="B23" s="99" t="s">
        <v>138</v>
      </c>
      <c r="C23" s="89">
        <v>8</v>
      </c>
      <c r="D23" s="98">
        <v>1</v>
      </c>
      <c r="E23" s="89">
        <f t="shared" ref="E23" si="16">C23*D23</f>
        <v>8</v>
      </c>
      <c r="F23" s="89">
        <f>45+2*F19</f>
        <v>75</v>
      </c>
      <c r="G23" s="90">
        <f t="shared" si="9"/>
        <v>600</v>
      </c>
      <c r="H23" s="90">
        <f t="shared" si="10"/>
        <v>30</v>
      </c>
      <c r="I23" s="90">
        <f t="shared" si="11"/>
        <v>60</v>
      </c>
      <c r="J23" s="96">
        <f t="shared" si="12"/>
        <v>69387.3</v>
      </c>
    </row>
    <row r="24" spans="1:10" s="5" customFormat="1" ht="15.75" x14ac:dyDescent="0.2">
      <c r="A24" s="2"/>
      <c r="B24" s="99" t="s">
        <v>139</v>
      </c>
      <c r="C24" s="89">
        <v>8</v>
      </c>
      <c r="D24" s="98">
        <v>1</v>
      </c>
      <c r="E24" s="89">
        <f t="shared" ref="E24" si="17">C24*D24</f>
        <v>8</v>
      </c>
      <c r="F24" s="90">
        <f>(912/4) + 2*(304/4)</f>
        <v>380</v>
      </c>
      <c r="G24" s="90">
        <f t="shared" si="9"/>
        <v>3040</v>
      </c>
      <c r="H24" s="90">
        <f t="shared" si="10"/>
        <v>152</v>
      </c>
      <c r="I24" s="90">
        <f t="shared" si="11"/>
        <v>304</v>
      </c>
      <c r="J24" s="92">
        <f t="shared" si="12"/>
        <v>351562.32</v>
      </c>
    </row>
    <row r="25" spans="1:10" s="5" customFormat="1" x14ac:dyDescent="0.2">
      <c r="A25" s="2"/>
      <c r="B25" s="93" t="s">
        <v>88</v>
      </c>
      <c r="C25" s="89"/>
      <c r="D25" s="98"/>
      <c r="E25" s="89"/>
      <c r="F25" s="89"/>
      <c r="G25" s="91"/>
      <c r="H25" s="91"/>
      <c r="I25" s="91"/>
      <c r="J25" s="92"/>
    </row>
    <row r="26" spans="1:10" s="5" customFormat="1" ht="15.75" x14ac:dyDescent="0.2">
      <c r="A26" s="2"/>
      <c r="B26" s="99" t="s">
        <v>140</v>
      </c>
      <c r="C26" s="89">
        <v>40</v>
      </c>
      <c r="D26" s="98">
        <v>2</v>
      </c>
      <c r="E26" s="89">
        <f t="shared" si="14"/>
        <v>80</v>
      </c>
      <c r="F26" s="89">
        <f>87+2*F13</f>
        <v>145</v>
      </c>
      <c r="G26" s="90">
        <f>ROUND(E26*F26,2)</f>
        <v>11600</v>
      </c>
      <c r="H26" s="90">
        <f>ROUND(G26*0.05,2)</f>
        <v>580</v>
      </c>
      <c r="I26" s="90">
        <f>ROUND(G26*0.1, 2)</f>
        <v>1160</v>
      </c>
      <c r="J26" s="96">
        <f>ROUND(G26*$G$2+H26*$H$2+I26*$I$2, 2)</f>
        <v>1341487.8</v>
      </c>
    </row>
    <row r="27" spans="1:10" s="5" customFormat="1" ht="13.5" x14ac:dyDescent="0.25">
      <c r="A27" s="2"/>
      <c r="B27" s="102" t="s">
        <v>5</v>
      </c>
      <c r="C27" s="75"/>
      <c r="D27" s="75"/>
      <c r="E27" s="103"/>
      <c r="F27" s="103"/>
      <c r="G27" s="118">
        <f>ROUNDDOWN(SUM(G9:I26), 0)</f>
        <v>52799</v>
      </c>
      <c r="H27" s="119"/>
      <c r="I27" s="120"/>
      <c r="J27" s="104">
        <f>SUM(J9:J26)</f>
        <v>5309631.8499999996</v>
      </c>
    </row>
    <row r="28" spans="1:10" s="2" customFormat="1" x14ac:dyDescent="0.2">
      <c r="B28" s="97" t="s">
        <v>89</v>
      </c>
      <c r="C28" s="88"/>
      <c r="D28" s="88"/>
      <c r="E28" s="90"/>
      <c r="F28" s="90"/>
      <c r="G28" s="90"/>
      <c r="H28" s="90"/>
      <c r="I28" s="90"/>
      <c r="J28" s="95"/>
    </row>
    <row r="29" spans="1:10" s="2" customFormat="1" x14ac:dyDescent="0.2">
      <c r="B29" s="93" t="s">
        <v>74</v>
      </c>
      <c r="C29" s="88" t="s">
        <v>90</v>
      </c>
      <c r="D29" s="88"/>
      <c r="E29" s="89"/>
      <c r="F29" s="90"/>
      <c r="G29" s="91"/>
      <c r="H29" s="91"/>
      <c r="I29" s="91"/>
      <c r="J29" s="92"/>
    </row>
    <row r="30" spans="1:10" s="2" customFormat="1" x14ac:dyDescent="0.2">
      <c r="B30" s="93" t="s">
        <v>91</v>
      </c>
      <c r="C30" s="88" t="s">
        <v>84</v>
      </c>
      <c r="D30" s="88"/>
      <c r="E30" s="89"/>
      <c r="F30" s="90"/>
      <c r="G30" s="91"/>
      <c r="H30" s="91"/>
      <c r="I30" s="91"/>
      <c r="J30" s="92"/>
    </row>
    <row r="31" spans="1:10" s="5" customFormat="1" x14ac:dyDescent="0.2">
      <c r="A31" s="2"/>
      <c r="B31" s="93" t="s">
        <v>92</v>
      </c>
      <c r="C31" s="88"/>
      <c r="D31" s="101"/>
      <c r="E31" s="94"/>
      <c r="F31" s="94"/>
      <c r="G31" s="91"/>
      <c r="H31" s="94"/>
      <c r="I31" s="91"/>
      <c r="J31" s="92"/>
    </row>
    <row r="32" spans="1:10" s="5" customFormat="1" ht="15.75" x14ac:dyDescent="0.2">
      <c r="A32" s="2"/>
      <c r="B32" s="99" t="s">
        <v>141</v>
      </c>
      <c r="C32" s="88">
        <v>5</v>
      </c>
      <c r="D32" s="101">
        <v>12</v>
      </c>
      <c r="E32" s="90">
        <f>C32*D32</f>
        <v>60</v>
      </c>
      <c r="F32" s="90">
        <f>M3+M4</f>
        <v>436</v>
      </c>
      <c r="G32" s="90">
        <f>ROUND(E32*F32,2)</f>
        <v>26160</v>
      </c>
      <c r="H32" s="90">
        <f>ROUND(G32*0.05,2)</f>
        <v>1308</v>
      </c>
      <c r="I32" s="90">
        <f>ROUND(G32*0.1, 2)</f>
        <v>2616</v>
      </c>
      <c r="J32" s="92">
        <f>ROUND(G32*$G$2+H32*$H$2+I32*$I$2, 2)</f>
        <v>3025286.28</v>
      </c>
    </row>
    <row r="33" spans="1:12" s="2" customFormat="1" ht="15.75" x14ac:dyDescent="0.2">
      <c r="B33" s="99" t="s">
        <v>142</v>
      </c>
      <c r="C33" s="88">
        <v>5</v>
      </c>
      <c r="D33" s="101">
        <v>12</v>
      </c>
      <c r="E33" s="90">
        <f>C33*D33</f>
        <v>60</v>
      </c>
      <c r="F33" s="90">
        <f>(M5 + M6) + (M8 + M9)</f>
        <v>160</v>
      </c>
      <c r="G33" s="90">
        <f>ROUND(E33*F33,2)</f>
        <v>9600</v>
      </c>
      <c r="H33" s="90">
        <f>ROUND(G33*0.05,2)</f>
        <v>480</v>
      </c>
      <c r="I33" s="90">
        <f>ROUND(G33*0.1, 2)</f>
        <v>960</v>
      </c>
      <c r="J33" s="96">
        <f>ROUND(G33*$G$2+H33*$H$2+I33*$I$2, 2)</f>
        <v>1110196.8</v>
      </c>
    </row>
    <row r="34" spans="1:12" s="2" customFormat="1" x14ac:dyDescent="0.2">
      <c r="B34" s="93" t="s">
        <v>93</v>
      </c>
      <c r="C34" s="88" t="s">
        <v>70</v>
      </c>
      <c r="D34" s="88"/>
      <c r="E34" s="90"/>
      <c r="F34" s="90"/>
      <c r="G34" s="90"/>
      <c r="H34" s="94"/>
      <c r="I34" s="94"/>
      <c r="J34" s="92"/>
    </row>
    <row r="35" spans="1:12" s="2" customFormat="1" x14ac:dyDescent="0.2">
      <c r="B35" s="93" t="s">
        <v>96</v>
      </c>
      <c r="C35" s="88"/>
      <c r="D35" s="101"/>
      <c r="E35" s="90"/>
      <c r="F35" s="90"/>
      <c r="G35" s="91"/>
      <c r="H35" s="91"/>
      <c r="I35" s="91"/>
      <c r="J35" s="92"/>
    </row>
    <row r="36" spans="1:12" s="2" customFormat="1" x14ac:dyDescent="0.2">
      <c r="B36" s="99" t="s">
        <v>94</v>
      </c>
      <c r="C36" s="88" t="s">
        <v>95</v>
      </c>
      <c r="D36" s="101"/>
      <c r="E36" s="90"/>
      <c r="F36" s="90"/>
      <c r="G36" s="91"/>
      <c r="H36" s="91"/>
      <c r="I36" s="91"/>
      <c r="J36" s="92"/>
    </row>
    <row r="37" spans="1:12" s="2" customFormat="1" x14ac:dyDescent="0.2">
      <c r="B37" s="93" t="s">
        <v>97</v>
      </c>
      <c r="C37" s="88" t="s">
        <v>95</v>
      </c>
      <c r="D37" s="88"/>
      <c r="E37" s="90"/>
      <c r="F37" s="90"/>
      <c r="G37" s="90"/>
      <c r="H37" s="94"/>
      <c r="I37" s="94"/>
      <c r="J37" s="92"/>
    </row>
    <row r="38" spans="1:12" s="2" customFormat="1" x14ac:dyDescent="0.2">
      <c r="B38" s="93" t="s">
        <v>98</v>
      </c>
      <c r="C38" s="88" t="s">
        <v>70</v>
      </c>
      <c r="D38" s="101"/>
      <c r="E38" s="90"/>
      <c r="F38" s="90"/>
      <c r="G38" s="91"/>
      <c r="H38" s="91"/>
      <c r="I38" s="91"/>
      <c r="J38" s="92"/>
    </row>
    <row r="39" spans="1:12" s="5" customFormat="1" ht="13.5" x14ac:dyDescent="0.25">
      <c r="A39" s="2"/>
      <c r="B39" s="102" t="s">
        <v>55</v>
      </c>
      <c r="C39" s="75"/>
      <c r="D39" s="75"/>
      <c r="E39" s="103"/>
      <c r="F39" s="103"/>
      <c r="G39" s="118">
        <f>ROUNDDOWN(SUM(G29:I38), 0)</f>
        <v>41124</v>
      </c>
      <c r="H39" s="119"/>
      <c r="I39" s="120"/>
      <c r="J39" s="104">
        <f>SUM(J29:J38)</f>
        <v>4135483.08</v>
      </c>
    </row>
    <row r="40" spans="1:12" s="5" customFormat="1" ht="13.5" x14ac:dyDescent="0.2">
      <c r="A40" s="2"/>
      <c r="B40" s="76" t="s">
        <v>43</v>
      </c>
      <c r="C40" s="75"/>
      <c r="D40" s="77"/>
      <c r="E40" s="76"/>
      <c r="F40" s="77"/>
      <c r="G40" s="123">
        <f>ROUND(G27+G39, -2)</f>
        <v>93900</v>
      </c>
      <c r="H40" s="123"/>
      <c r="I40" s="123"/>
      <c r="J40" s="32">
        <f>ROUND(J27+J39, -4)</f>
        <v>9450000</v>
      </c>
    </row>
    <row r="41" spans="1:12" s="5" customFormat="1" ht="25.5" x14ac:dyDescent="0.2">
      <c r="A41" s="2"/>
      <c r="B41" s="76" t="s">
        <v>60</v>
      </c>
      <c r="C41" s="75"/>
      <c r="D41" s="77"/>
      <c r="E41" s="76"/>
      <c r="F41" s="77"/>
      <c r="G41" s="65"/>
      <c r="H41" s="65"/>
      <c r="I41" s="65"/>
      <c r="J41" s="32">
        <f>ROUND('Capital &amp; O&amp;M'!E8+'Capital &amp; O&amp;M'!H8, -3)</f>
        <v>1750000</v>
      </c>
      <c r="K41" s="31"/>
    </row>
    <row r="42" spans="1:12" s="5" customFormat="1" ht="13.5" x14ac:dyDescent="0.2">
      <c r="A42" s="2"/>
      <c r="B42" s="76" t="s">
        <v>56</v>
      </c>
      <c r="C42" s="75"/>
      <c r="D42" s="77"/>
      <c r="E42" s="76"/>
      <c r="F42" s="77"/>
      <c r="G42" s="65"/>
      <c r="H42" s="65"/>
      <c r="I42" s="65"/>
      <c r="J42" s="32">
        <f>ROUND(J40+J41, -5)</f>
        <v>11200000</v>
      </c>
      <c r="K42" s="31"/>
      <c r="L42" s="5" t="s">
        <v>148</v>
      </c>
    </row>
    <row r="43" spans="1:12" s="2" customFormat="1" x14ac:dyDescent="0.2">
      <c r="B43" s="57" t="s">
        <v>62</v>
      </c>
      <c r="C43" s="33"/>
      <c r="D43" s="29"/>
      <c r="E43" s="29"/>
      <c r="F43" s="30"/>
      <c r="G43" s="34"/>
      <c r="K43" s="31"/>
    </row>
    <row r="44" spans="1:12" s="2" customFormat="1" x14ac:dyDescent="0.2">
      <c r="B44" s="106" t="s">
        <v>150</v>
      </c>
      <c r="C44" s="33"/>
      <c r="D44" s="29"/>
      <c r="E44" s="29"/>
      <c r="F44" s="30"/>
      <c r="G44" s="34"/>
      <c r="K44" s="31"/>
    </row>
    <row r="45" spans="1:12" s="2" customFormat="1" x14ac:dyDescent="0.2">
      <c r="B45" s="28"/>
      <c r="C45" s="33"/>
      <c r="D45" s="29"/>
      <c r="E45" s="29"/>
      <c r="F45" s="30"/>
      <c r="G45" s="34"/>
      <c r="K45" s="31"/>
    </row>
    <row r="46" spans="1:12" s="5" customFormat="1" x14ac:dyDescent="0.2">
      <c r="A46" s="2"/>
      <c r="B46" s="58" t="s">
        <v>48</v>
      </c>
      <c r="C46" s="2"/>
      <c r="D46" s="2"/>
      <c r="E46" s="2"/>
      <c r="F46" s="2"/>
      <c r="G46" s="2"/>
      <c r="H46" s="2"/>
      <c r="I46" s="2"/>
      <c r="J46" s="2"/>
    </row>
    <row r="47" spans="1:12" s="5" customFormat="1" ht="26.25" customHeight="1" x14ac:dyDescent="0.2">
      <c r="A47" s="2"/>
      <c r="B47" s="117" t="s">
        <v>81</v>
      </c>
      <c r="C47" s="117"/>
      <c r="D47" s="117"/>
      <c r="E47" s="117"/>
      <c r="F47" s="117"/>
      <c r="G47" s="117"/>
      <c r="H47" s="117"/>
      <c r="I47" s="117"/>
      <c r="J47" s="117"/>
    </row>
    <row r="48" spans="1:12" s="5" customFormat="1" ht="39.75" customHeight="1" x14ac:dyDescent="0.2">
      <c r="A48" s="2"/>
      <c r="B48" s="116" t="s">
        <v>65</v>
      </c>
      <c r="C48" s="116"/>
      <c r="D48" s="116"/>
      <c r="E48" s="116"/>
      <c r="F48" s="116"/>
      <c r="G48" s="116"/>
      <c r="H48" s="116"/>
      <c r="I48" s="116"/>
      <c r="J48" s="116"/>
    </row>
    <row r="49" spans="1:10" s="5" customFormat="1" x14ac:dyDescent="0.2">
      <c r="A49" s="2"/>
      <c r="B49" s="117" t="s">
        <v>151</v>
      </c>
      <c r="C49" s="117"/>
      <c r="D49" s="117"/>
      <c r="E49" s="117"/>
      <c r="F49" s="117"/>
      <c r="G49" s="117"/>
      <c r="H49" s="117"/>
      <c r="I49" s="117"/>
      <c r="J49" s="117"/>
    </row>
    <row r="50" spans="1:10" s="5" customFormat="1" x14ac:dyDescent="0.2">
      <c r="A50" s="2"/>
      <c r="B50" s="117" t="s">
        <v>143</v>
      </c>
      <c r="C50" s="117"/>
      <c r="D50" s="117"/>
      <c r="E50" s="117"/>
      <c r="F50" s="117"/>
      <c r="G50" s="117"/>
      <c r="H50" s="117"/>
      <c r="I50" s="117"/>
      <c r="J50" s="117"/>
    </row>
    <row r="51" spans="1:10" x14ac:dyDescent="0.2">
      <c r="B51" s="117" t="s">
        <v>153</v>
      </c>
      <c r="C51" s="117"/>
      <c r="D51" s="117"/>
      <c r="E51" s="117"/>
      <c r="F51" s="117"/>
      <c r="G51" s="117"/>
      <c r="H51" s="117"/>
      <c r="I51" s="117"/>
      <c r="J51" s="117"/>
    </row>
    <row r="52" spans="1:10" x14ac:dyDescent="0.2">
      <c r="B52" s="115" t="s">
        <v>154</v>
      </c>
      <c r="C52" s="115"/>
      <c r="D52" s="115"/>
      <c r="E52" s="115"/>
      <c r="F52" s="115"/>
      <c r="G52" s="115"/>
      <c r="H52" s="115"/>
      <c r="I52" s="115"/>
      <c r="J52" s="115"/>
    </row>
    <row r="53" spans="1:10" s="5" customFormat="1" x14ac:dyDescent="0.2">
      <c r="A53" s="2"/>
      <c r="B53" s="117" t="s">
        <v>155</v>
      </c>
      <c r="C53" s="117"/>
      <c r="D53" s="117"/>
      <c r="E53" s="117"/>
      <c r="F53" s="117"/>
      <c r="G53" s="117"/>
      <c r="H53" s="117"/>
      <c r="I53" s="117"/>
      <c r="J53" s="117"/>
    </row>
    <row r="54" spans="1:10" s="5" customFormat="1" ht="27" customHeight="1" x14ac:dyDescent="0.2">
      <c r="A54" s="2"/>
      <c r="B54" s="117" t="s">
        <v>156</v>
      </c>
      <c r="C54" s="117"/>
      <c r="D54" s="117"/>
      <c r="E54" s="117"/>
      <c r="F54" s="117"/>
      <c r="G54" s="117"/>
      <c r="H54" s="117"/>
      <c r="I54" s="117"/>
      <c r="J54" s="117"/>
    </row>
    <row r="55" spans="1:10" x14ac:dyDescent="0.2">
      <c r="B55" s="115" t="s">
        <v>144</v>
      </c>
      <c r="C55" s="115"/>
      <c r="D55" s="115"/>
      <c r="E55" s="115"/>
      <c r="F55" s="115"/>
      <c r="G55" s="115"/>
      <c r="H55" s="115"/>
      <c r="I55" s="115"/>
      <c r="J55" s="115"/>
    </row>
    <row r="56" spans="1:10" x14ac:dyDescent="0.2">
      <c r="B56" s="117" t="s">
        <v>145</v>
      </c>
      <c r="C56" s="117"/>
      <c r="D56" s="117"/>
      <c r="E56" s="117"/>
      <c r="F56" s="117"/>
      <c r="G56" s="117"/>
      <c r="H56" s="117"/>
      <c r="I56" s="117"/>
      <c r="J56" s="117"/>
    </row>
    <row r="57" spans="1:10" ht="25.5" customHeight="1" x14ac:dyDescent="0.2">
      <c r="B57" s="117" t="s">
        <v>152</v>
      </c>
      <c r="C57" s="117"/>
      <c r="D57" s="117"/>
      <c r="E57" s="117"/>
      <c r="F57" s="117"/>
      <c r="G57" s="117"/>
      <c r="H57" s="117"/>
      <c r="I57" s="117"/>
      <c r="J57" s="117"/>
    </row>
    <row r="58" spans="1:10" x14ac:dyDescent="0.2">
      <c r="B58" s="117" t="s">
        <v>146</v>
      </c>
      <c r="C58" s="117"/>
      <c r="D58" s="117"/>
      <c r="E58" s="117"/>
      <c r="F58" s="117"/>
      <c r="G58" s="117"/>
      <c r="H58" s="117"/>
      <c r="I58" s="117"/>
      <c r="J58" s="117"/>
    </row>
    <row r="59" spans="1:10" x14ac:dyDescent="0.2">
      <c r="B59" s="117" t="s">
        <v>147</v>
      </c>
      <c r="C59" s="117"/>
      <c r="D59" s="117"/>
      <c r="E59" s="117"/>
      <c r="F59" s="117"/>
      <c r="G59" s="117"/>
      <c r="H59" s="117"/>
      <c r="I59" s="117"/>
      <c r="J59" s="117"/>
    </row>
    <row r="60" spans="1:10" x14ac:dyDescent="0.2">
      <c r="B60" s="115"/>
      <c r="C60" s="115"/>
      <c r="D60" s="115"/>
      <c r="E60" s="115"/>
      <c r="F60" s="115"/>
      <c r="G60" s="115"/>
      <c r="H60" s="115"/>
      <c r="I60" s="115"/>
      <c r="J60" s="115"/>
    </row>
  </sheetData>
  <mergeCells count="18">
    <mergeCell ref="G27:I27"/>
    <mergeCell ref="B51:J51"/>
    <mergeCell ref="B52:J52"/>
    <mergeCell ref="B3:B4"/>
    <mergeCell ref="G39:I39"/>
    <mergeCell ref="G40:I40"/>
    <mergeCell ref="B47:J47"/>
    <mergeCell ref="B60:J60"/>
    <mergeCell ref="B48:J48"/>
    <mergeCell ref="B50:J50"/>
    <mergeCell ref="B53:J53"/>
    <mergeCell ref="B54:J54"/>
    <mergeCell ref="B55:J55"/>
    <mergeCell ref="B56:J56"/>
    <mergeCell ref="B57:J57"/>
    <mergeCell ref="B58:J58"/>
    <mergeCell ref="B59:J59"/>
    <mergeCell ref="B49:J4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heetViews>
  <sheetFormatPr defaultColWidth="9.140625" defaultRowHeight="15" x14ac:dyDescent="0.25"/>
  <cols>
    <col min="1" max="1" width="0.85546875" customWidth="1"/>
    <col min="2" max="2" width="33.42578125" customWidth="1"/>
    <col min="3" max="3" width="12.85546875" bestFit="1" customWidth="1"/>
    <col min="4" max="5" width="12.5703125" bestFit="1" customWidth="1"/>
    <col min="6" max="6" width="11.7109375" customWidth="1"/>
    <col min="7" max="7" width="13.85546875" bestFit="1" customWidth="1"/>
    <col min="8" max="9" width="12.42578125" bestFit="1" customWidth="1"/>
    <col min="10" max="10" width="11.42578125" customWidth="1"/>
    <col min="11" max="11" width="2" style="49" customWidth="1"/>
    <col min="12" max="12" width="6.7109375" style="49" bestFit="1" customWidth="1"/>
  </cols>
  <sheetData>
    <row r="1" spans="2:12" ht="15.75" x14ac:dyDescent="0.25">
      <c r="B1" s="3" t="s">
        <v>68</v>
      </c>
    </row>
    <row r="2" spans="2:12" ht="15.75" x14ac:dyDescent="0.25">
      <c r="B2" s="3"/>
    </row>
    <row r="3" spans="2:12" x14ac:dyDescent="0.25">
      <c r="F3" s="51" t="s">
        <v>58</v>
      </c>
      <c r="G3" s="37">
        <v>46.67</v>
      </c>
      <c r="H3" s="37">
        <v>62.9</v>
      </c>
      <c r="I3" s="37">
        <v>25.25</v>
      </c>
    </row>
    <row r="4" spans="2:12" s="7" customFormat="1" ht="12.75" x14ac:dyDescent="0.2">
      <c r="B4" s="127" t="s">
        <v>7</v>
      </c>
      <c r="C4" s="35" t="s">
        <v>8</v>
      </c>
      <c r="D4" s="35" t="s">
        <v>9</v>
      </c>
      <c r="E4" s="35" t="s">
        <v>10</v>
      </c>
      <c r="F4" s="35" t="s">
        <v>11</v>
      </c>
      <c r="G4" s="35" t="s">
        <v>12</v>
      </c>
      <c r="H4" s="35" t="s">
        <v>13</v>
      </c>
      <c r="I4" s="35" t="s">
        <v>14</v>
      </c>
      <c r="J4" s="35" t="s">
        <v>15</v>
      </c>
      <c r="K4" s="36"/>
    </row>
    <row r="5" spans="2:12" s="12" customFormat="1" ht="51.75" x14ac:dyDescent="0.25">
      <c r="B5" s="127"/>
      <c r="C5" s="13" t="s">
        <v>44</v>
      </c>
      <c r="D5" s="13" t="s">
        <v>17</v>
      </c>
      <c r="E5" s="13" t="s">
        <v>45</v>
      </c>
      <c r="F5" s="13" t="s">
        <v>19</v>
      </c>
      <c r="G5" s="13" t="s">
        <v>46</v>
      </c>
      <c r="H5" s="13" t="s">
        <v>47</v>
      </c>
      <c r="I5" s="13" t="s">
        <v>22</v>
      </c>
      <c r="J5" s="13" t="s">
        <v>23</v>
      </c>
      <c r="K5" s="38"/>
      <c r="L5" s="50" t="s">
        <v>63</v>
      </c>
    </row>
    <row r="6" spans="2:12" s="2" customFormat="1" ht="12.75" x14ac:dyDescent="0.2">
      <c r="B6" s="87" t="s">
        <v>99</v>
      </c>
      <c r="C6" s="88"/>
      <c r="D6" s="89"/>
      <c r="E6" s="89"/>
      <c r="F6" s="90"/>
      <c r="G6" s="91"/>
      <c r="H6" s="91"/>
      <c r="I6" s="91"/>
      <c r="J6" s="92"/>
    </row>
    <row r="7" spans="2:12" s="2" customFormat="1" ht="12.75" x14ac:dyDescent="0.2">
      <c r="B7" s="93" t="s">
        <v>76</v>
      </c>
      <c r="C7" s="88">
        <v>0.5</v>
      </c>
      <c r="D7" s="89">
        <f>'Respondent Burden'!D11</f>
        <v>33</v>
      </c>
      <c r="E7" s="89">
        <f t="shared" ref="E7:E8" si="0">C7*D7</f>
        <v>16.5</v>
      </c>
      <c r="F7" s="90">
        <f>'Respondent Burden'!F11</f>
        <v>300</v>
      </c>
      <c r="G7" s="90">
        <f>ROUND(E7*F7, 2)</f>
        <v>4950</v>
      </c>
      <c r="H7" s="94">
        <f>ROUND(G7*0.05, 2)</f>
        <v>247.5</v>
      </c>
      <c r="I7" s="90">
        <f>ROUND(G7*0.1, 2)</f>
        <v>495</v>
      </c>
      <c r="J7" s="95">
        <f>ROUND(G7*$G$3+H7*$H$3+I7*$I$3, 2)</f>
        <v>259083</v>
      </c>
      <c r="L7" s="5"/>
    </row>
    <row r="8" spans="2:12" s="2" customFormat="1" ht="12.75" x14ac:dyDescent="0.2">
      <c r="B8" s="93" t="s">
        <v>100</v>
      </c>
      <c r="C8" s="88">
        <v>0.5</v>
      </c>
      <c r="D8" s="89">
        <f>'Respondent Burden'!D12</f>
        <v>4</v>
      </c>
      <c r="E8" s="89">
        <f t="shared" si="0"/>
        <v>2</v>
      </c>
      <c r="F8" s="90">
        <f>'Respondent Burden'!F12</f>
        <v>300</v>
      </c>
      <c r="G8" s="90">
        <f t="shared" ref="G8:G10" si="1">ROUND(E8*F8, 2)</f>
        <v>600</v>
      </c>
      <c r="H8" s="90">
        <f t="shared" ref="H8:H18" si="2">ROUND(G8*0.05, 2)</f>
        <v>30</v>
      </c>
      <c r="I8" s="90">
        <f t="shared" ref="I8:I10" si="3">ROUND(G8*0.1, 2)</f>
        <v>60</v>
      </c>
      <c r="J8" s="95">
        <f t="shared" ref="J8:J10" si="4">ROUND(G8*$G$3+H8*$H$3+I8*$I$3, 2)</f>
        <v>31404</v>
      </c>
      <c r="L8" s="5"/>
    </row>
    <row r="9" spans="2:12" s="2" customFormat="1" ht="25.5" x14ac:dyDescent="0.2">
      <c r="B9" s="93" t="s">
        <v>162</v>
      </c>
      <c r="C9" s="88">
        <v>0.5</v>
      </c>
      <c r="D9" s="89">
        <f>'Respondent Burden'!D13</f>
        <v>1</v>
      </c>
      <c r="E9" s="89">
        <f t="shared" ref="E9" si="5">C9*D9</f>
        <v>0.5</v>
      </c>
      <c r="F9" s="90">
        <f>'Respondent Burden'!F13</f>
        <v>29</v>
      </c>
      <c r="G9" s="94">
        <f t="shared" si="1"/>
        <v>14.5</v>
      </c>
      <c r="H9" s="91">
        <f t="shared" si="2"/>
        <v>0.73</v>
      </c>
      <c r="I9" s="91">
        <f t="shared" si="3"/>
        <v>1.45</v>
      </c>
      <c r="J9" s="92">
        <f t="shared" si="4"/>
        <v>759.24</v>
      </c>
      <c r="L9" s="5"/>
    </row>
    <row r="10" spans="2:12" s="2" customFormat="1" ht="12.75" x14ac:dyDescent="0.2">
      <c r="B10" s="93" t="s">
        <v>163</v>
      </c>
      <c r="C10" s="88">
        <v>0.5</v>
      </c>
      <c r="D10" s="89">
        <f>'Respondent Burden'!D14</f>
        <v>1</v>
      </c>
      <c r="E10" s="89">
        <f t="shared" ref="E10:E18" si="6">C10*D10</f>
        <v>0.5</v>
      </c>
      <c r="F10" s="90">
        <f>'Respondent Burden'!F14</f>
        <v>3</v>
      </c>
      <c r="G10" s="94">
        <f t="shared" si="1"/>
        <v>1.5</v>
      </c>
      <c r="H10" s="91">
        <f t="shared" si="2"/>
        <v>0.08</v>
      </c>
      <c r="I10" s="91">
        <f t="shared" si="3"/>
        <v>0.15</v>
      </c>
      <c r="J10" s="92">
        <f t="shared" si="4"/>
        <v>78.819999999999993</v>
      </c>
      <c r="L10" s="5"/>
    </row>
    <row r="11" spans="2:12" s="2" customFormat="1" ht="12.75" x14ac:dyDescent="0.2">
      <c r="B11" s="87" t="s">
        <v>101</v>
      </c>
      <c r="C11" s="88"/>
      <c r="D11" s="88"/>
      <c r="E11" s="89"/>
      <c r="F11" s="90"/>
      <c r="G11" s="91"/>
      <c r="H11" s="91"/>
      <c r="I11" s="91"/>
      <c r="J11" s="92"/>
    </row>
    <row r="12" spans="2:12" s="2" customFormat="1" ht="12.75" x14ac:dyDescent="0.2">
      <c r="B12" s="93" t="s">
        <v>87</v>
      </c>
      <c r="C12" s="88">
        <v>1</v>
      </c>
      <c r="D12" s="88">
        <f>'Respondent Burden'!D18</f>
        <v>1</v>
      </c>
      <c r="E12" s="89">
        <f t="shared" si="6"/>
        <v>1</v>
      </c>
      <c r="F12" s="90">
        <f>'Respondent Burden'!F18</f>
        <v>300</v>
      </c>
      <c r="G12" s="90">
        <f t="shared" ref="G12:G18" si="7">ROUND(E12*F12, 2)</f>
        <v>300</v>
      </c>
      <c r="H12" s="90">
        <f t="shared" si="2"/>
        <v>15</v>
      </c>
      <c r="I12" s="90">
        <f t="shared" ref="I12:I18" si="8">ROUND(G12*0.1, 2)</f>
        <v>30</v>
      </c>
      <c r="J12" s="95">
        <f t="shared" ref="J12:J18" si="9">ROUND(G12*$G$3+H12*$H$3+I12*$I$3, 2)</f>
        <v>15702</v>
      </c>
      <c r="L12" s="5"/>
    </row>
    <row r="13" spans="2:12" s="2" customFormat="1" ht="12.75" x14ac:dyDescent="0.2">
      <c r="B13" s="93" t="s">
        <v>164</v>
      </c>
      <c r="C13" s="88">
        <v>1</v>
      </c>
      <c r="D13" s="88">
        <f>'Respondent Burden'!D19</f>
        <v>1</v>
      </c>
      <c r="E13" s="89">
        <f>C13*D13</f>
        <v>1</v>
      </c>
      <c r="F13" s="90">
        <f>'Respondent Burden'!F19</f>
        <v>15</v>
      </c>
      <c r="G13" s="90">
        <f>ROUND(E13*F13, 2)</f>
        <v>15</v>
      </c>
      <c r="H13" s="91">
        <f>ROUND(G13*0.05, 2)</f>
        <v>0.75</v>
      </c>
      <c r="I13" s="94">
        <f>ROUND(G13*0.1, 2)</f>
        <v>1.5</v>
      </c>
      <c r="J13" s="96">
        <f>ROUND(G13*$G$3+H13*$H$3+I13*$I$3, 2)</f>
        <v>785.1</v>
      </c>
      <c r="L13" s="5"/>
    </row>
    <row r="14" spans="2:12" s="2" customFormat="1" ht="12.75" x14ac:dyDescent="0.2">
      <c r="B14" s="93" t="s">
        <v>165</v>
      </c>
      <c r="C14" s="88">
        <v>1</v>
      </c>
      <c r="D14" s="88">
        <f>'Respondent Burden'!D20</f>
        <v>1</v>
      </c>
      <c r="E14" s="89">
        <f t="shared" si="6"/>
        <v>1</v>
      </c>
      <c r="F14" s="90">
        <f>'Respondent Burden'!F20</f>
        <v>65</v>
      </c>
      <c r="G14" s="90">
        <f t="shared" si="7"/>
        <v>65</v>
      </c>
      <c r="H14" s="91">
        <f t="shared" si="2"/>
        <v>3.25</v>
      </c>
      <c r="I14" s="94">
        <f t="shared" si="8"/>
        <v>6.5</v>
      </c>
      <c r="J14" s="96">
        <f t="shared" si="9"/>
        <v>3402.1</v>
      </c>
      <c r="L14" s="5"/>
    </row>
    <row r="15" spans="2:12" s="2" customFormat="1" ht="12.75" x14ac:dyDescent="0.2">
      <c r="B15" s="93" t="s">
        <v>166</v>
      </c>
      <c r="C15" s="88">
        <v>1</v>
      </c>
      <c r="D15" s="88">
        <f>'Respondent Burden'!D21</f>
        <v>1</v>
      </c>
      <c r="E15" s="89">
        <f t="shared" si="6"/>
        <v>1</v>
      </c>
      <c r="F15" s="90">
        <f>'Respondent Burden'!F21</f>
        <v>2095</v>
      </c>
      <c r="G15" s="90">
        <f t="shared" si="7"/>
        <v>2095</v>
      </c>
      <c r="H15" s="91">
        <f t="shared" si="2"/>
        <v>104.75</v>
      </c>
      <c r="I15" s="94">
        <f t="shared" si="8"/>
        <v>209.5</v>
      </c>
      <c r="J15" s="96">
        <f t="shared" si="9"/>
        <v>109652.3</v>
      </c>
      <c r="L15" s="5"/>
    </row>
    <row r="16" spans="2:12" s="2" customFormat="1" ht="12.75" x14ac:dyDescent="0.2">
      <c r="B16" s="93" t="s">
        <v>122</v>
      </c>
      <c r="C16" s="88">
        <v>1</v>
      </c>
      <c r="D16" s="88">
        <f>'Respondent Burden'!D22</f>
        <v>1</v>
      </c>
      <c r="E16" s="89">
        <f t="shared" si="6"/>
        <v>1</v>
      </c>
      <c r="F16" s="90">
        <f>'Respondent Burden'!F22</f>
        <v>300</v>
      </c>
      <c r="G16" s="90">
        <f t="shared" si="7"/>
        <v>300</v>
      </c>
      <c r="H16" s="90">
        <f t="shared" si="2"/>
        <v>15</v>
      </c>
      <c r="I16" s="90">
        <f t="shared" si="8"/>
        <v>30</v>
      </c>
      <c r="J16" s="95">
        <f t="shared" si="9"/>
        <v>15702</v>
      </c>
      <c r="L16" s="5"/>
    </row>
    <row r="17" spans="1:14" s="2" customFormat="1" ht="12.75" x14ac:dyDescent="0.2">
      <c r="B17" s="93" t="s">
        <v>121</v>
      </c>
      <c r="C17" s="88">
        <v>1</v>
      </c>
      <c r="D17" s="88">
        <f>'Respondent Burden'!D23</f>
        <v>1</v>
      </c>
      <c r="E17" s="89">
        <f t="shared" si="6"/>
        <v>1</v>
      </c>
      <c r="F17" s="90">
        <f>'Respondent Burden'!F23</f>
        <v>75</v>
      </c>
      <c r="G17" s="90">
        <f t="shared" si="7"/>
        <v>75</v>
      </c>
      <c r="H17" s="91">
        <f t="shared" si="2"/>
        <v>3.75</v>
      </c>
      <c r="I17" s="94">
        <f t="shared" si="8"/>
        <v>7.5</v>
      </c>
      <c r="J17" s="96">
        <f t="shared" si="9"/>
        <v>3925.5</v>
      </c>
      <c r="L17" s="5"/>
    </row>
    <row r="18" spans="1:14" s="2" customFormat="1" ht="12.75" x14ac:dyDescent="0.2">
      <c r="B18" s="93" t="s">
        <v>104</v>
      </c>
      <c r="C18" s="88">
        <v>1</v>
      </c>
      <c r="D18" s="88">
        <f>'Respondent Burden'!D24</f>
        <v>1</v>
      </c>
      <c r="E18" s="89">
        <f t="shared" si="6"/>
        <v>1</v>
      </c>
      <c r="F18" s="90">
        <f>'Respondent Burden'!F24</f>
        <v>380</v>
      </c>
      <c r="G18" s="90">
        <f t="shared" si="7"/>
        <v>380</v>
      </c>
      <c r="H18" s="90">
        <f t="shared" si="2"/>
        <v>19</v>
      </c>
      <c r="I18" s="90">
        <f t="shared" si="8"/>
        <v>38</v>
      </c>
      <c r="J18" s="96">
        <f t="shared" si="9"/>
        <v>19889.2</v>
      </c>
      <c r="L18" s="5"/>
    </row>
    <row r="19" spans="1:14" s="2" customFormat="1" ht="12.75" x14ac:dyDescent="0.2">
      <c r="B19" s="87" t="s">
        <v>102</v>
      </c>
      <c r="C19" s="88"/>
      <c r="D19" s="88"/>
      <c r="E19" s="89"/>
      <c r="F19" s="90"/>
      <c r="G19" s="91"/>
      <c r="H19" s="91"/>
      <c r="I19" s="91"/>
      <c r="J19" s="92"/>
    </row>
    <row r="20" spans="1:14" s="2" customFormat="1" ht="12.75" x14ac:dyDescent="0.2">
      <c r="B20" s="93" t="s">
        <v>103</v>
      </c>
      <c r="C20" s="89">
        <v>1</v>
      </c>
      <c r="D20" s="89">
        <f>'Respondent Burden'!D26</f>
        <v>2</v>
      </c>
      <c r="E20" s="89">
        <f>C20*D20</f>
        <v>2</v>
      </c>
      <c r="F20" s="90">
        <f>'Respondent Burden'!F26</f>
        <v>145</v>
      </c>
      <c r="G20" s="90">
        <f>ROUND(E20*F20, 2)</f>
        <v>290</v>
      </c>
      <c r="H20" s="94">
        <f>ROUND(G20*0.05, 2)</f>
        <v>14.5</v>
      </c>
      <c r="I20" s="90">
        <f>ROUND(G20*0.1, 2)</f>
        <v>29</v>
      </c>
      <c r="J20" s="96">
        <f>ROUND(G20*$G$3+H20*$H$3+I20*$I$3, 2)</f>
        <v>15178.6</v>
      </c>
      <c r="L20" s="5"/>
    </row>
    <row r="21" spans="1:14" s="2" customFormat="1" x14ac:dyDescent="0.25">
      <c r="B21" s="124" t="s">
        <v>43</v>
      </c>
      <c r="C21" s="125"/>
      <c r="D21" s="125"/>
      <c r="E21" s="125"/>
      <c r="F21" s="126"/>
      <c r="G21" s="123">
        <f>ROUND(SUM(G6:I20), -2)</f>
        <v>10400</v>
      </c>
      <c r="H21" s="123"/>
      <c r="I21" s="123"/>
      <c r="J21" s="32">
        <f>ROUND(SUM(J6:J20), -3)</f>
        <v>476000</v>
      </c>
      <c r="K21" s="34"/>
      <c r="L21" s="5" t="s">
        <v>133</v>
      </c>
      <c r="M21" s="49"/>
      <c r="N21" s="49"/>
    </row>
    <row r="22" spans="1:14" s="2" customFormat="1" ht="12.75" x14ac:dyDescent="0.2">
      <c r="B22" s="106" t="s">
        <v>150</v>
      </c>
      <c r="C22" s="33"/>
      <c r="D22" s="29"/>
      <c r="E22" s="29"/>
      <c r="F22" s="30"/>
      <c r="G22" s="34"/>
      <c r="K22" s="31"/>
    </row>
    <row r="24" spans="1:14" s="5" customFormat="1" ht="12.75" x14ac:dyDescent="0.2">
      <c r="A24" s="2"/>
      <c r="B24" s="58" t="s">
        <v>48</v>
      </c>
      <c r="C24" s="2"/>
      <c r="D24" s="2"/>
      <c r="E24" s="2"/>
      <c r="F24" s="2"/>
      <c r="G24" s="2"/>
      <c r="H24" s="2"/>
      <c r="I24" s="2"/>
      <c r="J24" s="2"/>
      <c r="M24" s="107"/>
      <c r="N24" s="107"/>
    </row>
    <row r="25" spans="1:14" s="5" customFormat="1" ht="37.5" customHeight="1" x14ac:dyDescent="0.2">
      <c r="A25" s="2"/>
      <c r="B25" s="117" t="s">
        <v>81</v>
      </c>
      <c r="C25" s="117"/>
      <c r="D25" s="117"/>
      <c r="E25" s="117"/>
      <c r="F25" s="117"/>
      <c r="G25" s="117"/>
      <c r="H25" s="117"/>
      <c r="I25" s="117"/>
      <c r="J25" s="117"/>
    </row>
    <row r="26" spans="1:14" s="5" customFormat="1" ht="26.25" customHeight="1" x14ac:dyDescent="0.2">
      <c r="A26" s="2"/>
      <c r="B26" s="116" t="s">
        <v>105</v>
      </c>
      <c r="C26" s="116"/>
      <c r="D26" s="116"/>
      <c r="E26" s="116"/>
      <c r="F26" s="116"/>
      <c r="G26" s="116"/>
      <c r="H26" s="116"/>
      <c r="I26" s="116"/>
      <c r="J26" s="116"/>
    </row>
  </sheetData>
  <mergeCells count="5">
    <mergeCell ref="B21:F21"/>
    <mergeCell ref="B4:B5"/>
    <mergeCell ref="G21:I21"/>
    <mergeCell ref="B25:J25"/>
    <mergeCell ref="B26:J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
  <sheetViews>
    <sheetView workbookViewId="0">
      <selection activeCell="C6" sqref="C6"/>
    </sheetView>
  </sheetViews>
  <sheetFormatPr defaultRowHeight="12.75" x14ac:dyDescent="0.2"/>
  <cols>
    <col min="1" max="1" width="1" style="1" customWidth="1"/>
    <col min="2" max="2" width="38.5703125" style="1" customWidth="1"/>
    <col min="3" max="3" width="12.5703125" style="1" customWidth="1"/>
    <col min="4" max="4" width="12.7109375" style="1" customWidth="1"/>
    <col min="5" max="5" width="14.42578125" style="1" customWidth="1"/>
    <col min="6" max="6" width="12.5703125" style="1" customWidth="1"/>
    <col min="7" max="11" width="12" style="1" customWidth="1"/>
    <col min="12" max="12" width="54.7109375" style="1" bestFit="1" customWidth="1"/>
    <col min="13" max="16384" width="9.140625" style="1"/>
  </cols>
  <sheetData>
    <row r="1" spans="2:9" s="5" customFormat="1" x14ac:dyDescent="0.2">
      <c r="B1" s="1"/>
      <c r="C1" s="1"/>
      <c r="D1" s="1"/>
      <c r="E1" s="1"/>
      <c r="F1" s="1"/>
      <c r="G1" s="1"/>
    </row>
    <row r="2" spans="2:9" ht="15.75" x14ac:dyDescent="0.2">
      <c r="B2" s="128" t="s">
        <v>49</v>
      </c>
      <c r="C2" s="129"/>
      <c r="D2" s="129"/>
      <c r="E2" s="129"/>
      <c r="F2" s="129"/>
      <c r="G2" s="129"/>
      <c r="H2" s="130"/>
    </row>
    <row r="3" spans="2:9" x14ac:dyDescent="0.2">
      <c r="B3" s="45" t="s">
        <v>0</v>
      </c>
      <c r="C3" s="45" t="s">
        <v>1</v>
      </c>
      <c r="D3" s="45" t="s">
        <v>2</v>
      </c>
      <c r="E3" s="45" t="s">
        <v>3</v>
      </c>
      <c r="F3" s="45" t="s">
        <v>4</v>
      </c>
      <c r="G3" s="45" t="s">
        <v>51</v>
      </c>
      <c r="H3" s="45" t="s">
        <v>53</v>
      </c>
    </row>
    <row r="4" spans="2:9" ht="41.25" x14ac:dyDescent="0.25">
      <c r="B4" s="46" t="s">
        <v>61</v>
      </c>
      <c r="C4" s="46" t="s">
        <v>50</v>
      </c>
      <c r="D4" s="46" t="s">
        <v>31</v>
      </c>
      <c r="E4" s="46" t="s">
        <v>126</v>
      </c>
      <c r="F4" s="46" t="s">
        <v>128</v>
      </c>
      <c r="G4" s="46" t="s">
        <v>52</v>
      </c>
      <c r="H4" s="46" t="s">
        <v>54</v>
      </c>
      <c r="I4" s="50" t="s">
        <v>57</v>
      </c>
    </row>
    <row r="5" spans="2:9" ht="14.25" x14ac:dyDescent="0.2">
      <c r="B5" s="46" t="s">
        <v>124</v>
      </c>
      <c r="C5" s="59">
        <v>73000</v>
      </c>
      <c r="D5" s="60">
        <v>3</v>
      </c>
      <c r="E5" s="59">
        <f>C5*D5</f>
        <v>219000</v>
      </c>
      <c r="F5" s="59">
        <v>17100</v>
      </c>
      <c r="G5" s="60">
        <f>'Respondent Burden'!F19</f>
        <v>15</v>
      </c>
      <c r="H5" s="59">
        <f>F5*G5</f>
        <v>256500</v>
      </c>
    </row>
    <row r="6" spans="2:9" ht="28.5" x14ac:dyDescent="0.2">
      <c r="B6" s="46" t="s">
        <v>127</v>
      </c>
      <c r="C6" s="59" t="s">
        <v>70</v>
      </c>
      <c r="D6" s="60">
        <v>13</v>
      </c>
      <c r="E6" s="59">
        <v>0</v>
      </c>
      <c r="F6" s="59">
        <v>804</v>
      </c>
      <c r="G6" s="60">
        <f>'Respondent Burden'!F20</f>
        <v>65</v>
      </c>
      <c r="H6" s="59">
        <f>F6*G6</f>
        <v>52260</v>
      </c>
    </row>
    <row r="7" spans="2:9" ht="28.5" x14ac:dyDescent="0.2">
      <c r="B7" s="46" t="s">
        <v>125</v>
      </c>
      <c r="C7" s="59" t="s">
        <v>70</v>
      </c>
      <c r="D7" s="60">
        <v>304</v>
      </c>
      <c r="E7" s="59">
        <v>0</v>
      </c>
      <c r="F7" s="59">
        <v>804</v>
      </c>
      <c r="G7" s="60">
        <f>'Respondent Burden'!F24*4</f>
        <v>1520</v>
      </c>
      <c r="H7" s="59">
        <f>F7*G7</f>
        <v>1222080</v>
      </c>
    </row>
    <row r="8" spans="2:9" x14ac:dyDescent="0.2">
      <c r="B8" s="46" t="s">
        <v>6</v>
      </c>
      <c r="C8" s="67"/>
      <c r="D8" s="67"/>
      <c r="E8" s="73">
        <f>SUM(E5:E7)</f>
        <v>219000</v>
      </c>
      <c r="F8" s="67"/>
      <c r="G8" s="67"/>
      <c r="H8" s="61">
        <f>SUM(H5:H7)</f>
        <v>1530840</v>
      </c>
      <c r="I8" s="11" t="s">
        <v>132</v>
      </c>
    </row>
    <row r="9" spans="2:9" x14ac:dyDescent="0.2">
      <c r="B9" s="1" t="s">
        <v>123</v>
      </c>
      <c r="C9" s="69"/>
      <c r="D9" s="69"/>
      <c r="E9" s="63"/>
      <c r="F9" s="63"/>
      <c r="G9" s="64"/>
      <c r="H9" s="63"/>
      <c r="I9" s="11"/>
    </row>
    <row r="10" spans="2:9" x14ac:dyDescent="0.2">
      <c r="B10" s="62" t="s">
        <v>62</v>
      </c>
    </row>
    <row r="12" spans="2:9" x14ac:dyDescent="0.2">
      <c r="B12" s="1" t="s">
        <v>48</v>
      </c>
    </row>
    <row r="13" spans="2:9" ht="15.75" x14ac:dyDescent="0.2">
      <c r="B13" s="86" t="s">
        <v>129</v>
      </c>
    </row>
    <row r="14" spans="2:9" ht="15.75" x14ac:dyDescent="0.2">
      <c r="B14" s="86" t="s">
        <v>130</v>
      </c>
    </row>
  </sheetData>
  <mergeCells count="1">
    <mergeCell ref="B2:H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Respondents</vt:lpstr>
      <vt:lpstr># Responses</vt:lpstr>
      <vt:lpstr>Respondent Burden</vt:lpstr>
      <vt:lpstr>Agency Burden</vt:lpstr>
      <vt:lpstr>Capital &amp; O&amp;M</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Courtney Kerwin</cp:lastModifiedBy>
  <dcterms:created xsi:type="dcterms:W3CDTF">2014-10-21T14:07:44Z</dcterms:created>
  <dcterms:modified xsi:type="dcterms:W3CDTF">2015-09-12T01:39:55Z</dcterms:modified>
</cp:coreProperties>
</file>