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5330" windowHeight="3975"/>
  </bookViews>
  <sheets>
    <sheet name="Sheet1" sheetId="1" r:id="rId1"/>
    <sheet name="Sheet2" sheetId="2" r:id="rId2"/>
    <sheet name="Sheet3" sheetId="3" r:id="rId3"/>
  </sheets>
  <definedNames>
    <definedName name="_xlnm.Print_Area" localSheetId="0">Sheet1!$A$1:$R$62</definedName>
  </definedNames>
  <calcPr calcId="145621"/>
</workbook>
</file>

<file path=xl/calcChain.xml><?xml version="1.0" encoding="utf-8"?>
<calcChain xmlns="http://schemas.openxmlformats.org/spreadsheetml/2006/main">
  <c r="P61" i="1" l="1"/>
  <c r="K32" i="1" l="1"/>
  <c r="F32" i="1"/>
  <c r="K26" i="1"/>
  <c r="F26" i="1"/>
  <c r="K37" i="1" l="1"/>
  <c r="F37" i="1"/>
  <c r="K36" i="1"/>
  <c r="F36" i="1"/>
  <c r="K35" i="1"/>
  <c r="F35" i="1"/>
  <c r="K34" i="1"/>
  <c r="F34" i="1"/>
  <c r="F31" i="1"/>
  <c r="K31" i="1"/>
  <c r="K30" i="1"/>
  <c r="F30" i="1"/>
  <c r="K29" i="1"/>
  <c r="F29" i="1"/>
  <c r="K28" i="1"/>
  <c r="F28" i="1"/>
  <c r="K25" i="1"/>
  <c r="F25" i="1"/>
  <c r="K24" i="1"/>
  <c r="F24" i="1"/>
  <c r="K23" i="1"/>
  <c r="F23" i="1"/>
  <c r="K18" i="1"/>
  <c r="F18" i="1"/>
  <c r="K17" i="1"/>
  <c r="F17" i="1"/>
  <c r="K16" i="1"/>
  <c r="F16" i="1"/>
  <c r="K11" i="1"/>
  <c r="F11" i="1"/>
  <c r="K10" i="1"/>
  <c r="F10" i="1"/>
  <c r="K9" i="1"/>
  <c r="F9" i="1"/>
  <c r="F8" i="1"/>
  <c r="K8" i="1"/>
  <c r="K42" i="1" l="1"/>
  <c r="F42" i="1"/>
  <c r="E42" i="1"/>
  <c r="M20" i="1"/>
  <c r="O20" i="1" s="1"/>
  <c r="H20" i="1"/>
  <c r="J20" i="1" s="1"/>
  <c r="P20" i="1" s="1"/>
  <c r="R20" i="1" s="1"/>
  <c r="H12" i="1"/>
  <c r="M13" i="1"/>
  <c r="O13" i="1" s="1"/>
  <c r="H13" i="1"/>
  <c r="J13" i="1" s="1"/>
  <c r="M7" i="1"/>
  <c r="O7" i="1" s="1"/>
  <c r="J7" i="1"/>
  <c r="P7" i="1" s="1"/>
  <c r="R7" i="1" s="1"/>
  <c r="H7" i="1"/>
  <c r="P13" i="1" l="1"/>
  <c r="R13" i="1" s="1"/>
  <c r="M18" i="1" l="1"/>
  <c r="O18" i="1" s="1"/>
  <c r="H18" i="1"/>
  <c r="J18" i="1" s="1"/>
  <c r="P18" i="1" s="1"/>
  <c r="R18" i="1" s="1"/>
  <c r="M17" i="1"/>
  <c r="O17" i="1" s="1"/>
  <c r="H17" i="1"/>
  <c r="J17" i="1" s="1"/>
  <c r="P17" i="1" s="1"/>
  <c r="R17" i="1" s="1"/>
  <c r="M16" i="1"/>
  <c r="O16" i="1" s="1"/>
  <c r="H16" i="1"/>
  <c r="J16" i="1" s="1"/>
  <c r="P16" i="1" s="1"/>
  <c r="R16" i="1" s="1"/>
  <c r="M15" i="1"/>
  <c r="O15" i="1" s="1"/>
  <c r="H15" i="1"/>
  <c r="J15" i="1" s="1"/>
  <c r="P15" i="1" s="1"/>
  <c r="R15" i="1" s="1"/>
  <c r="M14" i="1"/>
  <c r="O14" i="1" s="1"/>
  <c r="H14" i="1"/>
  <c r="J14" i="1" s="1"/>
  <c r="P14" i="1" s="1"/>
  <c r="R14" i="1" s="1"/>
  <c r="M12" i="1"/>
  <c r="O12" i="1" s="1"/>
  <c r="M22" i="1"/>
  <c r="O22" i="1" s="1"/>
  <c r="H22" i="1"/>
  <c r="J22" i="1" s="1"/>
  <c r="H25" i="1"/>
  <c r="J25" i="1" s="1"/>
  <c r="H23" i="1"/>
  <c r="J23" i="1" s="1"/>
  <c r="M21" i="1"/>
  <c r="O21" i="1" s="1"/>
  <c r="H21" i="1"/>
  <c r="J21" i="1" s="1"/>
  <c r="M19" i="1"/>
  <c r="O19" i="1" s="1"/>
  <c r="H19" i="1"/>
  <c r="M37" i="1"/>
  <c r="O37" i="1" s="1"/>
  <c r="H37" i="1"/>
  <c r="J37" i="1" s="1"/>
  <c r="M36" i="1"/>
  <c r="O36" i="1" s="1"/>
  <c r="H36" i="1"/>
  <c r="J36" i="1" s="1"/>
  <c r="M35" i="1"/>
  <c r="O35" i="1" s="1"/>
  <c r="H35" i="1"/>
  <c r="J35" i="1" s="1"/>
  <c r="M34" i="1"/>
  <c r="O34" i="1" s="1"/>
  <c r="H34" i="1"/>
  <c r="J34" i="1" s="1"/>
  <c r="P34" i="1" s="1"/>
  <c r="R34" i="1" s="1"/>
  <c r="M33" i="1"/>
  <c r="O33" i="1" s="1"/>
  <c r="H33" i="1"/>
  <c r="M32" i="1"/>
  <c r="O32" i="1" s="1"/>
  <c r="H32" i="1"/>
  <c r="J32" i="1" s="1"/>
  <c r="M26" i="1"/>
  <c r="O26" i="1" s="1"/>
  <c r="H26" i="1"/>
  <c r="J26" i="1" s="1"/>
  <c r="H27" i="1"/>
  <c r="H31" i="1"/>
  <c r="J31" i="1" s="1"/>
  <c r="H29" i="1"/>
  <c r="J29" i="1" s="1"/>
  <c r="M28" i="1"/>
  <c r="O28" i="1" s="1"/>
  <c r="H28" i="1"/>
  <c r="J28" i="1" s="1"/>
  <c r="P28" i="1" s="1"/>
  <c r="R28" i="1" s="1"/>
  <c r="M27" i="1"/>
  <c r="O27" i="1" s="1"/>
  <c r="H5" i="1"/>
  <c r="J5" i="1" s="1"/>
  <c r="M5" i="1"/>
  <c r="O5" i="1" s="1"/>
  <c r="H38" i="1"/>
  <c r="J38" i="1" s="1"/>
  <c r="M38" i="1"/>
  <c r="O38" i="1" s="1"/>
  <c r="H39" i="1"/>
  <c r="J39" i="1" s="1"/>
  <c r="M39" i="1"/>
  <c r="O39" i="1" s="1"/>
  <c r="H40" i="1"/>
  <c r="J40" i="1" s="1"/>
  <c r="K40" i="1"/>
  <c r="M40" i="1" s="1"/>
  <c r="O40" i="1" s="1"/>
  <c r="H41" i="1"/>
  <c r="J41" i="1" s="1"/>
  <c r="M41" i="1"/>
  <c r="O41" i="1" s="1"/>
  <c r="M8" i="1"/>
  <c r="H8" i="1"/>
  <c r="P26" i="1" l="1"/>
  <c r="R26" i="1" s="1"/>
  <c r="P36" i="1"/>
  <c r="R36" i="1" s="1"/>
  <c r="O8" i="1"/>
  <c r="J8" i="1"/>
  <c r="P35" i="1"/>
  <c r="R35" i="1" s="1"/>
  <c r="P37" i="1"/>
  <c r="R37" i="1" s="1"/>
  <c r="P21" i="1"/>
  <c r="R21" i="1" s="1"/>
  <c r="P22" i="1"/>
  <c r="R22" i="1" s="1"/>
  <c r="P41" i="1"/>
  <c r="R41" i="1" s="1"/>
  <c r="P39" i="1"/>
  <c r="R39" i="1" s="1"/>
  <c r="P5" i="1"/>
  <c r="R5" i="1" s="1"/>
  <c r="P40" i="1"/>
  <c r="R40" i="1" s="1"/>
  <c r="P38" i="1"/>
  <c r="R38" i="1" s="1"/>
  <c r="P32" i="1"/>
  <c r="R32" i="1" s="1"/>
  <c r="J12" i="1"/>
  <c r="P12" i="1" s="1"/>
  <c r="R12" i="1" s="1"/>
  <c r="J33" i="1"/>
  <c r="P33" i="1" s="1"/>
  <c r="R33" i="1" s="1"/>
  <c r="J19" i="1"/>
  <c r="P19" i="1" s="1"/>
  <c r="R19" i="1" s="1"/>
  <c r="M23" i="1"/>
  <c r="O23" i="1" s="1"/>
  <c r="P23" i="1" s="1"/>
  <c r="R23" i="1" s="1"/>
  <c r="M29" i="1"/>
  <c r="O29" i="1" s="1"/>
  <c r="P29" i="1" s="1"/>
  <c r="R29" i="1" s="1"/>
  <c r="J27" i="1"/>
  <c r="P27" i="1" s="1"/>
  <c r="R27" i="1" s="1"/>
  <c r="M31" i="1"/>
  <c r="O31" i="1" s="1"/>
  <c r="P31" i="1" s="1"/>
  <c r="R31" i="1" s="1"/>
  <c r="M30" i="1"/>
  <c r="O30" i="1" s="1"/>
  <c r="H30" i="1"/>
  <c r="J30" i="1" s="1"/>
  <c r="P30" i="1" l="1"/>
  <c r="R30" i="1" s="1"/>
  <c r="P8" i="1"/>
  <c r="M24" i="1"/>
  <c r="O24" i="1" s="1"/>
  <c r="M25" i="1"/>
  <c r="O25" i="1" s="1"/>
  <c r="P25" i="1" s="1"/>
  <c r="R25" i="1" s="1"/>
  <c r="H24" i="1"/>
  <c r="J24" i="1" s="1"/>
  <c r="P24" i="1" l="1"/>
  <c r="R24" i="1" s="1"/>
  <c r="R8" i="1"/>
  <c r="F60" i="1"/>
  <c r="F50" i="1"/>
  <c r="F61" i="1" l="1"/>
  <c r="H11" i="1" l="1"/>
  <c r="J11" i="1" s="1"/>
  <c r="H10" i="1" l="1"/>
  <c r="J10" i="1" s="1"/>
  <c r="M10" i="1"/>
  <c r="O10" i="1" s="1"/>
  <c r="M9" i="1"/>
  <c r="H9" i="1"/>
  <c r="O9" i="1" l="1"/>
  <c r="J9" i="1"/>
  <c r="J42" i="1" s="1"/>
  <c r="H42" i="1"/>
  <c r="P10" i="1"/>
  <c r="R10" i="1" s="1"/>
  <c r="M11" i="1"/>
  <c r="O11" i="1" s="1"/>
  <c r="P11" i="1" s="1"/>
  <c r="R11" i="1" s="1"/>
  <c r="M42" i="1" l="1"/>
  <c r="O42" i="1"/>
  <c r="P9" i="1"/>
  <c r="P42" i="1" s="1"/>
  <c r="R9" i="1"/>
  <c r="R42" i="1" s="1"/>
  <c r="H55" i="1"/>
  <c r="M58" i="1" l="1"/>
  <c r="O58" i="1" s="1"/>
  <c r="H58" i="1"/>
  <c r="J58" i="1" s="1"/>
  <c r="M48" i="1"/>
  <c r="O48" i="1" s="1"/>
  <c r="H48" i="1"/>
  <c r="J48" i="1" s="1"/>
  <c r="P58" i="1" l="1"/>
  <c r="R58" i="1" s="1"/>
  <c r="P48" i="1"/>
  <c r="R48" i="1" s="1"/>
  <c r="K60" i="1"/>
  <c r="E46" i="1"/>
  <c r="E45" i="1"/>
  <c r="E44" i="1"/>
  <c r="E43" i="1"/>
  <c r="M56" i="1"/>
  <c r="O56" i="1" s="1"/>
  <c r="M55" i="1"/>
  <c r="O55" i="1" s="1"/>
  <c r="J55" i="1"/>
  <c r="P55" i="1" s="1"/>
  <c r="R55" i="1" s="1"/>
  <c r="H56" i="1"/>
  <c r="J56" i="1" s="1"/>
  <c r="H54" i="1"/>
  <c r="J54" i="1" s="1"/>
  <c r="H53" i="1"/>
  <c r="J53" i="1" s="1"/>
  <c r="E52" i="1"/>
  <c r="E51" i="1"/>
  <c r="E56" i="1"/>
  <c r="E55" i="1"/>
  <c r="E54" i="1"/>
  <c r="E53" i="1"/>
  <c r="P56" i="1" l="1"/>
  <c r="R56" i="1" s="1"/>
  <c r="E60" i="1"/>
  <c r="M52" i="1"/>
  <c r="O52" i="1" s="1"/>
  <c r="H52" i="1"/>
  <c r="J52" i="1" l="1"/>
  <c r="P52" i="1" s="1"/>
  <c r="R52" i="1" s="1"/>
  <c r="K50" i="1" l="1"/>
  <c r="E50" i="1"/>
  <c r="E61" i="1" l="1"/>
  <c r="H51" i="1" l="1"/>
  <c r="J51" i="1" s="1"/>
  <c r="M57" i="1" l="1"/>
  <c r="O57" i="1" s="1"/>
  <c r="H57" i="1"/>
  <c r="J57" i="1" s="1"/>
  <c r="M54" i="1"/>
  <c r="O54" i="1" s="1"/>
  <c r="P54" i="1" s="1"/>
  <c r="M49" i="1"/>
  <c r="O49" i="1" s="1"/>
  <c r="H49" i="1"/>
  <c r="J49" i="1" s="1"/>
  <c r="R54" i="1" l="1"/>
  <c r="P49" i="1"/>
  <c r="R49" i="1" s="1"/>
  <c r="P57" i="1"/>
  <c r="R57" i="1" s="1"/>
  <c r="M46" i="1" l="1"/>
  <c r="O46" i="1" s="1"/>
  <c r="H46" i="1"/>
  <c r="J46" i="1" s="1"/>
  <c r="M44" i="1"/>
  <c r="H44" i="1"/>
  <c r="J44" i="1" s="1"/>
  <c r="P46" i="1" l="1"/>
  <c r="R46" i="1" s="1"/>
  <c r="O44" i="1"/>
  <c r="P44" i="1" s="1"/>
  <c r="R44" i="1" s="1"/>
  <c r="M6" i="1"/>
  <c r="O6" i="1" s="1"/>
  <c r="H6" i="1"/>
  <c r="J6" i="1" s="1"/>
  <c r="P6" i="1" s="1"/>
  <c r="R6" i="1" s="1"/>
  <c r="M43" i="1" l="1"/>
  <c r="M45" i="1"/>
  <c r="M47" i="1"/>
  <c r="O47" i="1" s="1"/>
  <c r="M51" i="1"/>
  <c r="M53" i="1"/>
  <c r="O53" i="1" s="1"/>
  <c r="M59" i="1"/>
  <c r="O59" i="1" s="1"/>
  <c r="K61" i="1"/>
  <c r="H66" i="1" s="1"/>
  <c r="H59" i="1"/>
  <c r="H60" i="1" s="1"/>
  <c r="H43" i="1"/>
  <c r="H45" i="1"/>
  <c r="J45" i="1" s="1"/>
  <c r="H47" i="1"/>
  <c r="J47" i="1" s="1"/>
  <c r="O51" i="1" l="1"/>
  <c r="M60" i="1"/>
  <c r="M50" i="1"/>
  <c r="H50" i="1"/>
  <c r="J59" i="1"/>
  <c r="J60" i="1" s="1"/>
  <c r="P47" i="1"/>
  <c r="R47" i="1" s="1"/>
  <c r="P53" i="1"/>
  <c r="R53" i="1" s="1"/>
  <c r="J43" i="1"/>
  <c r="J50" i="1" s="1"/>
  <c r="O45" i="1"/>
  <c r="P45" i="1" s="1"/>
  <c r="R45" i="1" s="1"/>
  <c r="O43" i="1"/>
  <c r="P51" i="1" l="1"/>
  <c r="R51" i="1" s="1"/>
  <c r="O60" i="1"/>
  <c r="P59" i="1"/>
  <c r="R59" i="1" s="1"/>
  <c r="P43" i="1"/>
  <c r="O50" i="1"/>
  <c r="H61" i="1"/>
  <c r="M61" i="1"/>
  <c r="H67" i="1" l="1"/>
  <c r="R60" i="1"/>
  <c r="P60" i="1"/>
  <c r="P50" i="1"/>
  <c r="R43" i="1"/>
  <c r="R50" i="1" s="1"/>
  <c r="J61" i="1"/>
  <c r="G61" i="1"/>
  <c r="O61" i="1"/>
  <c r="N61" i="1" s="1"/>
  <c r="L61" i="1"/>
  <c r="I61" i="1" l="1"/>
  <c r="H68" i="1"/>
  <c r="R61" i="1"/>
</calcChain>
</file>

<file path=xl/sharedStrings.xml><?xml version="1.0" encoding="utf-8"?>
<sst xmlns="http://schemas.openxmlformats.org/spreadsheetml/2006/main" count="174" uniqueCount="86">
  <si>
    <t>Affected public</t>
  </si>
  <si>
    <t>Data collection activity</t>
  </si>
  <si>
    <t>Estimated number of respondents</t>
  </si>
  <si>
    <t>Frequency of response</t>
  </si>
  <si>
    <t>Total annual responses</t>
  </si>
  <si>
    <t>Average burden hours per response</t>
  </si>
  <si>
    <t>Total annual burden estimate (hours)</t>
  </si>
  <si>
    <t>Parent/guardian</t>
  </si>
  <si>
    <t>Subtotal individuals/households</t>
  </si>
  <si>
    <t>Private sector</t>
  </si>
  <si>
    <t>Private sector for-profit business director/manager</t>
  </si>
  <si>
    <t>Private sector not-for-profit agency director/manager</t>
  </si>
  <si>
    <t>Subtotal private sector</t>
  </si>
  <si>
    <t>Grand total</t>
  </si>
  <si>
    <t>RESPONDENTS</t>
  </si>
  <si>
    <t>NON-RESPONDENTS</t>
  </si>
  <si>
    <t>-</t>
  </si>
  <si>
    <t>total # of respondents (including participants and non)</t>
  </si>
  <si>
    <t>total # of annual reponses (including participants and non)</t>
  </si>
  <si>
    <t>total annual burden estimates (including participants and non)</t>
  </si>
  <si>
    <t>State, local, or Tribal agency director/manager</t>
  </si>
  <si>
    <t>State, local, or Tribal agency direct service staff</t>
  </si>
  <si>
    <t>Sample size</t>
  </si>
  <si>
    <t>Estimated number of non-respondents</t>
  </si>
  <si>
    <t>State, local, and Tribal government</t>
  </si>
  <si>
    <t>Subtotal State, local, and Tribal government</t>
  </si>
  <si>
    <t>Attachment number</t>
  </si>
  <si>
    <r>
      <t>Hourly wage rate</t>
    </r>
    <r>
      <rPr>
        <vertAlign val="superscript"/>
        <sz val="9"/>
        <rFont val="Times New Roman"/>
        <family val="1"/>
      </rPr>
      <t>a</t>
    </r>
  </si>
  <si>
    <t>Total annualized cost of respondent burden</t>
  </si>
  <si>
    <t>Grand total annual burden estimate (hours)</t>
  </si>
  <si>
    <t>In-person focus group consent form, Focus group discussion guide</t>
  </si>
  <si>
    <t>B.2a-b</t>
  </si>
  <si>
    <t>Staff interview (two rounds)</t>
  </si>
  <si>
    <t>Staff interview (three rounds)</t>
  </si>
  <si>
    <t>Administrative data - training and data provision</t>
  </si>
  <si>
    <t>B.1</t>
  </si>
  <si>
    <t>C.1-4</t>
  </si>
  <si>
    <t>C.5-7</t>
  </si>
  <si>
    <t>In-depth interview consent form, Interview topic guide</t>
  </si>
  <si>
    <t>Private sector not-for-profit agency staff</t>
  </si>
  <si>
    <t>In-depth interview recruitment script, Confirmation letter, Reminder script</t>
  </si>
  <si>
    <t>Participant focus group telephone screener, Frequently asked questions, Confirmation letter, Reminder script</t>
  </si>
  <si>
    <t>Cost data - start-up training and worksheets</t>
  </si>
  <si>
    <t>B.2c-d</t>
  </si>
  <si>
    <t>Cost data - implementation training and worksheets</t>
  </si>
  <si>
    <t>NA</t>
  </si>
  <si>
    <t>Household survey pretest</t>
  </si>
  <si>
    <t>Individuals/ households</t>
  </si>
  <si>
    <t>C11</t>
  </si>
  <si>
    <t>C12</t>
  </si>
  <si>
    <t>Reminder letter (two rounds)</t>
  </si>
  <si>
    <t>Refusal letter (two rounds)</t>
  </si>
  <si>
    <t>Reminder letter (three rounds)</t>
  </si>
  <si>
    <t>Refusal letter (three rounds)</t>
  </si>
  <si>
    <t>Field locating letter (one round of follow up)</t>
  </si>
  <si>
    <t>C13</t>
  </si>
  <si>
    <t>D.2, B.4</t>
  </si>
  <si>
    <t>D.1, B.3</t>
  </si>
  <si>
    <t>Household survey (three rounds)</t>
  </si>
  <si>
    <t>B.5-7</t>
  </si>
  <si>
    <t>Parent/guardian (Chickasaw Nation)</t>
  </si>
  <si>
    <t>Parent/guardian (Navajo Nation)</t>
  </si>
  <si>
    <t>Household survey (two rounds)</t>
  </si>
  <si>
    <t>D.3, C.8</t>
  </si>
  <si>
    <t>Parent/guardian (Virginia)</t>
  </si>
  <si>
    <t>D.4, C.8</t>
  </si>
  <si>
    <t>Parent/guardian (Nevada)</t>
  </si>
  <si>
    <t>Household survey (follow-up)</t>
  </si>
  <si>
    <t>B.5-6</t>
  </si>
  <si>
    <t>B.5</t>
  </si>
  <si>
    <t>B.6</t>
  </si>
  <si>
    <t>Parent/guardian (Kentucky)</t>
  </si>
  <si>
    <t>Grantee letter (study introduction and consent form), Study brochure</t>
  </si>
  <si>
    <t>Respondents type (and grantee)</t>
  </si>
  <si>
    <t xml:space="preserve">C.8 </t>
  </si>
  <si>
    <t>C.9-10</t>
  </si>
  <si>
    <t>Advance letter (three rounds)</t>
  </si>
  <si>
    <t>Study brochure (one round)</t>
  </si>
  <si>
    <t>Field locating letter (two rounds)</t>
  </si>
  <si>
    <t>C.8</t>
  </si>
  <si>
    <t>Advance letter (two rounds)</t>
  </si>
  <si>
    <t>Field locating letter (one round)</t>
  </si>
  <si>
    <r>
      <t>NA</t>
    </r>
    <r>
      <rPr>
        <vertAlign val="superscript"/>
        <sz val="9"/>
        <color theme="1"/>
        <rFont val="Times New Roman"/>
        <family val="1"/>
      </rPr>
      <t>c</t>
    </r>
  </si>
  <si>
    <r>
      <t>Household survey (baseline)</t>
    </r>
    <r>
      <rPr>
        <vertAlign val="superscript"/>
        <sz val="9"/>
        <color theme="1"/>
        <rFont val="Times New Roman"/>
        <family val="1"/>
      </rPr>
      <t>b</t>
    </r>
  </si>
  <si>
    <t>NA = Not applicable.
a  Sources: Department of Labor Wage and Hour Division (http://www.dol.gov/whd/minimumwage.htm). Bureau of Labor Statistics, Occupational Employment Statistics Survey, May 2014.  (http://www.bls.gov/news.release/pdf/ocwage.pdf) 
Parent/guardian: Federal minimum wage. State, local, or Tribal agency director/manager: Average hourly earnings of workers in management occupations; State, local, or Tribal agency direct service staff: Average hourly earnings of workers in community and social services occupations; Private sector for-profit business director/manager: Average hourly earnings of workers in management occupations; Private sector not-for-profit agency director/manager: Average hourly earnings of social and community services managers; Private sector not-for-profit staff: Average hourly earnings of community and social service specialists.
b The burden estimates assume rates of 85 percent eligibility, 80 percent consent, and 80 percent response. All non-consenting households (20 percent of the attempted sample) and two-thirds of the ineligible households (10 percent of the attempted sample) are reported in the non-respondents panel. One-third of ineligible households (5 percent of the attempted sample) are included in the respondents panel. This is because they could be eligible at the time of the baseline interview but exit SNAP pre-implementation and therefore become ineligible post-interview.
c There are no attachments associated with the administrative data collection because the format will vary based on each demonstration project.</t>
  </si>
  <si>
    <t>Attachment H.1. Participant burden estimates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</si>
</sst>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9" x14ac:knownFonts="1">
    <font>
      <sz val="11"/>
      <color theme="1"/>
      <name val="Calibri"/>
      <family val="2"/>
      <scheme val="minor"/>
    </font>
    <font>
      <sz val="9"/>
      <color theme="1"/>
      <name val="Times New Roman"/>
      <family val="1"/>
    </font>
    <font>
      <b/>
      <sz val="9"/>
      <color theme="1"/>
      <name val="Times New Roman"/>
      <family val="1"/>
    </font>
    <font>
      <sz val="9"/>
      <color rgb="FFFF0000"/>
      <name val="Times New Roman"/>
      <family val="1"/>
    </font>
    <font>
      <sz val="11"/>
      <color theme="1"/>
      <name val="Calibri"/>
      <family val="2"/>
      <scheme val="minor"/>
    </font>
    <font>
      <b/>
      <sz val="9"/>
      <name val="Times New Roman"/>
      <family val="1"/>
    </font>
    <font>
      <sz val="9"/>
      <name val="Times New Roman"/>
      <family val="1"/>
    </font>
    <font>
      <vertAlign val="superscript"/>
      <sz val="9"/>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177">
    <xf numFmtId="0" fontId="0" fillId="0" borderId="0" xfId="0"/>
    <xf numFmtId="0" fontId="1" fillId="0" borderId="2" xfId="0" applyFont="1" applyBorder="1" applyAlignment="1">
      <alignment horizontal="center"/>
    </xf>
    <xf numFmtId="0" fontId="1" fillId="0" borderId="2" xfId="0" applyFont="1" applyBorder="1" applyAlignment="1">
      <alignment horizontal="center" wrapText="1"/>
    </xf>
    <xf numFmtId="0" fontId="1" fillId="0" borderId="0" xfId="0" applyFont="1"/>
    <xf numFmtId="0" fontId="2" fillId="0" borderId="0" xfId="0" applyFont="1"/>
    <xf numFmtId="0" fontId="3" fillId="0" borderId="0" xfId="0" applyFont="1" applyAlignment="1">
      <alignment vertical="top"/>
    </xf>
    <xf numFmtId="0" fontId="1" fillId="0" borderId="8" xfId="0" applyFont="1" applyBorder="1" applyAlignment="1">
      <alignment horizontal="center" wrapText="1"/>
    </xf>
    <xf numFmtId="0" fontId="1" fillId="0" borderId="8" xfId="0" applyFont="1" applyBorder="1"/>
    <xf numFmtId="0" fontId="1" fillId="0" borderId="9" xfId="0" applyFont="1" applyBorder="1" applyAlignment="1">
      <alignment horizontal="left"/>
    </xf>
    <xf numFmtId="0" fontId="1" fillId="0" borderId="0" xfId="0" applyFont="1" applyAlignment="1">
      <alignment horizontal="left"/>
    </xf>
    <xf numFmtId="3" fontId="1" fillId="0" borderId="0" xfId="0" applyNumberFormat="1" applyFont="1"/>
    <xf numFmtId="4" fontId="1" fillId="0" borderId="0" xfId="0" applyNumberFormat="1" applyFont="1"/>
    <xf numFmtId="0" fontId="1" fillId="0" borderId="2" xfId="0" applyFont="1" applyBorder="1"/>
    <xf numFmtId="0" fontId="6" fillId="0" borderId="0" xfId="0" applyFont="1"/>
    <xf numFmtId="0" fontId="6" fillId="0" borderId="1" xfId="0" applyFont="1" applyFill="1" applyBorder="1" applyAlignment="1">
      <alignment horizontal="center" wrapText="1"/>
    </xf>
    <xf numFmtId="164" fontId="1" fillId="0" borderId="0" xfId="0" applyNumberFormat="1" applyFont="1"/>
    <xf numFmtId="0" fontId="6" fillId="0" borderId="0" xfId="0" applyFont="1" applyAlignment="1">
      <alignment horizontal="center"/>
    </xf>
    <xf numFmtId="0" fontId="1" fillId="0" borderId="0" xfId="0" applyFont="1" applyAlignment="1">
      <alignment horizontal="center"/>
    </xf>
    <xf numFmtId="0" fontId="1" fillId="0" borderId="8" xfId="0" applyFont="1" applyBorder="1" applyAlignment="1">
      <alignment horizontal="center"/>
    </xf>
    <xf numFmtId="0" fontId="6" fillId="0" borderId="0" xfId="0" applyFont="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vertical="center"/>
    </xf>
    <xf numFmtId="0" fontId="1" fillId="0" borderId="7" xfId="0" applyFont="1" applyBorder="1" applyAlignment="1">
      <alignment vertical="center" wrapText="1"/>
    </xf>
    <xf numFmtId="0" fontId="1" fillId="0" borderId="6" xfId="0" applyFont="1" applyBorder="1" applyAlignment="1">
      <alignment vertical="center"/>
    </xf>
    <xf numFmtId="0" fontId="6" fillId="0" borderId="0" xfId="0" applyFont="1" applyFill="1"/>
    <xf numFmtId="0" fontId="6" fillId="0" borderId="0" xfId="0" applyFont="1" applyFill="1" applyAlignment="1">
      <alignment vertical="top"/>
    </xf>
    <xf numFmtId="0" fontId="2" fillId="2" borderId="9" xfId="0" applyFont="1" applyFill="1" applyBorder="1" applyAlignment="1">
      <alignment horizontal="left" vertical="top"/>
    </xf>
    <xf numFmtId="0" fontId="2" fillId="2" borderId="2" xfId="0" applyFont="1" applyFill="1" applyBorder="1" applyAlignment="1">
      <alignment horizontal="left" vertical="top"/>
    </xf>
    <xf numFmtId="0" fontId="1" fillId="0" borderId="1" xfId="0" applyFont="1" applyBorder="1" applyAlignment="1">
      <alignment horizontal="left" wrapText="1"/>
    </xf>
    <xf numFmtId="0" fontId="2" fillId="3" borderId="9" xfId="0" applyFont="1" applyFill="1" applyBorder="1" applyAlignment="1">
      <alignment horizontal="left" vertical="top"/>
    </xf>
    <xf numFmtId="0" fontId="2" fillId="2" borderId="2" xfId="0" applyFont="1" applyFill="1" applyBorder="1" applyAlignment="1">
      <alignment horizontal="center" vertical="top"/>
    </xf>
    <xf numFmtId="0" fontId="2" fillId="4" borderId="9" xfId="0" applyFont="1" applyFill="1" applyBorder="1" applyAlignment="1">
      <alignment horizontal="left" vertical="top"/>
    </xf>
    <xf numFmtId="0" fontId="2" fillId="4" borderId="8" xfId="0" applyFont="1" applyFill="1" applyBorder="1" applyAlignment="1">
      <alignment horizontal="center" vertical="center"/>
    </xf>
    <xf numFmtId="0" fontId="2" fillId="4" borderId="8" xfId="0" applyFont="1" applyFill="1" applyBorder="1" applyAlignment="1">
      <alignment vertical="top"/>
    </xf>
    <xf numFmtId="0" fontId="2" fillId="4" borderId="2" xfId="0" applyFont="1" applyFill="1" applyBorder="1" applyAlignment="1">
      <alignment horizontal="center" vertical="top"/>
    </xf>
    <xf numFmtId="0" fontId="1" fillId="0" borderId="4" xfId="0" applyFont="1" applyBorder="1" applyAlignment="1">
      <alignment horizontal="left" vertical="top" wrapText="1"/>
    </xf>
    <xf numFmtId="0" fontId="1" fillId="0" borderId="6" xfId="0" applyFont="1" applyFill="1" applyBorder="1" applyAlignment="1">
      <alignment horizontal="left" vertical="center"/>
    </xf>
    <xf numFmtId="0" fontId="1" fillId="0" borderId="6" xfId="0" applyFont="1" applyBorder="1" applyAlignment="1">
      <alignment horizontal="left" vertical="center" wrapText="1"/>
    </xf>
    <xf numFmtId="0" fontId="1" fillId="0" borderId="7" xfId="0" applyFont="1" applyFill="1" applyBorder="1" applyAlignment="1">
      <alignment horizontal="left" vertical="center" wrapText="1"/>
    </xf>
    <xf numFmtId="0" fontId="2" fillId="3" borderId="8" xfId="0" applyFont="1" applyFill="1" applyBorder="1" applyAlignment="1">
      <alignment horizontal="left" vertical="center"/>
    </xf>
    <xf numFmtId="0" fontId="2" fillId="3" borderId="2" xfId="0" applyFont="1" applyFill="1" applyBorder="1" applyAlignment="1">
      <alignment horizontal="left" vertical="top"/>
    </xf>
    <xf numFmtId="0" fontId="1"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2" fillId="2" borderId="8" xfId="0" applyFont="1" applyFill="1" applyBorder="1" applyAlignment="1">
      <alignment horizontal="left" vertical="center"/>
    </xf>
    <xf numFmtId="3" fontId="6" fillId="0" borderId="6" xfId="0" applyNumberFormat="1" applyFont="1" applyBorder="1" applyAlignment="1">
      <alignment horizontal="right" vertical="center"/>
    </xf>
    <xf numFmtId="3" fontId="1" fillId="0" borderId="6" xfId="0" applyNumberFormat="1" applyFont="1" applyBorder="1" applyAlignment="1">
      <alignment horizontal="right" vertical="center" wrapText="1"/>
    </xf>
    <xf numFmtId="0" fontId="1" fillId="0" borderId="6" xfId="0" applyFont="1" applyBorder="1" applyAlignment="1">
      <alignment horizontal="right" vertical="center" wrapText="1"/>
    </xf>
    <xf numFmtId="39" fontId="6" fillId="0" borderId="6" xfId="1" applyNumberFormat="1" applyFont="1" applyBorder="1" applyAlignment="1">
      <alignment horizontal="right" vertical="center"/>
    </xf>
    <xf numFmtId="3" fontId="6" fillId="0" borderId="6" xfId="0" applyNumberFormat="1" applyFont="1" applyFill="1" applyBorder="1" applyAlignment="1">
      <alignment horizontal="right" vertical="center" wrapText="1"/>
    </xf>
    <xf numFmtId="0" fontId="6" fillId="0" borderId="6" xfId="0" applyFont="1" applyFill="1" applyBorder="1" applyAlignment="1">
      <alignment horizontal="right" vertical="center" wrapText="1"/>
    </xf>
    <xf numFmtId="3" fontId="6" fillId="0" borderId="6" xfId="1" applyNumberFormat="1" applyFont="1" applyBorder="1" applyAlignment="1">
      <alignment horizontal="right" vertical="center"/>
    </xf>
    <xf numFmtId="0" fontId="6" fillId="0" borderId="6" xfId="0" applyNumberFormat="1" applyFont="1" applyBorder="1" applyAlignment="1">
      <alignment horizontal="right" vertical="center"/>
    </xf>
    <xf numFmtId="2" fontId="6" fillId="0" borderId="6" xfId="0" applyNumberFormat="1" applyFont="1" applyBorder="1" applyAlignment="1">
      <alignment horizontal="right" vertical="center"/>
    </xf>
    <xf numFmtId="44" fontId="6" fillId="0" borderId="6" xfId="2" applyNumberFormat="1" applyFont="1" applyBorder="1" applyAlignment="1">
      <alignment horizontal="right" vertical="center"/>
    </xf>
    <xf numFmtId="44" fontId="6" fillId="0" borderId="6" xfId="2" applyFont="1" applyBorder="1" applyAlignment="1">
      <alignment horizontal="right" vertical="center"/>
    </xf>
    <xf numFmtId="39" fontId="6" fillId="0" borderId="6" xfId="1" applyNumberFormat="1" applyFont="1" applyFill="1" applyBorder="1" applyAlignment="1">
      <alignment horizontal="right" vertical="center"/>
    </xf>
    <xf numFmtId="2" fontId="6" fillId="0" borderId="6" xfId="0" applyNumberFormat="1" applyFont="1" applyFill="1" applyBorder="1" applyAlignment="1">
      <alignment horizontal="right" vertical="center"/>
    </xf>
    <xf numFmtId="3" fontId="6" fillId="0" borderId="7" xfId="1" applyNumberFormat="1" applyFont="1" applyBorder="1" applyAlignment="1">
      <alignment horizontal="right" vertical="center"/>
    </xf>
    <xf numFmtId="3" fontId="6" fillId="0" borderId="7" xfId="0" applyNumberFormat="1" applyFont="1" applyBorder="1" applyAlignment="1">
      <alignment horizontal="right" vertical="center"/>
    </xf>
    <xf numFmtId="0" fontId="6" fillId="0" borderId="7" xfId="0" applyNumberFormat="1" applyFont="1" applyBorder="1" applyAlignment="1">
      <alignment horizontal="right" vertical="center"/>
    </xf>
    <xf numFmtId="2" fontId="6" fillId="0" borderId="7" xfId="0" applyNumberFormat="1" applyFont="1" applyBorder="1" applyAlignment="1">
      <alignment horizontal="right" vertical="center"/>
    </xf>
    <xf numFmtId="39" fontId="6" fillId="0" borderId="7" xfId="1" applyNumberFormat="1" applyFont="1" applyFill="1" applyBorder="1" applyAlignment="1">
      <alignment horizontal="right" vertical="center"/>
    </xf>
    <xf numFmtId="2" fontId="6" fillId="0" borderId="7" xfId="0" applyNumberFormat="1" applyFont="1" applyFill="1" applyBorder="1" applyAlignment="1">
      <alignment horizontal="right" vertical="center"/>
    </xf>
    <xf numFmtId="164" fontId="2" fillId="3" borderId="2" xfId="1" applyNumberFormat="1" applyFont="1" applyFill="1" applyBorder="1" applyAlignment="1">
      <alignment horizontal="right" vertical="center"/>
    </xf>
    <xf numFmtId="0" fontId="2" fillId="3" borderId="2" xfId="0" applyFont="1" applyFill="1" applyBorder="1" applyAlignment="1">
      <alignment horizontal="right" vertical="center"/>
    </xf>
    <xf numFmtId="4" fontId="2" fillId="3" borderId="1" xfId="0" applyNumberFormat="1" applyFont="1" applyFill="1" applyBorder="1" applyAlignment="1">
      <alignment horizontal="right" vertical="center"/>
    </xf>
    <xf numFmtId="0" fontId="2" fillId="3" borderId="8" xfId="0" applyFont="1" applyFill="1" applyBorder="1" applyAlignment="1">
      <alignment horizontal="right" vertical="center"/>
    </xf>
    <xf numFmtId="44" fontId="2" fillId="3" borderId="1" xfId="2" applyFont="1" applyFill="1" applyBorder="1" applyAlignment="1">
      <alignment horizontal="right" vertical="center"/>
    </xf>
    <xf numFmtId="0" fontId="6" fillId="0" borderId="4" xfId="0" applyFont="1" applyBorder="1" applyAlignment="1">
      <alignment horizontal="right" vertical="center"/>
    </xf>
    <xf numFmtId="0" fontId="6" fillId="0" borderId="4" xfId="0" applyNumberFormat="1" applyFont="1" applyBorder="1" applyAlignment="1">
      <alignment horizontal="right" vertical="center"/>
    </xf>
    <xf numFmtId="3" fontId="6" fillId="0" borderId="4" xfId="0" applyNumberFormat="1" applyFont="1" applyBorder="1" applyAlignment="1">
      <alignment horizontal="right" vertical="center"/>
    </xf>
    <xf numFmtId="2" fontId="6" fillId="0" borderId="4" xfId="0" applyNumberFormat="1" applyFont="1" applyBorder="1" applyAlignment="1">
      <alignment horizontal="right" vertical="center"/>
    </xf>
    <xf numFmtId="39" fontId="6" fillId="0" borderId="5" xfId="1" applyNumberFormat="1" applyFont="1" applyBorder="1" applyAlignment="1">
      <alignment horizontal="right" vertical="center"/>
    </xf>
    <xf numFmtId="3" fontId="6" fillId="0" borderId="1" xfId="1" applyNumberFormat="1" applyFont="1" applyBorder="1" applyAlignment="1">
      <alignment horizontal="right" vertical="center"/>
    </xf>
    <xf numFmtId="0" fontId="6" fillId="0" borderId="1" xfId="0" applyNumberFormat="1" applyFont="1" applyBorder="1" applyAlignment="1">
      <alignment horizontal="right" vertical="center"/>
    </xf>
    <xf numFmtId="2" fontId="6" fillId="0" borderId="1" xfId="0" applyNumberFormat="1" applyFont="1" applyBorder="1" applyAlignment="1">
      <alignment horizontal="right" vertical="center"/>
    </xf>
    <xf numFmtId="44" fontId="6" fillId="0" borderId="1" xfId="2" applyFont="1" applyBorder="1" applyAlignment="1">
      <alignment horizontal="right" vertical="center"/>
    </xf>
    <xf numFmtId="0" fontId="6" fillId="0" borderId="6" xfId="0" applyFont="1" applyBorder="1" applyAlignment="1">
      <alignment horizontal="right" vertical="center"/>
    </xf>
    <xf numFmtId="164" fontId="2" fillId="3" borderId="4" xfId="1" applyNumberFormat="1" applyFont="1" applyFill="1" applyBorder="1" applyAlignment="1">
      <alignment horizontal="right" vertical="center"/>
    </xf>
    <xf numFmtId="0" fontId="2" fillId="3" borderId="4" xfId="0" applyFont="1" applyFill="1" applyBorder="1" applyAlignment="1">
      <alignment horizontal="right" vertical="center"/>
    </xf>
    <xf numFmtId="3" fontId="2" fillId="3" borderId="4" xfId="0" applyNumberFormat="1" applyFont="1" applyFill="1" applyBorder="1" applyAlignment="1">
      <alignment horizontal="right" vertical="center"/>
    </xf>
    <xf numFmtId="4" fontId="2" fillId="3" borderId="3" xfId="0" applyNumberFormat="1" applyFont="1" applyFill="1" applyBorder="1" applyAlignment="1">
      <alignment horizontal="right" vertical="center"/>
    </xf>
    <xf numFmtId="1" fontId="2" fillId="3" borderId="3" xfId="1" applyNumberFormat="1" applyFont="1" applyFill="1" applyBorder="1" applyAlignment="1">
      <alignment horizontal="right" vertical="center"/>
    </xf>
    <xf numFmtId="0" fontId="2" fillId="3" borderId="5" xfId="0" applyFont="1" applyFill="1" applyBorder="1" applyAlignment="1">
      <alignment horizontal="right" vertical="center"/>
    </xf>
    <xf numFmtId="44" fontId="2" fillId="3" borderId="3" xfId="2" applyFont="1" applyFill="1" applyBorder="1" applyAlignment="1">
      <alignment horizontal="right" vertical="center"/>
    </xf>
    <xf numFmtId="164" fontId="2" fillId="4" borderId="4" xfId="0" applyNumberFormat="1" applyFont="1" applyFill="1" applyBorder="1" applyAlignment="1">
      <alignment horizontal="right" vertical="center"/>
    </xf>
    <xf numFmtId="3" fontId="2" fillId="4" borderId="4" xfId="0" applyNumberFormat="1" applyFont="1" applyFill="1" applyBorder="1" applyAlignment="1">
      <alignment horizontal="right" vertical="center"/>
    </xf>
    <xf numFmtId="2" fontId="2" fillId="4" borderId="4" xfId="0" applyNumberFormat="1" applyFont="1" applyFill="1" applyBorder="1" applyAlignment="1">
      <alignment horizontal="right" vertical="center"/>
    </xf>
    <xf numFmtId="4" fontId="2" fillId="4" borderId="5" xfId="0" applyNumberFormat="1" applyFont="1" applyFill="1" applyBorder="1" applyAlignment="1">
      <alignment horizontal="right" vertical="center"/>
    </xf>
    <xf numFmtId="164" fontId="5" fillId="4" borderId="1" xfId="1" applyNumberFormat="1" applyFont="1" applyFill="1" applyBorder="1" applyAlignment="1">
      <alignment horizontal="right" vertical="center"/>
    </xf>
    <xf numFmtId="43" fontId="5" fillId="4" borderId="1" xfId="0" applyNumberFormat="1" applyFont="1" applyFill="1" applyBorder="1" applyAlignment="1">
      <alignment horizontal="right" vertical="center"/>
    </xf>
    <xf numFmtId="4" fontId="5" fillId="4" borderId="1" xfId="0" applyNumberFormat="1" applyFont="1" applyFill="1" applyBorder="1" applyAlignment="1">
      <alignment horizontal="right" vertical="center"/>
    </xf>
    <xf numFmtId="44" fontId="5" fillId="4" borderId="1" xfId="2" applyFont="1" applyFill="1" applyBorder="1" applyAlignment="1">
      <alignment horizontal="right" vertical="center"/>
    </xf>
    <xf numFmtId="3" fontId="6" fillId="0" borderId="1" xfId="0" applyNumberFormat="1" applyFont="1" applyBorder="1" applyAlignment="1">
      <alignment horizontal="right" vertical="center"/>
    </xf>
    <xf numFmtId="39" fontId="6" fillId="0" borderId="1" xfId="1"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0" fontId="6" fillId="0" borderId="1" xfId="0" applyFont="1" applyBorder="1" applyAlignment="1">
      <alignment horizontal="right" vertical="center"/>
    </xf>
    <xf numFmtId="39" fontId="6" fillId="0" borderId="1" xfId="1" applyNumberFormat="1" applyFont="1" applyBorder="1" applyAlignment="1">
      <alignment horizontal="right" vertical="center"/>
    </xf>
    <xf numFmtId="0" fontId="1" fillId="0" borderId="0" xfId="0" applyFont="1" applyBorder="1"/>
    <xf numFmtId="0" fontId="1" fillId="0" borderId="1" xfId="0" applyFont="1" applyBorder="1" applyAlignment="1">
      <alignment horizontal="left" vertical="center" wrapText="1"/>
    </xf>
    <xf numFmtId="44" fontId="6" fillId="0" borderId="6" xfId="0" applyNumberFormat="1" applyFont="1" applyFill="1" applyBorder="1" applyAlignment="1">
      <alignment vertical="center" wrapText="1"/>
    </xf>
    <xf numFmtId="44" fontId="6" fillId="0" borderId="6" xfId="2" applyNumberFormat="1" applyFont="1" applyBorder="1" applyAlignment="1">
      <alignment vertical="center"/>
    </xf>
    <xf numFmtId="44" fontId="6" fillId="0" borderId="1" xfId="2" applyNumberFormat="1" applyFont="1" applyBorder="1" applyAlignment="1">
      <alignment vertical="center"/>
    </xf>
    <xf numFmtId="44" fontId="6" fillId="0" borderId="7" xfId="0" applyNumberFormat="1" applyFont="1" applyFill="1" applyBorder="1" applyAlignment="1">
      <alignment vertical="center" wrapText="1"/>
    </xf>
    <xf numFmtId="4" fontId="2" fillId="3" borderId="1" xfId="0" applyNumberFormat="1" applyFont="1" applyFill="1" applyBorder="1" applyAlignment="1">
      <alignment vertical="center"/>
    </xf>
    <xf numFmtId="44" fontId="6" fillId="0" borderId="1" xfId="0" applyNumberFormat="1" applyFont="1" applyBorder="1" applyAlignment="1">
      <alignment vertical="center"/>
    </xf>
    <xf numFmtId="44" fontId="6" fillId="0" borderId="6" xfId="0" applyNumberFormat="1" applyFont="1" applyBorder="1" applyAlignment="1">
      <alignment vertical="center"/>
    </xf>
    <xf numFmtId="44" fontId="2" fillId="3" borderId="3" xfId="0" applyNumberFormat="1" applyFont="1" applyFill="1" applyBorder="1" applyAlignment="1">
      <alignment vertical="center"/>
    </xf>
    <xf numFmtId="4" fontId="2" fillId="3" borderId="3" xfId="0" applyNumberFormat="1" applyFont="1" applyFill="1" applyBorder="1" applyAlignment="1">
      <alignment vertical="center"/>
    </xf>
    <xf numFmtId="4" fontId="5" fillId="4" borderId="1" xfId="0" applyNumberFormat="1" applyFont="1" applyFill="1" applyBorder="1" applyAlignment="1">
      <alignment vertical="center"/>
    </xf>
    <xf numFmtId="43" fontId="6" fillId="0" borderId="6" xfId="1" applyFont="1" applyBorder="1" applyAlignment="1">
      <alignment horizontal="right" vertical="center"/>
    </xf>
    <xf numFmtId="43" fontId="6" fillId="0" borderId="1" xfId="1" applyFont="1" applyBorder="1" applyAlignment="1">
      <alignment horizontal="right" vertical="center"/>
    </xf>
    <xf numFmtId="43" fontId="2" fillId="3" borderId="1" xfId="1" applyFont="1" applyFill="1" applyBorder="1" applyAlignment="1">
      <alignment horizontal="right" vertical="center"/>
    </xf>
    <xf numFmtId="43" fontId="2" fillId="3" borderId="3" xfId="1" applyFont="1" applyFill="1" applyBorder="1" applyAlignment="1">
      <alignment horizontal="right" vertical="center"/>
    </xf>
    <xf numFmtId="43" fontId="5" fillId="4" borderId="1" xfId="1" applyFont="1" applyFill="1" applyBorder="1" applyAlignment="1">
      <alignment horizontal="right" vertical="center"/>
    </xf>
    <xf numFmtId="0" fontId="2" fillId="3" borderId="4" xfId="1" applyNumberFormat="1" applyFont="1" applyFill="1" applyBorder="1" applyAlignment="1">
      <alignment horizontal="right" vertical="center"/>
    </xf>
    <xf numFmtId="0" fontId="1" fillId="0" borderId="7" xfId="0" applyFont="1" applyBorder="1" applyAlignment="1">
      <alignment horizontal="left" vertical="top" wrapText="1"/>
    </xf>
    <xf numFmtId="0" fontId="6" fillId="0" borderId="7" xfId="0" applyFont="1" applyBorder="1" applyAlignment="1">
      <alignment horizontal="right" vertical="center"/>
    </xf>
    <xf numFmtId="39" fontId="6" fillId="0" borderId="7" xfId="1" applyNumberFormat="1" applyFont="1" applyBorder="1" applyAlignment="1">
      <alignment horizontal="right" vertical="center"/>
    </xf>
    <xf numFmtId="0" fontId="1" fillId="0" borderId="7" xfId="0" applyFont="1" applyFill="1" applyBorder="1" applyAlignment="1">
      <alignment vertical="center"/>
    </xf>
    <xf numFmtId="0" fontId="1" fillId="0" borderId="4" xfId="0" applyFont="1" applyFill="1" applyBorder="1" applyAlignment="1">
      <alignment horizontal="left" vertical="top" wrapText="1"/>
    </xf>
    <xf numFmtId="0" fontId="6" fillId="0" borderId="4" xfId="0" applyFont="1" applyFill="1" applyBorder="1" applyAlignment="1">
      <alignment horizontal="right" vertical="center"/>
    </xf>
    <xf numFmtId="0" fontId="6" fillId="0" borderId="4" xfId="0" applyNumberFormat="1" applyFont="1" applyFill="1" applyBorder="1" applyAlignment="1">
      <alignment horizontal="right" vertical="center"/>
    </xf>
    <xf numFmtId="3" fontId="6" fillId="0" borderId="4" xfId="0" applyNumberFormat="1" applyFont="1" applyFill="1" applyBorder="1" applyAlignment="1">
      <alignment horizontal="right" vertical="center"/>
    </xf>
    <xf numFmtId="2" fontId="6" fillId="0" borderId="4" xfId="0" applyNumberFormat="1" applyFont="1" applyFill="1" applyBorder="1" applyAlignment="1">
      <alignment horizontal="right" vertical="center"/>
    </xf>
    <xf numFmtId="39" fontId="6" fillId="0" borderId="5" xfId="1" applyNumberFormat="1" applyFont="1" applyFill="1" applyBorder="1" applyAlignment="1">
      <alignment horizontal="right" vertical="center"/>
    </xf>
    <xf numFmtId="3" fontId="6" fillId="0" borderId="1" xfId="1" applyNumberFormat="1" applyFont="1" applyFill="1" applyBorder="1" applyAlignment="1">
      <alignment horizontal="right" vertical="center"/>
    </xf>
    <xf numFmtId="0" fontId="6" fillId="0" borderId="1" xfId="0" applyNumberFormat="1" applyFont="1" applyFill="1" applyBorder="1" applyAlignment="1">
      <alignment horizontal="right" vertical="center"/>
    </xf>
    <xf numFmtId="43" fontId="6" fillId="0" borderId="1" xfId="1" applyFont="1" applyFill="1" applyBorder="1" applyAlignment="1">
      <alignment horizontal="right" vertical="center"/>
    </xf>
    <xf numFmtId="44" fontId="6" fillId="0" borderId="1" xfId="2" applyNumberFormat="1" applyFont="1" applyFill="1" applyBorder="1" applyAlignment="1">
      <alignment vertical="center"/>
    </xf>
    <xf numFmtId="44" fontId="6" fillId="0" borderId="1" xfId="2" applyFont="1" applyFill="1" applyBorder="1" applyAlignment="1">
      <alignment horizontal="right" vertical="center"/>
    </xf>
    <xf numFmtId="0" fontId="1" fillId="0" borderId="0" xfId="0" applyFont="1" applyFill="1"/>
    <xf numFmtId="0" fontId="6" fillId="0" borderId="1" xfId="0" applyFont="1" applyFill="1" applyBorder="1" applyAlignment="1">
      <alignment horizontal="right" vertical="center"/>
    </xf>
    <xf numFmtId="3" fontId="6" fillId="0" borderId="6" xfId="1" applyNumberFormat="1" applyFont="1" applyFill="1" applyBorder="1" applyAlignment="1">
      <alignment horizontal="right" vertical="center"/>
    </xf>
    <xf numFmtId="0" fontId="6" fillId="0" borderId="6" xfId="0" applyNumberFormat="1" applyFont="1" applyFill="1" applyBorder="1" applyAlignment="1">
      <alignment horizontal="right" vertical="center"/>
    </xf>
    <xf numFmtId="44" fontId="6" fillId="0" borderId="6" xfId="2" applyNumberFormat="1" applyFont="1" applyFill="1" applyBorder="1" applyAlignment="1">
      <alignment vertical="center"/>
    </xf>
    <xf numFmtId="0" fontId="1" fillId="0" borderId="1" xfId="0" applyFont="1" applyFill="1" applyBorder="1" applyAlignment="1">
      <alignment horizontal="left" vertical="top" wrapText="1"/>
    </xf>
    <xf numFmtId="0" fontId="1" fillId="0" borderId="6" xfId="0" applyFont="1" applyBorder="1" applyAlignment="1">
      <alignment horizontal="left" vertical="center"/>
    </xf>
    <xf numFmtId="3" fontId="6" fillId="0" borderId="6" xfId="1" applyNumberFormat="1" applyFont="1" applyBorder="1" applyAlignment="1">
      <alignment horizontal="right" vertical="center"/>
    </xf>
    <xf numFmtId="0" fontId="1" fillId="0" borderId="10" xfId="0" applyFont="1" applyBorder="1" applyAlignment="1">
      <alignment horizontal="left"/>
    </xf>
    <xf numFmtId="0" fontId="1" fillId="0" borderId="0" xfId="0" applyFont="1" applyFill="1" applyAlignment="1">
      <alignment wrapText="1"/>
    </xf>
    <xf numFmtId="0" fontId="1" fillId="0" borderId="10" xfId="0" applyFont="1" applyFill="1" applyBorder="1" applyAlignment="1">
      <alignment horizontal="left" vertical="center" wrapText="1"/>
    </xf>
    <xf numFmtId="0" fontId="1" fillId="0" borderId="1" xfId="0" applyFont="1" applyFill="1" applyBorder="1" applyAlignment="1">
      <alignment horizontal="left" vertical="center"/>
    </xf>
    <xf numFmtId="43" fontId="6" fillId="0" borderId="6" xfId="1" applyFont="1" applyBorder="1" applyAlignment="1">
      <alignment horizontal="right" vertical="center"/>
    </xf>
    <xf numFmtId="0" fontId="1" fillId="0" borderId="6" xfId="0" applyFont="1" applyFill="1" applyBorder="1" applyAlignment="1">
      <alignment horizontal="left" vertical="center" wrapText="1"/>
    </xf>
    <xf numFmtId="2" fontId="1" fillId="0" borderId="6" xfId="0" applyNumberFormat="1" applyFont="1" applyBorder="1" applyAlignment="1">
      <alignment horizontal="right" vertical="center" wrapText="1"/>
    </xf>
    <xf numFmtId="3" fontId="6" fillId="0" borderId="6" xfId="0" applyNumberFormat="1" applyFont="1" applyFill="1" applyBorder="1" applyAlignment="1">
      <alignment horizontal="right" vertical="center"/>
    </xf>
    <xf numFmtId="0" fontId="6" fillId="0" borderId="2" xfId="0" applyFont="1" applyBorder="1" applyAlignment="1">
      <alignment horizontal="center" wrapText="1"/>
    </xf>
    <xf numFmtId="0" fontId="5" fillId="0" borderId="0" xfId="0" applyFont="1" applyAlignment="1">
      <alignment horizontal="left"/>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3" xfId="0" applyFont="1" applyFill="1" applyBorder="1" applyAlignment="1">
      <alignment horizontal="left" vertical="center" wrapText="1"/>
    </xf>
    <xf numFmtId="3" fontId="6" fillId="0" borderId="6" xfId="1" applyNumberFormat="1" applyFont="1" applyFill="1" applyBorder="1" applyAlignment="1">
      <alignment horizontal="right" vertical="center"/>
    </xf>
    <xf numFmtId="3" fontId="6" fillId="0" borderId="7" xfId="1" applyNumberFormat="1" applyFont="1" applyFill="1" applyBorder="1" applyAlignment="1">
      <alignment horizontal="right" vertical="center"/>
    </xf>
    <xf numFmtId="3" fontId="6" fillId="0" borderId="3" xfId="1" applyNumberFormat="1" applyFont="1" applyFill="1" applyBorder="1" applyAlignment="1">
      <alignment horizontal="right" vertical="center"/>
    </xf>
    <xf numFmtId="3" fontId="1" fillId="0" borderId="6" xfId="0" applyNumberFormat="1" applyFont="1" applyFill="1" applyBorder="1" applyAlignment="1">
      <alignment horizontal="right" vertical="center" wrapText="1"/>
    </xf>
    <xf numFmtId="3" fontId="1" fillId="0" borderId="7" xfId="0" applyNumberFormat="1" applyFont="1" applyFill="1" applyBorder="1" applyAlignment="1">
      <alignment horizontal="right" vertical="center" wrapText="1"/>
    </xf>
    <xf numFmtId="0" fontId="1" fillId="0" borderId="12" xfId="0" applyFont="1" applyFill="1" applyBorder="1" applyAlignment="1">
      <alignment horizontal="center" wrapText="1"/>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1" fillId="0" borderId="7" xfId="0" applyFont="1" applyBorder="1" applyAlignment="1">
      <alignment horizontal="left" vertical="center" wrapText="1"/>
    </xf>
    <xf numFmtId="0" fontId="1" fillId="0" borderId="11" xfId="0" applyFont="1" applyBorder="1" applyAlignment="1">
      <alignment horizontal="left" wrapText="1"/>
    </xf>
    <xf numFmtId="0" fontId="2" fillId="2" borderId="9" xfId="0" applyFont="1" applyFill="1" applyBorder="1" applyAlignment="1">
      <alignment horizontal="left" vertical="top"/>
    </xf>
    <xf numFmtId="0" fontId="2" fillId="2" borderId="8" xfId="0" applyFont="1" applyFill="1" applyBorder="1" applyAlignment="1">
      <alignment horizontal="left" vertical="top"/>
    </xf>
    <xf numFmtId="0" fontId="1" fillId="0" borderId="6" xfId="0" applyFont="1" applyBorder="1" applyAlignment="1">
      <alignment horizontal="left" vertical="center"/>
    </xf>
    <xf numFmtId="0" fontId="1" fillId="0" borderId="7" xfId="0" applyFont="1" applyBorder="1" applyAlignment="1">
      <alignment horizontal="left" vertical="center"/>
    </xf>
    <xf numFmtId="3" fontId="6" fillId="0" borderId="6" xfId="1" applyNumberFormat="1" applyFont="1" applyBorder="1" applyAlignment="1">
      <alignment horizontal="right" vertical="center"/>
    </xf>
    <xf numFmtId="3" fontId="6" fillId="0" borderId="7" xfId="1" applyNumberFormat="1" applyFont="1" applyBorder="1" applyAlignment="1">
      <alignment horizontal="righ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8"/>
  <sheetViews>
    <sheetView tabSelected="1" zoomScale="90" zoomScaleNormal="90" workbookViewId="0">
      <pane ySplit="3" topLeftCell="A4" activePane="bottomLeft" state="frozen"/>
      <selection pane="bottomLeft" activeCell="P61" sqref="P61"/>
    </sheetView>
  </sheetViews>
  <sheetFormatPr defaultRowHeight="12" x14ac:dyDescent="0.2"/>
  <cols>
    <col min="1" max="1" width="12.85546875" style="9" customWidth="1"/>
    <col min="2" max="2" width="10.28515625" style="20" customWidth="1"/>
    <col min="3" max="3" width="34.140625" style="3" customWidth="1"/>
    <col min="4" max="4" width="19.42578125" style="17" customWidth="1"/>
    <col min="5" max="5" width="10.7109375" style="3" customWidth="1"/>
    <col min="6" max="6" width="11.28515625" style="3" customWidth="1"/>
    <col min="7" max="9" width="10.7109375" style="3" customWidth="1"/>
    <col min="10" max="10" width="11.5703125" style="3" customWidth="1"/>
    <col min="11" max="15" width="10.7109375" style="5" customWidth="1"/>
    <col min="16" max="16" width="12.7109375" style="5" customWidth="1"/>
    <col min="17" max="17" width="10.7109375" style="5" customWidth="1"/>
    <col min="18" max="18" width="16.42578125" style="5" customWidth="1"/>
    <col min="19" max="19" width="65.28515625" style="3" bestFit="1" customWidth="1"/>
    <col min="20" max="16384" width="9.140625" style="3"/>
  </cols>
  <sheetData>
    <row r="1" spans="1:20" s="13" customFormat="1" x14ac:dyDescent="0.2">
      <c r="A1" s="153" t="s">
        <v>85</v>
      </c>
      <c r="B1" s="19"/>
      <c r="D1" s="16"/>
      <c r="E1" s="25"/>
      <c r="F1" s="25"/>
      <c r="G1" s="25"/>
      <c r="H1" s="25"/>
      <c r="I1" s="25"/>
      <c r="J1" s="25"/>
      <c r="K1" s="26"/>
      <c r="L1" s="26"/>
      <c r="M1" s="26"/>
      <c r="N1" s="26"/>
      <c r="O1" s="26"/>
      <c r="P1" s="26"/>
      <c r="Q1" s="26"/>
      <c r="R1" s="26"/>
    </row>
    <row r="2" spans="1:20" ht="12.75" thickBot="1" x14ac:dyDescent="0.25"/>
    <row r="3" spans="1:20" ht="15.75" customHeight="1" thickBot="1" x14ac:dyDescent="0.25">
      <c r="A3" s="8"/>
      <c r="B3" s="21"/>
      <c r="C3" s="7"/>
      <c r="D3" s="18"/>
      <c r="E3" s="12"/>
      <c r="F3" s="163" t="s">
        <v>14</v>
      </c>
      <c r="G3" s="164"/>
      <c r="H3" s="164"/>
      <c r="I3" s="164"/>
      <c r="J3" s="165"/>
      <c r="K3" s="163" t="s">
        <v>15</v>
      </c>
      <c r="L3" s="164"/>
      <c r="M3" s="164"/>
      <c r="N3" s="164"/>
      <c r="O3" s="165"/>
      <c r="P3" s="164"/>
      <c r="Q3" s="164"/>
      <c r="R3" s="165"/>
    </row>
    <row r="4" spans="1:20" ht="48.75" thickBot="1" x14ac:dyDescent="0.25">
      <c r="A4" s="29" t="s">
        <v>0</v>
      </c>
      <c r="B4" s="2" t="s">
        <v>26</v>
      </c>
      <c r="C4" s="1" t="s">
        <v>1</v>
      </c>
      <c r="D4" s="2" t="s">
        <v>73</v>
      </c>
      <c r="E4" s="152" t="s">
        <v>22</v>
      </c>
      <c r="F4" s="2" t="s">
        <v>2</v>
      </c>
      <c r="G4" s="2" t="s">
        <v>3</v>
      </c>
      <c r="H4" s="2" t="s">
        <v>4</v>
      </c>
      <c r="I4" s="2" t="s">
        <v>5</v>
      </c>
      <c r="J4" s="6" t="s">
        <v>6</v>
      </c>
      <c r="K4" s="14" t="s">
        <v>23</v>
      </c>
      <c r="L4" s="14" t="s">
        <v>3</v>
      </c>
      <c r="M4" s="14" t="s">
        <v>4</v>
      </c>
      <c r="N4" s="14" t="s">
        <v>5</v>
      </c>
      <c r="O4" s="14" t="s">
        <v>6</v>
      </c>
      <c r="P4" s="14" t="s">
        <v>29</v>
      </c>
      <c r="Q4" s="14" t="s">
        <v>27</v>
      </c>
      <c r="R4" s="14" t="s">
        <v>28</v>
      </c>
    </row>
    <row r="5" spans="1:20" ht="12.75" customHeight="1" thickBot="1" x14ac:dyDescent="0.25">
      <c r="A5" s="174" t="s">
        <v>47</v>
      </c>
      <c r="B5" s="146" t="s">
        <v>45</v>
      </c>
      <c r="C5" s="144" t="s">
        <v>46</v>
      </c>
      <c r="D5" s="142" t="s">
        <v>7</v>
      </c>
      <c r="E5" s="49">
        <v>8</v>
      </c>
      <c r="F5" s="50">
        <v>8</v>
      </c>
      <c r="G5" s="51">
        <v>1</v>
      </c>
      <c r="H5" s="49">
        <f t="shared" ref="H5:H41" si="0">SUM(F5*G5)</f>
        <v>8</v>
      </c>
      <c r="I5" s="150">
        <v>1</v>
      </c>
      <c r="J5" s="52">
        <f t="shared" ref="J5:J38" si="1">SUM(H5*I5)</f>
        <v>8</v>
      </c>
      <c r="K5" s="53">
        <v>0</v>
      </c>
      <c r="L5" s="54">
        <v>1</v>
      </c>
      <c r="M5" s="143">
        <f t="shared" ref="M5:M41" si="2">SUM(K5*L5)</f>
        <v>0</v>
      </c>
      <c r="N5" s="56">
        <v>0.05</v>
      </c>
      <c r="O5" s="57">
        <f t="shared" ref="O5:O40" si="3">SUM(M5*N5)</f>
        <v>0</v>
      </c>
      <c r="P5" s="115">
        <f>J5+O5</f>
        <v>8</v>
      </c>
      <c r="Q5" s="105">
        <v>7.25</v>
      </c>
      <c r="R5" s="58">
        <f>P5*Q5</f>
        <v>58</v>
      </c>
      <c r="T5" s="10"/>
    </row>
    <row r="6" spans="1:20" ht="15" customHeight="1" thickBot="1" x14ac:dyDescent="0.25">
      <c r="A6" s="175"/>
      <c r="B6" s="149" t="s">
        <v>75</v>
      </c>
      <c r="C6" s="149" t="s">
        <v>76</v>
      </c>
      <c r="D6" s="154" t="s">
        <v>60</v>
      </c>
      <c r="E6" s="160">
        <v>4750</v>
      </c>
      <c r="F6" s="151">
        <v>4750</v>
      </c>
      <c r="G6" s="139">
        <v>3</v>
      </c>
      <c r="H6" s="151">
        <f t="shared" ref="H6:H12" si="4">SUM(F6*G6)</f>
        <v>14250</v>
      </c>
      <c r="I6" s="61">
        <v>0.05</v>
      </c>
      <c r="J6" s="60">
        <f t="shared" ref="J6:J11" si="5">SUM(H6*I6)</f>
        <v>712.5</v>
      </c>
      <c r="K6" s="138">
        <v>0</v>
      </c>
      <c r="L6" s="139">
        <v>3</v>
      </c>
      <c r="M6" s="138">
        <f t="shared" ref="M6:M11" si="6">SUM(K6*L6)</f>
        <v>0</v>
      </c>
      <c r="N6" s="139">
        <v>0.05</v>
      </c>
      <c r="O6" s="61">
        <f t="shared" ref="O6:O11" si="7">SUM(M6*N6)</f>
        <v>0</v>
      </c>
      <c r="P6" s="148">
        <f t="shared" ref="P6:P41" si="8">J6+O6</f>
        <v>712.5</v>
      </c>
      <c r="Q6" s="105">
        <v>7.25</v>
      </c>
      <c r="R6" s="58">
        <f t="shared" ref="R6:R41" si="9">P6*Q6</f>
        <v>5165.625</v>
      </c>
      <c r="S6" s="136"/>
      <c r="T6" s="10"/>
    </row>
    <row r="7" spans="1:20" ht="15" customHeight="1" thickBot="1" x14ac:dyDescent="0.25">
      <c r="A7" s="175"/>
      <c r="B7" s="149" t="s">
        <v>74</v>
      </c>
      <c r="C7" s="149" t="s">
        <v>77</v>
      </c>
      <c r="D7" s="155"/>
      <c r="E7" s="161"/>
      <c r="F7" s="151">
        <v>4750</v>
      </c>
      <c r="G7" s="139">
        <v>1</v>
      </c>
      <c r="H7" s="151">
        <f t="shared" si="4"/>
        <v>4750</v>
      </c>
      <c r="I7" s="61">
        <v>0.17</v>
      </c>
      <c r="J7" s="60">
        <f t="shared" si="5"/>
        <v>807.50000000000011</v>
      </c>
      <c r="K7" s="138">
        <v>0</v>
      </c>
      <c r="L7" s="139">
        <v>1</v>
      </c>
      <c r="M7" s="138">
        <f t="shared" si="6"/>
        <v>0</v>
      </c>
      <c r="N7" s="139">
        <v>0.05</v>
      </c>
      <c r="O7" s="61">
        <f t="shared" si="7"/>
        <v>0</v>
      </c>
      <c r="P7" s="148">
        <f t="shared" si="8"/>
        <v>807.50000000000011</v>
      </c>
      <c r="Q7" s="105">
        <v>7.25</v>
      </c>
      <c r="R7" s="58">
        <f t="shared" si="9"/>
        <v>5854.3750000000009</v>
      </c>
      <c r="S7" s="136"/>
      <c r="T7" s="10"/>
    </row>
    <row r="8" spans="1:20" ht="15.75" customHeight="1" thickBot="1" x14ac:dyDescent="0.25">
      <c r="A8" s="175"/>
      <c r="B8" s="149" t="s">
        <v>59</v>
      </c>
      <c r="C8" s="149" t="s">
        <v>58</v>
      </c>
      <c r="D8" s="155"/>
      <c r="E8" s="161"/>
      <c r="F8" s="151">
        <f>0.8*F7</f>
        <v>3800</v>
      </c>
      <c r="G8" s="139">
        <v>3</v>
      </c>
      <c r="H8" s="151">
        <f t="shared" si="4"/>
        <v>11400</v>
      </c>
      <c r="I8" s="61">
        <v>0.53</v>
      </c>
      <c r="J8" s="60">
        <f t="shared" si="5"/>
        <v>6042</v>
      </c>
      <c r="K8" s="138">
        <f>0.2*F7</f>
        <v>950</v>
      </c>
      <c r="L8" s="139">
        <v>3</v>
      </c>
      <c r="M8" s="138">
        <f t="shared" si="6"/>
        <v>2850</v>
      </c>
      <c r="N8" s="139">
        <v>0.05</v>
      </c>
      <c r="O8" s="61">
        <f t="shared" si="7"/>
        <v>142.5</v>
      </c>
      <c r="P8" s="148">
        <f t="shared" si="8"/>
        <v>6184.5</v>
      </c>
      <c r="Q8" s="105">
        <v>7.25</v>
      </c>
      <c r="R8" s="58">
        <f t="shared" si="9"/>
        <v>44837.625</v>
      </c>
      <c r="S8" s="136"/>
      <c r="T8" s="10"/>
    </row>
    <row r="9" spans="1:20" ht="15.75" customHeight="1" thickBot="1" x14ac:dyDescent="0.25">
      <c r="A9" s="175"/>
      <c r="B9" s="37" t="s">
        <v>48</v>
      </c>
      <c r="C9" s="37" t="s">
        <v>52</v>
      </c>
      <c r="D9" s="155"/>
      <c r="E9" s="161"/>
      <c r="F9" s="151">
        <f>0.5*F8</f>
        <v>1900</v>
      </c>
      <c r="G9" s="139">
        <v>3</v>
      </c>
      <c r="H9" s="151">
        <f t="shared" si="4"/>
        <v>5700</v>
      </c>
      <c r="I9" s="61">
        <v>0.05</v>
      </c>
      <c r="J9" s="60">
        <f t="shared" si="5"/>
        <v>285</v>
      </c>
      <c r="K9" s="138">
        <f>0.5*F8</f>
        <v>1900</v>
      </c>
      <c r="L9" s="139">
        <v>3</v>
      </c>
      <c r="M9" s="138">
        <f t="shared" si="6"/>
        <v>5700</v>
      </c>
      <c r="N9" s="139">
        <v>0.05</v>
      </c>
      <c r="O9" s="61">
        <f t="shared" si="7"/>
        <v>285</v>
      </c>
      <c r="P9" s="148">
        <f t="shared" si="8"/>
        <v>570</v>
      </c>
      <c r="Q9" s="105">
        <v>7.25</v>
      </c>
      <c r="R9" s="58">
        <f t="shared" si="9"/>
        <v>4132.5</v>
      </c>
      <c r="S9" s="136"/>
      <c r="T9" s="10"/>
    </row>
    <row r="10" spans="1:20" ht="15.75" customHeight="1" thickBot="1" x14ac:dyDescent="0.25">
      <c r="A10" s="175"/>
      <c r="B10" s="37" t="s">
        <v>49</v>
      </c>
      <c r="C10" s="37" t="s">
        <v>53</v>
      </c>
      <c r="D10" s="155"/>
      <c r="E10" s="161"/>
      <c r="F10" s="151">
        <f>0.44*K9</f>
        <v>836</v>
      </c>
      <c r="G10" s="139">
        <v>3</v>
      </c>
      <c r="H10" s="151">
        <f t="shared" si="4"/>
        <v>2508</v>
      </c>
      <c r="I10" s="61">
        <v>0.05</v>
      </c>
      <c r="J10" s="60">
        <f t="shared" si="5"/>
        <v>125.4</v>
      </c>
      <c r="K10" s="138">
        <f>0.56*K9</f>
        <v>1064</v>
      </c>
      <c r="L10" s="139">
        <v>3</v>
      </c>
      <c r="M10" s="138">
        <f t="shared" si="6"/>
        <v>3192</v>
      </c>
      <c r="N10" s="139">
        <v>0.05</v>
      </c>
      <c r="O10" s="61">
        <f t="shared" si="7"/>
        <v>159.60000000000002</v>
      </c>
      <c r="P10" s="148">
        <f t="shared" si="8"/>
        <v>285</v>
      </c>
      <c r="Q10" s="105">
        <v>7.25</v>
      </c>
      <c r="R10" s="58">
        <f t="shared" si="9"/>
        <v>2066.25</v>
      </c>
      <c r="S10" s="136"/>
      <c r="T10" s="10"/>
    </row>
    <row r="11" spans="1:20" ht="15.75" customHeight="1" thickBot="1" x14ac:dyDescent="0.25">
      <c r="A11" s="175"/>
      <c r="B11" s="37" t="s">
        <v>55</v>
      </c>
      <c r="C11" s="37" t="s">
        <v>78</v>
      </c>
      <c r="D11" s="155"/>
      <c r="E11" s="161"/>
      <c r="F11" s="151">
        <f>0.6*K10</f>
        <v>638.4</v>
      </c>
      <c r="G11" s="139">
        <v>2</v>
      </c>
      <c r="H11" s="151">
        <f t="shared" si="4"/>
        <v>1276.8</v>
      </c>
      <c r="I11" s="61">
        <v>0.05</v>
      </c>
      <c r="J11" s="60">
        <f t="shared" si="5"/>
        <v>63.84</v>
      </c>
      <c r="K11" s="138">
        <f>0.4*K10</f>
        <v>425.6</v>
      </c>
      <c r="L11" s="139">
        <v>2</v>
      </c>
      <c r="M11" s="138">
        <f t="shared" si="6"/>
        <v>851.2</v>
      </c>
      <c r="N11" s="139">
        <v>0.05</v>
      </c>
      <c r="O11" s="61">
        <f t="shared" si="7"/>
        <v>42.56</v>
      </c>
      <c r="P11" s="148">
        <f t="shared" si="8"/>
        <v>106.4</v>
      </c>
      <c r="Q11" s="105">
        <v>7.25</v>
      </c>
      <c r="R11" s="58">
        <f t="shared" si="9"/>
        <v>771.40000000000009</v>
      </c>
      <c r="S11" s="136"/>
      <c r="T11" s="10"/>
    </row>
    <row r="12" spans="1:20" ht="15" customHeight="1" thickBot="1" x14ac:dyDescent="0.25">
      <c r="A12" s="175"/>
      <c r="B12" s="149" t="s">
        <v>75</v>
      </c>
      <c r="C12" s="149" t="s">
        <v>80</v>
      </c>
      <c r="D12" s="154" t="s">
        <v>71</v>
      </c>
      <c r="E12" s="160">
        <v>4504</v>
      </c>
      <c r="F12" s="151">
        <v>4504</v>
      </c>
      <c r="G12" s="139">
        <v>2</v>
      </c>
      <c r="H12" s="151">
        <f t="shared" si="4"/>
        <v>9008</v>
      </c>
      <c r="I12" s="61">
        <v>0.05</v>
      </c>
      <c r="J12" s="60">
        <f t="shared" si="1"/>
        <v>450.40000000000003</v>
      </c>
      <c r="K12" s="138">
        <v>0</v>
      </c>
      <c r="L12" s="139">
        <v>2</v>
      </c>
      <c r="M12" s="138">
        <f t="shared" si="2"/>
        <v>0</v>
      </c>
      <c r="N12" s="139">
        <v>0.05</v>
      </c>
      <c r="O12" s="61">
        <f t="shared" si="3"/>
        <v>0</v>
      </c>
      <c r="P12" s="148">
        <f t="shared" si="8"/>
        <v>450.40000000000003</v>
      </c>
      <c r="Q12" s="105">
        <v>7.25</v>
      </c>
      <c r="R12" s="58">
        <f t="shared" si="9"/>
        <v>3265.4</v>
      </c>
      <c r="S12" s="136"/>
      <c r="T12" s="10"/>
    </row>
    <row r="13" spans="1:20" ht="15" customHeight="1" thickBot="1" x14ac:dyDescent="0.25">
      <c r="A13" s="175"/>
      <c r="B13" s="149" t="s">
        <v>79</v>
      </c>
      <c r="C13" s="149" t="s">
        <v>77</v>
      </c>
      <c r="D13" s="155"/>
      <c r="E13" s="161"/>
      <c r="F13" s="151">
        <v>4504</v>
      </c>
      <c r="G13" s="139">
        <v>1</v>
      </c>
      <c r="H13" s="151">
        <f t="shared" ref="H13:H17" si="10">SUM(F13*G13)</f>
        <v>4504</v>
      </c>
      <c r="I13" s="61">
        <v>0.17</v>
      </c>
      <c r="J13" s="60">
        <f t="shared" si="1"/>
        <v>765.68000000000006</v>
      </c>
      <c r="K13" s="138">
        <v>0</v>
      </c>
      <c r="L13" s="139">
        <v>1</v>
      </c>
      <c r="M13" s="138">
        <f t="shared" si="2"/>
        <v>0</v>
      </c>
      <c r="N13" s="139">
        <v>0.05</v>
      </c>
      <c r="O13" s="61">
        <f t="shared" si="3"/>
        <v>0</v>
      </c>
      <c r="P13" s="148">
        <f t="shared" si="8"/>
        <v>765.68000000000006</v>
      </c>
      <c r="Q13" s="105">
        <v>7.25</v>
      </c>
      <c r="R13" s="58">
        <f t="shared" si="9"/>
        <v>5551.18</v>
      </c>
      <c r="S13" s="136"/>
      <c r="T13" s="10"/>
    </row>
    <row r="14" spans="1:20" ht="15.75" customHeight="1" thickBot="1" x14ac:dyDescent="0.25">
      <c r="A14" s="175"/>
      <c r="B14" s="149" t="s">
        <v>69</v>
      </c>
      <c r="C14" s="149" t="s">
        <v>83</v>
      </c>
      <c r="D14" s="155"/>
      <c r="E14" s="161"/>
      <c r="F14" s="151">
        <v>2573</v>
      </c>
      <c r="G14" s="139">
        <v>1</v>
      </c>
      <c r="H14" s="151">
        <f t="shared" si="10"/>
        <v>2573</v>
      </c>
      <c r="I14" s="61">
        <v>0.5</v>
      </c>
      <c r="J14" s="60">
        <f t="shared" si="1"/>
        <v>1286.5</v>
      </c>
      <c r="K14" s="138">
        <v>1931</v>
      </c>
      <c r="L14" s="139">
        <v>1</v>
      </c>
      <c r="M14" s="138">
        <f t="shared" si="2"/>
        <v>1931</v>
      </c>
      <c r="N14" s="139">
        <v>0.05</v>
      </c>
      <c r="O14" s="61">
        <f t="shared" si="3"/>
        <v>96.550000000000011</v>
      </c>
      <c r="P14" s="148">
        <f t="shared" si="8"/>
        <v>1383.05</v>
      </c>
      <c r="Q14" s="105">
        <v>7.25</v>
      </c>
      <c r="R14" s="58">
        <f t="shared" si="9"/>
        <v>10027.112499999999</v>
      </c>
      <c r="S14" s="136"/>
      <c r="T14" s="10"/>
    </row>
    <row r="15" spans="1:20" ht="15.75" customHeight="1" thickBot="1" x14ac:dyDescent="0.25">
      <c r="A15" s="175"/>
      <c r="B15" s="149" t="s">
        <v>70</v>
      </c>
      <c r="C15" s="149" t="s">
        <v>67</v>
      </c>
      <c r="D15" s="155"/>
      <c r="E15" s="161"/>
      <c r="F15" s="151">
        <v>1960</v>
      </c>
      <c r="G15" s="139">
        <v>1</v>
      </c>
      <c r="H15" s="151">
        <f t="shared" si="10"/>
        <v>1960</v>
      </c>
      <c r="I15" s="61">
        <v>0.5</v>
      </c>
      <c r="J15" s="60">
        <f t="shared" si="1"/>
        <v>980</v>
      </c>
      <c r="K15" s="138">
        <v>490</v>
      </c>
      <c r="L15" s="139">
        <v>1</v>
      </c>
      <c r="M15" s="138">
        <f t="shared" si="2"/>
        <v>490</v>
      </c>
      <c r="N15" s="139">
        <v>0.05</v>
      </c>
      <c r="O15" s="61">
        <f t="shared" si="3"/>
        <v>24.5</v>
      </c>
      <c r="P15" s="148">
        <f t="shared" si="8"/>
        <v>1004.5</v>
      </c>
      <c r="Q15" s="105">
        <v>7.25</v>
      </c>
      <c r="R15" s="58">
        <f t="shared" si="9"/>
        <v>7282.625</v>
      </c>
      <c r="S15" s="136"/>
      <c r="T15" s="10"/>
    </row>
    <row r="16" spans="1:20" ht="15.75" customHeight="1" thickBot="1" x14ac:dyDescent="0.25">
      <c r="A16" s="175"/>
      <c r="B16" s="37" t="s">
        <v>48</v>
      </c>
      <c r="C16" s="37" t="s">
        <v>50</v>
      </c>
      <c r="D16" s="155"/>
      <c r="E16" s="161"/>
      <c r="F16" s="151">
        <f>0.5*K14</f>
        <v>965.5</v>
      </c>
      <c r="G16" s="139">
        <v>2</v>
      </c>
      <c r="H16" s="151">
        <f t="shared" si="10"/>
        <v>1931</v>
      </c>
      <c r="I16" s="61">
        <v>0.05</v>
      </c>
      <c r="J16" s="60">
        <f t="shared" si="1"/>
        <v>96.550000000000011</v>
      </c>
      <c r="K16" s="138">
        <f>0.5*K14</f>
        <v>965.5</v>
      </c>
      <c r="L16" s="139">
        <v>2</v>
      </c>
      <c r="M16" s="138">
        <f t="shared" si="2"/>
        <v>1931</v>
      </c>
      <c r="N16" s="139">
        <v>0.05</v>
      </c>
      <c r="O16" s="61">
        <f t="shared" si="3"/>
        <v>96.550000000000011</v>
      </c>
      <c r="P16" s="148">
        <f t="shared" si="8"/>
        <v>193.10000000000002</v>
      </c>
      <c r="Q16" s="105">
        <v>7.25</v>
      </c>
      <c r="R16" s="58">
        <f t="shared" si="9"/>
        <v>1399.9750000000001</v>
      </c>
      <c r="S16" s="136"/>
      <c r="T16" s="10"/>
    </row>
    <row r="17" spans="1:20" ht="15.75" customHeight="1" thickBot="1" x14ac:dyDescent="0.25">
      <c r="A17" s="175"/>
      <c r="B17" s="37" t="s">
        <v>49</v>
      </c>
      <c r="C17" s="37" t="s">
        <v>51</v>
      </c>
      <c r="D17" s="155"/>
      <c r="E17" s="161"/>
      <c r="F17" s="151">
        <f>0.44*K16</f>
        <v>424.82</v>
      </c>
      <c r="G17" s="139">
        <v>2</v>
      </c>
      <c r="H17" s="151">
        <f t="shared" si="10"/>
        <v>849.64</v>
      </c>
      <c r="I17" s="61">
        <v>0.05</v>
      </c>
      <c r="J17" s="60">
        <f t="shared" si="1"/>
        <v>42.481999999999999</v>
      </c>
      <c r="K17" s="138">
        <f>0.56*K16</f>
        <v>540.68000000000006</v>
      </c>
      <c r="L17" s="139">
        <v>2</v>
      </c>
      <c r="M17" s="138">
        <f t="shared" si="2"/>
        <v>1081.3600000000001</v>
      </c>
      <c r="N17" s="139">
        <v>0.05</v>
      </c>
      <c r="O17" s="61">
        <f t="shared" si="3"/>
        <v>54.068000000000012</v>
      </c>
      <c r="P17" s="148">
        <f t="shared" si="8"/>
        <v>96.550000000000011</v>
      </c>
      <c r="Q17" s="105">
        <v>7.25</v>
      </c>
      <c r="R17" s="58">
        <f t="shared" si="9"/>
        <v>699.98750000000007</v>
      </c>
      <c r="S17" s="136"/>
      <c r="T17" s="10"/>
    </row>
    <row r="18" spans="1:20" ht="15.75" customHeight="1" thickBot="1" x14ac:dyDescent="0.25">
      <c r="A18" s="175"/>
      <c r="B18" s="37" t="s">
        <v>55</v>
      </c>
      <c r="C18" s="37" t="s">
        <v>81</v>
      </c>
      <c r="D18" s="155"/>
      <c r="E18" s="161"/>
      <c r="F18" s="151">
        <f>0.6*K17</f>
        <v>324.40800000000002</v>
      </c>
      <c r="G18" s="139">
        <v>1</v>
      </c>
      <c r="H18" s="151">
        <f>SUM(F18*G18)</f>
        <v>324.40800000000002</v>
      </c>
      <c r="I18" s="61">
        <v>0.05</v>
      </c>
      <c r="J18" s="60">
        <f t="shared" si="1"/>
        <v>16.220400000000001</v>
      </c>
      <c r="K18" s="138">
        <f>0.4*K17</f>
        <v>216.27200000000005</v>
      </c>
      <c r="L18" s="139">
        <v>1</v>
      </c>
      <c r="M18" s="138">
        <f t="shared" si="2"/>
        <v>216.27200000000005</v>
      </c>
      <c r="N18" s="139">
        <v>0.05</v>
      </c>
      <c r="O18" s="61">
        <f t="shared" si="3"/>
        <v>10.813600000000003</v>
      </c>
      <c r="P18" s="148">
        <f t="shared" si="8"/>
        <v>27.034000000000006</v>
      </c>
      <c r="Q18" s="105">
        <v>7.25</v>
      </c>
      <c r="R18" s="58">
        <f t="shared" si="9"/>
        <v>195.99650000000005</v>
      </c>
      <c r="S18" s="136"/>
      <c r="T18" s="10"/>
    </row>
    <row r="19" spans="1:20" ht="15.75" customHeight="1" thickBot="1" x14ac:dyDescent="0.25">
      <c r="A19" s="175"/>
      <c r="B19" s="149" t="s">
        <v>75</v>
      </c>
      <c r="C19" s="149" t="s">
        <v>80</v>
      </c>
      <c r="D19" s="154" t="s">
        <v>66</v>
      </c>
      <c r="E19" s="160">
        <v>6746</v>
      </c>
      <c r="F19" s="151">
        <v>6746</v>
      </c>
      <c r="G19" s="139">
        <v>2</v>
      </c>
      <c r="H19" s="151">
        <f t="shared" ref="H19:H24" si="11">SUM(F19*G19)</f>
        <v>13492</v>
      </c>
      <c r="I19" s="61">
        <v>0.05</v>
      </c>
      <c r="J19" s="60">
        <f t="shared" ref="J19:J25" si="12">SUM(H19*I19)</f>
        <v>674.6</v>
      </c>
      <c r="K19" s="138">
        <v>0</v>
      </c>
      <c r="L19" s="139">
        <v>2</v>
      </c>
      <c r="M19" s="138">
        <f t="shared" ref="M19:M25" si="13">SUM(K19*L19)</f>
        <v>0</v>
      </c>
      <c r="N19" s="139">
        <v>0.05</v>
      </c>
      <c r="O19" s="61">
        <f t="shared" ref="O19:O25" si="14">SUM(M19*N19)</f>
        <v>0</v>
      </c>
      <c r="P19" s="148">
        <f t="shared" si="8"/>
        <v>674.6</v>
      </c>
      <c r="Q19" s="105">
        <v>7.25</v>
      </c>
      <c r="R19" s="58">
        <f t="shared" si="9"/>
        <v>4890.8500000000004</v>
      </c>
      <c r="S19" s="136"/>
      <c r="T19" s="10"/>
    </row>
    <row r="20" spans="1:20" ht="15.75" customHeight="1" thickBot="1" x14ac:dyDescent="0.25">
      <c r="A20" s="175"/>
      <c r="B20" s="149" t="s">
        <v>79</v>
      </c>
      <c r="C20" s="149" t="s">
        <v>77</v>
      </c>
      <c r="D20" s="155"/>
      <c r="E20" s="161"/>
      <c r="F20" s="151">
        <v>6746</v>
      </c>
      <c r="G20" s="139">
        <v>1</v>
      </c>
      <c r="H20" s="151">
        <f t="shared" si="11"/>
        <v>6746</v>
      </c>
      <c r="I20" s="61">
        <v>0.17</v>
      </c>
      <c r="J20" s="60">
        <f t="shared" si="12"/>
        <v>1146.8200000000002</v>
      </c>
      <c r="K20" s="138">
        <v>0</v>
      </c>
      <c r="L20" s="139">
        <v>1</v>
      </c>
      <c r="M20" s="138">
        <f t="shared" si="13"/>
        <v>0</v>
      </c>
      <c r="N20" s="139">
        <v>0.05</v>
      </c>
      <c r="O20" s="61">
        <f t="shared" si="14"/>
        <v>0</v>
      </c>
      <c r="P20" s="148">
        <f>J20+O20</f>
        <v>1146.8200000000002</v>
      </c>
      <c r="Q20" s="105">
        <v>7.25</v>
      </c>
      <c r="R20" s="58">
        <f t="shared" si="9"/>
        <v>8314.4450000000015</v>
      </c>
      <c r="S20" s="136"/>
      <c r="T20" s="10"/>
    </row>
    <row r="21" spans="1:20" ht="15.75" customHeight="1" thickBot="1" x14ac:dyDescent="0.25">
      <c r="A21" s="175"/>
      <c r="B21" s="149" t="s">
        <v>69</v>
      </c>
      <c r="C21" s="149" t="s">
        <v>83</v>
      </c>
      <c r="D21" s="155"/>
      <c r="E21" s="161"/>
      <c r="F21" s="151">
        <v>3854</v>
      </c>
      <c r="G21" s="139">
        <v>1</v>
      </c>
      <c r="H21" s="151">
        <f t="shared" si="11"/>
        <v>3854</v>
      </c>
      <c r="I21" s="61">
        <v>0.5</v>
      </c>
      <c r="J21" s="60">
        <f t="shared" si="12"/>
        <v>1927</v>
      </c>
      <c r="K21" s="138">
        <v>2892</v>
      </c>
      <c r="L21" s="139">
        <v>1</v>
      </c>
      <c r="M21" s="138">
        <f t="shared" si="13"/>
        <v>2892</v>
      </c>
      <c r="N21" s="139">
        <v>0.05</v>
      </c>
      <c r="O21" s="61">
        <f t="shared" si="14"/>
        <v>144.6</v>
      </c>
      <c r="P21" s="148">
        <f t="shared" si="8"/>
        <v>2071.6</v>
      </c>
      <c r="Q21" s="105">
        <v>7.25</v>
      </c>
      <c r="R21" s="58">
        <f t="shared" si="9"/>
        <v>15019.099999999999</v>
      </c>
      <c r="S21" s="136"/>
      <c r="T21" s="10"/>
    </row>
    <row r="22" spans="1:20" ht="15.75" customHeight="1" thickBot="1" x14ac:dyDescent="0.25">
      <c r="A22" s="175"/>
      <c r="B22" s="149" t="s">
        <v>70</v>
      </c>
      <c r="C22" s="149" t="s">
        <v>67</v>
      </c>
      <c r="D22" s="155"/>
      <c r="E22" s="161"/>
      <c r="F22" s="151">
        <v>2936</v>
      </c>
      <c r="G22" s="139">
        <v>1</v>
      </c>
      <c r="H22" s="151">
        <f t="shared" ref="H22" si="15">SUM(F22*G22)</f>
        <v>2936</v>
      </c>
      <c r="I22" s="61">
        <v>0.5</v>
      </c>
      <c r="J22" s="60">
        <f t="shared" ref="J22" si="16">SUM(H22*I22)</f>
        <v>1468</v>
      </c>
      <c r="K22" s="138">
        <v>734</v>
      </c>
      <c r="L22" s="139">
        <v>1</v>
      </c>
      <c r="M22" s="138">
        <f t="shared" ref="M22" si="17">SUM(K22*L22)</f>
        <v>734</v>
      </c>
      <c r="N22" s="139">
        <v>0.05</v>
      </c>
      <c r="O22" s="61">
        <f t="shared" ref="O22" si="18">SUM(M22*N22)</f>
        <v>36.700000000000003</v>
      </c>
      <c r="P22" s="148">
        <f t="shared" si="8"/>
        <v>1504.7</v>
      </c>
      <c r="Q22" s="105">
        <v>7.25</v>
      </c>
      <c r="R22" s="58">
        <f t="shared" si="9"/>
        <v>10909.075000000001</v>
      </c>
      <c r="S22" s="136"/>
      <c r="T22" s="10"/>
    </row>
    <row r="23" spans="1:20" ht="15.75" customHeight="1" thickBot="1" x14ac:dyDescent="0.25">
      <c r="A23" s="175"/>
      <c r="B23" s="37" t="s">
        <v>48</v>
      </c>
      <c r="C23" s="37" t="s">
        <v>50</v>
      </c>
      <c r="D23" s="155"/>
      <c r="E23" s="161"/>
      <c r="F23" s="151">
        <f>0.5*K21</f>
        <v>1446</v>
      </c>
      <c r="G23" s="139">
        <v>2</v>
      </c>
      <c r="H23" s="151">
        <f t="shared" si="11"/>
        <v>2892</v>
      </c>
      <c r="I23" s="61">
        <v>0.05</v>
      </c>
      <c r="J23" s="60">
        <f t="shared" si="12"/>
        <v>144.6</v>
      </c>
      <c r="K23" s="138">
        <f>0.5*K21</f>
        <v>1446</v>
      </c>
      <c r="L23" s="139">
        <v>2</v>
      </c>
      <c r="M23" s="138">
        <f t="shared" si="13"/>
        <v>2892</v>
      </c>
      <c r="N23" s="139">
        <v>0.05</v>
      </c>
      <c r="O23" s="61">
        <f t="shared" si="14"/>
        <v>144.6</v>
      </c>
      <c r="P23" s="148">
        <f t="shared" si="8"/>
        <v>289.2</v>
      </c>
      <c r="Q23" s="105">
        <v>7.25</v>
      </c>
      <c r="R23" s="58">
        <f t="shared" si="9"/>
        <v>2096.6999999999998</v>
      </c>
      <c r="S23" s="136"/>
      <c r="T23" s="10"/>
    </row>
    <row r="24" spans="1:20" ht="15.75" customHeight="1" thickBot="1" x14ac:dyDescent="0.25">
      <c r="A24" s="175"/>
      <c r="B24" s="37" t="s">
        <v>49</v>
      </c>
      <c r="C24" s="37" t="s">
        <v>51</v>
      </c>
      <c r="D24" s="155"/>
      <c r="E24" s="161"/>
      <c r="F24" s="151">
        <f>0.44*K23</f>
        <v>636.24</v>
      </c>
      <c r="G24" s="139">
        <v>2</v>
      </c>
      <c r="H24" s="151">
        <f t="shared" si="11"/>
        <v>1272.48</v>
      </c>
      <c r="I24" s="61">
        <v>0.05</v>
      </c>
      <c r="J24" s="60">
        <f t="shared" si="12"/>
        <v>63.624000000000002</v>
      </c>
      <c r="K24" s="138">
        <f>0.56*K23</f>
        <v>809.7600000000001</v>
      </c>
      <c r="L24" s="139">
        <v>2</v>
      </c>
      <c r="M24" s="138">
        <f t="shared" si="13"/>
        <v>1619.5200000000002</v>
      </c>
      <c r="N24" s="139">
        <v>0.05</v>
      </c>
      <c r="O24" s="61">
        <f t="shared" si="14"/>
        <v>80.976000000000013</v>
      </c>
      <c r="P24" s="148">
        <f t="shared" si="8"/>
        <v>144.60000000000002</v>
      </c>
      <c r="Q24" s="105">
        <v>7.25</v>
      </c>
      <c r="R24" s="58">
        <f t="shared" si="9"/>
        <v>1048.3500000000001</v>
      </c>
      <c r="S24" s="136"/>
      <c r="T24" s="10"/>
    </row>
    <row r="25" spans="1:20" ht="15.75" customHeight="1" thickBot="1" x14ac:dyDescent="0.25">
      <c r="A25" s="175"/>
      <c r="B25" s="37" t="s">
        <v>55</v>
      </c>
      <c r="C25" s="37" t="s">
        <v>81</v>
      </c>
      <c r="D25" s="155"/>
      <c r="E25" s="161"/>
      <c r="F25" s="151">
        <f>0.6*K24</f>
        <v>485.85600000000005</v>
      </c>
      <c r="G25" s="139">
        <v>1</v>
      </c>
      <c r="H25" s="151">
        <f>SUM(F25*G25)</f>
        <v>485.85600000000005</v>
      </c>
      <c r="I25" s="61">
        <v>0.05</v>
      </c>
      <c r="J25" s="60">
        <f t="shared" si="12"/>
        <v>24.292800000000003</v>
      </c>
      <c r="K25" s="138">
        <f>0.4*K24</f>
        <v>323.90400000000005</v>
      </c>
      <c r="L25" s="139">
        <v>1</v>
      </c>
      <c r="M25" s="138">
        <f t="shared" si="13"/>
        <v>323.90400000000005</v>
      </c>
      <c r="N25" s="139">
        <v>0.05</v>
      </c>
      <c r="O25" s="61">
        <f t="shared" si="14"/>
        <v>16.195200000000003</v>
      </c>
      <c r="P25" s="148">
        <f t="shared" si="8"/>
        <v>40.488000000000007</v>
      </c>
      <c r="Q25" s="105">
        <v>7.25</v>
      </c>
      <c r="R25" s="58">
        <f t="shared" si="9"/>
        <v>293.53800000000007</v>
      </c>
      <c r="S25" s="136"/>
      <c r="T25" s="10"/>
    </row>
    <row r="26" spans="1:20" ht="30.75" customHeight="1" thickBot="1" x14ac:dyDescent="0.25">
      <c r="A26" s="175"/>
      <c r="B26" s="149" t="s">
        <v>63</v>
      </c>
      <c r="C26" s="149" t="s">
        <v>72</v>
      </c>
      <c r="D26" s="154" t="s">
        <v>61</v>
      </c>
      <c r="E26" s="157">
        <v>7188</v>
      </c>
      <c r="F26" s="151">
        <f>0.8*E26</f>
        <v>5750.4000000000005</v>
      </c>
      <c r="G26" s="139">
        <v>1</v>
      </c>
      <c r="H26" s="151">
        <f>SUM(F26*G26)</f>
        <v>5750.4000000000005</v>
      </c>
      <c r="I26" s="61">
        <v>0.17</v>
      </c>
      <c r="J26" s="60">
        <f t="shared" ref="J26:J31" si="19">SUM(H26*I26)</f>
        <v>977.56800000000021</v>
      </c>
      <c r="K26" s="138">
        <f>0.2*E26</f>
        <v>1437.6000000000001</v>
      </c>
      <c r="L26" s="139">
        <v>1</v>
      </c>
      <c r="M26" s="138">
        <f t="shared" ref="M26:M31" si="20">SUM(K26*L26)</f>
        <v>1437.6000000000001</v>
      </c>
      <c r="N26" s="139">
        <v>0.05</v>
      </c>
      <c r="O26" s="61">
        <f t="shared" ref="O26:O31" si="21">SUM(M26*N26)</f>
        <v>71.88000000000001</v>
      </c>
      <c r="P26" s="148">
        <f t="shared" si="8"/>
        <v>1049.4480000000003</v>
      </c>
      <c r="Q26" s="105">
        <v>7.25</v>
      </c>
      <c r="R26" s="58">
        <f t="shared" si="9"/>
        <v>7608.4980000000023</v>
      </c>
      <c r="S26" s="136"/>
      <c r="T26" s="10"/>
    </row>
    <row r="27" spans="1:20" ht="15" customHeight="1" thickBot="1" x14ac:dyDescent="0.25">
      <c r="A27" s="175"/>
      <c r="B27" s="149" t="s">
        <v>75</v>
      </c>
      <c r="C27" s="149" t="s">
        <v>80</v>
      </c>
      <c r="D27" s="155"/>
      <c r="E27" s="158"/>
      <c r="F27" s="151">
        <v>5750</v>
      </c>
      <c r="G27" s="139">
        <v>2</v>
      </c>
      <c r="H27" s="151">
        <f>SUM(F27*G27)</f>
        <v>11500</v>
      </c>
      <c r="I27" s="61">
        <v>0.05</v>
      </c>
      <c r="J27" s="60">
        <f t="shared" si="19"/>
        <v>575</v>
      </c>
      <c r="K27" s="138">
        <v>0</v>
      </c>
      <c r="L27" s="139">
        <v>2</v>
      </c>
      <c r="M27" s="138">
        <f t="shared" si="20"/>
        <v>0</v>
      </c>
      <c r="N27" s="139">
        <v>0.05</v>
      </c>
      <c r="O27" s="61">
        <f t="shared" si="21"/>
        <v>0</v>
      </c>
      <c r="P27" s="148">
        <f t="shared" si="8"/>
        <v>575</v>
      </c>
      <c r="Q27" s="105">
        <v>7.25</v>
      </c>
      <c r="R27" s="58">
        <f t="shared" si="9"/>
        <v>4168.75</v>
      </c>
      <c r="S27" s="136"/>
      <c r="T27" s="10"/>
    </row>
    <row r="28" spans="1:20" ht="15.75" customHeight="1" thickBot="1" x14ac:dyDescent="0.25">
      <c r="A28" s="175"/>
      <c r="B28" s="149" t="s">
        <v>68</v>
      </c>
      <c r="C28" s="149" t="s">
        <v>62</v>
      </c>
      <c r="D28" s="155"/>
      <c r="E28" s="158"/>
      <c r="F28" s="151">
        <f>0.8*F27</f>
        <v>4600</v>
      </c>
      <c r="G28" s="139">
        <v>2</v>
      </c>
      <c r="H28" s="151">
        <f t="shared" ref="H28:H30" si="22">SUM(F28*G28)</f>
        <v>9200</v>
      </c>
      <c r="I28" s="61">
        <v>0.5</v>
      </c>
      <c r="J28" s="60">
        <f t="shared" si="19"/>
        <v>4600</v>
      </c>
      <c r="K28" s="138">
        <f>0.2*F27</f>
        <v>1150</v>
      </c>
      <c r="L28" s="139">
        <v>2</v>
      </c>
      <c r="M28" s="138">
        <f t="shared" si="20"/>
        <v>2300</v>
      </c>
      <c r="N28" s="139">
        <v>0.05</v>
      </c>
      <c r="O28" s="61">
        <f t="shared" si="21"/>
        <v>115</v>
      </c>
      <c r="P28" s="148">
        <f t="shared" si="8"/>
        <v>4715</v>
      </c>
      <c r="Q28" s="105">
        <v>7.25</v>
      </c>
      <c r="R28" s="58">
        <f t="shared" si="9"/>
        <v>34183.75</v>
      </c>
      <c r="S28" s="136"/>
      <c r="T28" s="10"/>
    </row>
    <row r="29" spans="1:20" ht="15.75" customHeight="1" thickBot="1" x14ac:dyDescent="0.25">
      <c r="A29" s="175"/>
      <c r="B29" s="37" t="s">
        <v>48</v>
      </c>
      <c r="C29" s="37" t="s">
        <v>50</v>
      </c>
      <c r="D29" s="155"/>
      <c r="E29" s="158"/>
      <c r="F29" s="151">
        <f>0.5*K28</f>
        <v>575</v>
      </c>
      <c r="G29" s="139">
        <v>2</v>
      </c>
      <c r="H29" s="151">
        <f t="shared" si="22"/>
        <v>1150</v>
      </c>
      <c r="I29" s="61">
        <v>0.05</v>
      </c>
      <c r="J29" s="60">
        <f t="shared" si="19"/>
        <v>57.5</v>
      </c>
      <c r="K29" s="138">
        <f>0.5*K28</f>
        <v>575</v>
      </c>
      <c r="L29" s="139">
        <v>2</v>
      </c>
      <c r="M29" s="138">
        <f t="shared" si="20"/>
        <v>1150</v>
      </c>
      <c r="N29" s="139">
        <v>0.05</v>
      </c>
      <c r="O29" s="61">
        <f t="shared" si="21"/>
        <v>57.5</v>
      </c>
      <c r="P29" s="148">
        <f t="shared" si="8"/>
        <v>115</v>
      </c>
      <c r="Q29" s="105">
        <v>7.25</v>
      </c>
      <c r="R29" s="58">
        <f t="shared" si="9"/>
        <v>833.75</v>
      </c>
      <c r="S29" s="136"/>
      <c r="T29" s="10"/>
    </row>
    <row r="30" spans="1:20" ht="15.75" customHeight="1" thickBot="1" x14ac:dyDescent="0.25">
      <c r="A30" s="175"/>
      <c r="B30" s="37" t="s">
        <v>49</v>
      </c>
      <c r="C30" s="37" t="s">
        <v>51</v>
      </c>
      <c r="D30" s="155"/>
      <c r="E30" s="158"/>
      <c r="F30" s="151">
        <f>0.44*K29</f>
        <v>253</v>
      </c>
      <c r="G30" s="139">
        <v>2</v>
      </c>
      <c r="H30" s="151">
        <f t="shared" si="22"/>
        <v>506</v>
      </c>
      <c r="I30" s="61">
        <v>0.05</v>
      </c>
      <c r="J30" s="60">
        <f t="shared" si="19"/>
        <v>25.3</v>
      </c>
      <c r="K30" s="138">
        <f>0.56*K29</f>
        <v>322.00000000000006</v>
      </c>
      <c r="L30" s="139">
        <v>2</v>
      </c>
      <c r="M30" s="138">
        <f t="shared" si="20"/>
        <v>644.00000000000011</v>
      </c>
      <c r="N30" s="139">
        <v>0.05</v>
      </c>
      <c r="O30" s="61">
        <f t="shared" si="21"/>
        <v>32.20000000000001</v>
      </c>
      <c r="P30" s="148">
        <f t="shared" si="8"/>
        <v>57.500000000000014</v>
      </c>
      <c r="Q30" s="105">
        <v>7.25</v>
      </c>
      <c r="R30" s="58">
        <f t="shared" si="9"/>
        <v>416.87500000000011</v>
      </c>
      <c r="S30" s="136"/>
      <c r="T30" s="10"/>
    </row>
    <row r="31" spans="1:20" ht="15.75" customHeight="1" thickBot="1" x14ac:dyDescent="0.25">
      <c r="A31" s="175"/>
      <c r="B31" s="37" t="s">
        <v>55</v>
      </c>
      <c r="C31" s="37" t="s">
        <v>54</v>
      </c>
      <c r="D31" s="156"/>
      <c r="E31" s="159"/>
      <c r="F31" s="151">
        <f>0.6*K30</f>
        <v>193.20000000000002</v>
      </c>
      <c r="G31" s="139">
        <v>1</v>
      </c>
      <c r="H31" s="151">
        <f>SUM(F31*G31)</f>
        <v>193.20000000000002</v>
      </c>
      <c r="I31" s="61">
        <v>0.05</v>
      </c>
      <c r="J31" s="60">
        <f t="shared" si="19"/>
        <v>9.6600000000000019</v>
      </c>
      <c r="K31" s="138">
        <f>0.4*K30</f>
        <v>128.80000000000004</v>
      </c>
      <c r="L31" s="139">
        <v>1</v>
      </c>
      <c r="M31" s="138">
        <f t="shared" si="20"/>
        <v>128.80000000000004</v>
      </c>
      <c r="N31" s="139">
        <v>0.05</v>
      </c>
      <c r="O31" s="61">
        <f t="shared" si="21"/>
        <v>6.4400000000000022</v>
      </c>
      <c r="P31" s="148">
        <f t="shared" si="8"/>
        <v>16.100000000000005</v>
      </c>
      <c r="Q31" s="105">
        <v>7.25</v>
      </c>
      <c r="R31" s="58">
        <f t="shared" si="9"/>
        <v>116.72500000000004</v>
      </c>
      <c r="S31" s="136"/>
      <c r="T31" s="10"/>
    </row>
    <row r="32" spans="1:20" ht="30.75" customHeight="1" thickBot="1" x14ac:dyDescent="0.25">
      <c r="A32" s="175"/>
      <c r="B32" s="149" t="s">
        <v>65</v>
      </c>
      <c r="C32" s="149" t="s">
        <v>72</v>
      </c>
      <c r="D32" s="154" t="s">
        <v>64</v>
      </c>
      <c r="E32" s="157">
        <v>5000</v>
      </c>
      <c r="F32" s="151">
        <f>0.95*E32</f>
        <v>4750</v>
      </c>
      <c r="G32" s="139">
        <v>1</v>
      </c>
      <c r="H32" s="151">
        <f>SUM(F32*G32)</f>
        <v>4750</v>
      </c>
      <c r="I32" s="61">
        <v>0.17</v>
      </c>
      <c r="J32" s="60">
        <f t="shared" si="1"/>
        <v>807.50000000000011</v>
      </c>
      <c r="K32" s="138">
        <f>0.05*E32</f>
        <v>250</v>
      </c>
      <c r="L32" s="139">
        <v>1</v>
      </c>
      <c r="M32" s="138">
        <f t="shared" si="2"/>
        <v>250</v>
      </c>
      <c r="N32" s="139">
        <v>0.05</v>
      </c>
      <c r="O32" s="61">
        <f t="shared" si="3"/>
        <v>12.5</v>
      </c>
      <c r="P32" s="148">
        <f t="shared" si="8"/>
        <v>820.00000000000011</v>
      </c>
      <c r="Q32" s="105">
        <v>7.25</v>
      </c>
      <c r="R32" s="58">
        <f t="shared" si="9"/>
        <v>5945.0000000000009</v>
      </c>
      <c r="S32" s="136"/>
      <c r="T32" s="10"/>
    </row>
    <row r="33" spans="1:20" ht="15" customHeight="1" thickBot="1" x14ac:dyDescent="0.25">
      <c r="A33" s="175"/>
      <c r="B33" s="149" t="s">
        <v>75</v>
      </c>
      <c r="C33" s="149" t="s">
        <v>80</v>
      </c>
      <c r="D33" s="155"/>
      <c r="E33" s="158"/>
      <c r="F33" s="151">
        <v>4750</v>
      </c>
      <c r="G33" s="139">
        <v>2</v>
      </c>
      <c r="H33" s="151">
        <f>SUM(F33*G33)</f>
        <v>9500</v>
      </c>
      <c r="I33" s="61">
        <v>0.05</v>
      </c>
      <c r="J33" s="60">
        <f t="shared" si="1"/>
        <v>475</v>
      </c>
      <c r="K33" s="138">
        <v>0</v>
      </c>
      <c r="L33" s="139">
        <v>2</v>
      </c>
      <c r="M33" s="138">
        <f t="shared" si="2"/>
        <v>0</v>
      </c>
      <c r="N33" s="139">
        <v>0.05</v>
      </c>
      <c r="O33" s="61">
        <f t="shared" si="3"/>
        <v>0</v>
      </c>
      <c r="P33" s="148">
        <f t="shared" si="8"/>
        <v>475</v>
      </c>
      <c r="Q33" s="105">
        <v>7.25</v>
      </c>
      <c r="R33" s="58">
        <f t="shared" si="9"/>
        <v>3443.75</v>
      </c>
      <c r="S33" s="136"/>
      <c r="T33" s="10"/>
    </row>
    <row r="34" spans="1:20" ht="15.75" customHeight="1" thickBot="1" x14ac:dyDescent="0.25">
      <c r="A34" s="175"/>
      <c r="B34" s="149" t="s">
        <v>68</v>
      </c>
      <c r="C34" s="149" t="s">
        <v>62</v>
      </c>
      <c r="D34" s="155"/>
      <c r="E34" s="158"/>
      <c r="F34" s="151">
        <f>0.8*F33</f>
        <v>3800</v>
      </c>
      <c r="G34" s="139">
        <v>2</v>
      </c>
      <c r="H34" s="151">
        <f t="shared" ref="H34:H36" si="23">SUM(F34*G34)</f>
        <v>7600</v>
      </c>
      <c r="I34" s="61">
        <v>0.5</v>
      </c>
      <c r="J34" s="60">
        <f t="shared" si="1"/>
        <v>3800</v>
      </c>
      <c r="K34" s="138">
        <f>0.2*F33</f>
        <v>950</v>
      </c>
      <c r="L34" s="139">
        <v>2</v>
      </c>
      <c r="M34" s="138">
        <f t="shared" si="2"/>
        <v>1900</v>
      </c>
      <c r="N34" s="139">
        <v>0.05</v>
      </c>
      <c r="O34" s="61">
        <f t="shared" si="3"/>
        <v>95</v>
      </c>
      <c r="P34" s="148">
        <f t="shared" si="8"/>
        <v>3895</v>
      </c>
      <c r="Q34" s="105">
        <v>7.25</v>
      </c>
      <c r="R34" s="58">
        <f t="shared" si="9"/>
        <v>28238.75</v>
      </c>
      <c r="S34" s="136"/>
      <c r="T34" s="10"/>
    </row>
    <row r="35" spans="1:20" ht="15.75" customHeight="1" thickBot="1" x14ac:dyDescent="0.25">
      <c r="A35" s="175"/>
      <c r="B35" s="37" t="s">
        <v>48</v>
      </c>
      <c r="C35" s="37" t="s">
        <v>50</v>
      </c>
      <c r="D35" s="155"/>
      <c r="E35" s="158"/>
      <c r="F35" s="151">
        <f>0.5*K34</f>
        <v>475</v>
      </c>
      <c r="G35" s="139">
        <v>2</v>
      </c>
      <c r="H35" s="151">
        <f t="shared" si="23"/>
        <v>950</v>
      </c>
      <c r="I35" s="61">
        <v>0.05</v>
      </c>
      <c r="J35" s="60">
        <f t="shared" si="1"/>
        <v>47.5</v>
      </c>
      <c r="K35" s="138">
        <f>0.5*K34</f>
        <v>475</v>
      </c>
      <c r="L35" s="139">
        <v>2</v>
      </c>
      <c r="M35" s="138">
        <f t="shared" si="2"/>
        <v>950</v>
      </c>
      <c r="N35" s="139">
        <v>0.05</v>
      </c>
      <c r="O35" s="61">
        <f t="shared" si="3"/>
        <v>47.5</v>
      </c>
      <c r="P35" s="148">
        <f t="shared" si="8"/>
        <v>95</v>
      </c>
      <c r="Q35" s="105">
        <v>7.25</v>
      </c>
      <c r="R35" s="58">
        <f t="shared" si="9"/>
        <v>688.75</v>
      </c>
      <c r="S35" s="136"/>
      <c r="T35" s="10"/>
    </row>
    <row r="36" spans="1:20" ht="15.75" customHeight="1" thickBot="1" x14ac:dyDescent="0.25">
      <c r="A36" s="175"/>
      <c r="B36" s="37" t="s">
        <v>49</v>
      </c>
      <c r="C36" s="37" t="s">
        <v>51</v>
      </c>
      <c r="D36" s="155"/>
      <c r="E36" s="158"/>
      <c r="F36" s="151">
        <f>0.44*K35</f>
        <v>209</v>
      </c>
      <c r="G36" s="139">
        <v>2</v>
      </c>
      <c r="H36" s="151">
        <f t="shared" si="23"/>
        <v>418</v>
      </c>
      <c r="I36" s="61">
        <v>0.05</v>
      </c>
      <c r="J36" s="60">
        <f t="shared" si="1"/>
        <v>20.900000000000002</v>
      </c>
      <c r="K36" s="138">
        <f>0.56*K35</f>
        <v>266</v>
      </c>
      <c r="L36" s="139">
        <v>2</v>
      </c>
      <c r="M36" s="138">
        <f t="shared" si="2"/>
        <v>532</v>
      </c>
      <c r="N36" s="139">
        <v>0.05</v>
      </c>
      <c r="O36" s="61">
        <f t="shared" si="3"/>
        <v>26.6</v>
      </c>
      <c r="P36" s="148">
        <f t="shared" si="8"/>
        <v>47.5</v>
      </c>
      <c r="Q36" s="105">
        <v>7.25</v>
      </c>
      <c r="R36" s="58">
        <f t="shared" si="9"/>
        <v>344.375</v>
      </c>
      <c r="S36" s="136"/>
      <c r="T36" s="10"/>
    </row>
    <row r="37" spans="1:20" ht="15.75" customHeight="1" thickBot="1" x14ac:dyDescent="0.25">
      <c r="A37" s="175"/>
      <c r="B37" s="37" t="s">
        <v>55</v>
      </c>
      <c r="C37" s="37" t="s">
        <v>54</v>
      </c>
      <c r="D37" s="156"/>
      <c r="E37" s="159"/>
      <c r="F37" s="151">
        <f>0.6*K36</f>
        <v>159.6</v>
      </c>
      <c r="G37" s="139">
        <v>1</v>
      </c>
      <c r="H37" s="151">
        <f>SUM(F37*G37)</f>
        <v>159.6</v>
      </c>
      <c r="I37" s="61">
        <v>0.05</v>
      </c>
      <c r="J37" s="60">
        <f t="shared" si="1"/>
        <v>7.98</v>
      </c>
      <c r="K37" s="138">
        <f>0.4*K36</f>
        <v>106.4</v>
      </c>
      <c r="L37" s="139">
        <v>1</v>
      </c>
      <c r="M37" s="138">
        <f t="shared" si="2"/>
        <v>106.4</v>
      </c>
      <c r="N37" s="139">
        <v>0.05</v>
      </c>
      <c r="O37" s="61">
        <f t="shared" si="3"/>
        <v>5.32</v>
      </c>
      <c r="P37" s="148">
        <f t="shared" si="8"/>
        <v>13.3</v>
      </c>
      <c r="Q37" s="105">
        <v>7.25</v>
      </c>
      <c r="R37" s="58">
        <f t="shared" si="9"/>
        <v>96.425000000000011</v>
      </c>
      <c r="S37" s="136"/>
      <c r="T37" s="10"/>
    </row>
    <row r="38" spans="1:20" s="103" customFormat="1" ht="36.75" thickBot="1" x14ac:dyDescent="0.25">
      <c r="A38" s="175"/>
      <c r="B38" s="42" t="s">
        <v>36</v>
      </c>
      <c r="C38" s="42" t="s">
        <v>41</v>
      </c>
      <c r="D38" s="170" t="s">
        <v>7</v>
      </c>
      <c r="E38" s="172">
        <v>532</v>
      </c>
      <c r="F38" s="49">
        <v>112</v>
      </c>
      <c r="G38" s="56">
        <v>1</v>
      </c>
      <c r="H38" s="49">
        <f t="shared" si="0"/>
        <v>112</v>
      </c>
      <c r="I38" s="57">
        <v>0.25</v>
      </c>
      <c r="J38" s="60">
        <f t="shared" si="1"/>
        <v>28</v>
      </c>
      <c r="K38" s="55">
        <v>420</v>
      </c>
      <c r="L38" s="56">
        <v>1</v>
      </c>
      <c r="M38" s="55">
        <f t="shared" si="2"/>
        <v>420</v>
      </c>
      <c r="N38" s="56">
        <v>0.08</v>
      </c>
      <c r="O38" s="61">
        <f t="shared" si="3"/>
        <v>33.6</v>
      </c>
      <c r="P38" s="148">
        <f t="shared" si="8"/>
        <v>61.6</v>
      </c>
      <c r="Q38" s="106">
        <v>7.25</v>
      </c>
      <c r="R38" s="58">
        <f t="shared" si="9"/>
        <v>446.6</v>
      </c>
      <c r="T38" s="10"/>
    </row>
    <row r="39" spans="1:20" s="103" customFormat="1" ht="24.75" thickBot="1" x14ac:dyDescent="0.25">
      <c r="A39" s="175"/>
      <c r="B39" s="47" t="s">
        <v>57</v>
      </c>
      <c r="C39" s="47" t="s">
        <v>30</v>
      </c>
      <c r="D39" s="171"/>
      <c r="E39" s="173"/>
      <c r="F39" s="49">
        <v>112</v>
      </c>
      <c r="G39" s="56">
        <v>1</v>
      </c>
      <c r="H39" s="49">
        <f t="shared" si="0"/>
        <v>112</v>
      </c>
      <c r="I39" s="57">
        <v>1.5</v>
      </c>
      <c r="J39" s="60">
        <f>H39*I39</f>
        <v>168</v>
      </c>
      <c r="K39" s="55">
        <v>0</v>
      </c>
      <c r="L39" s="56">
        <v>1</v>
      </c>
      <c r="M39" s="55">
        <f t="shared" si="2"/>
        <v>0</v>
      </c>
      <c r="N39" s="56">
        <v>0.08</v>
      </c>
      <c r="O39" s="61">
        <f t="shared" si="3"/>
        <v>0</v>
      </c>
      <c r="P39" s="148">
        <f t="shared" si="8"/>
        <v>168</v>
      </c>
      <c r="Q39" s="105">
        <v>7.25</v>
      </c>
      <c r="R39" s="58">
        <f t="shared" si="9"/>
        <v>1218</v>
      </c>
      <c r="T39" s="10"/>
    </row>
    <row r="40" spans="1:20" s="103" customFormat="1" ht="24.75" thickBot="1" x14ac:dyDescent="0.25">
      <c r="A40" s="175"/>
      <c r="B40" s="147" t="s">
        <v>37</v>
      </c>
      <c r="C40" s="104" t="s">
        <v>40</v>
      </c>
      <c r="D40" s="170" t="s">
        <v>7</v>
      </c>
      <c r="E40" s="172">
        <v>320</v>
      </c>
      <c r="F40" s="98">
        <v>80</v>
      </c>
      <c r="G40" s="79">
        <v>1</v>
      </c>
      <c r="H40" s="98">
        <f t="shared" si="0"/>
        <v>80</v>
      </c>
      <c r="I40" s="80">
        <v>0.25</v>
      </c>
      <c r="J40" s="99">
        <f>H40*I40</f>
        <v>20</v>
      </c>
      <c r="K40" s="78">
        <f>320-80</f>
        <v>240</v>
      </c>
      <c r="L40" s="79">
        <v>1</v>
      </c>
      <c r="M40" s="78">
        <f t="shared" si="2"/>
        <v>240</v>
      </c>
      <c r="N40" s="80">
        <v>0.08</v>
      </c>
      <c r="O40" s="100">
        <f t="shared" si="3"/>
        <v>19.2</v>
      </c>
      <c r="P40" s="148">
        <f t="shared" si="8"/>
        <v>39.200000000000003</v>
      </c>
      <c r="Q40" s="107">
        <v>7.25</v>
      </c>
      <c r="R40" s="58">
        <f t="shared" si="9"/>
        <v>284.20000000000005</v>
      </c>
      <c r="T40" s="10"/>
    </row>
    <row r="41" spans="1:20" ht="24.75" thickBot="1" x14ac:dyDescent="0.25">
      <c r="A41" s="176"/>
      <c r="B41" s="47" t="s">
        <v>56</v>
      </c>
      <c r="C41" s="39" t="s">
        <v>38</v>
      </c>
      <c r="D41" s="171"/>
      <c r="E41" s="173"/>
      <c r="F41" s="63">
        <v>80</v>
      </c>
      <c r="G41" s="64">
        <v>1</v>
      </c>
      <c r="H41" s="63">
        <f t="shared" si="0"/>
        <v>80</v>
      </c>
      <c r="I41" s="65">
        <v>1.5</v>
      </c>
      <c r="J41" s="66">
        <f>H41*I41</f>
        <v>120</v>
      </c>
      <c r="K41" s="62">
        <v>0</v>
      </c>
      <c r="L41" s="64">
        <v>1</v>
      </c>
      <c r="M41" s="62">
        <f t="shared" si="2"/>
        <v>0</v>
      </c>
      <c r="N41" s="65">
        <v>0.08</v>
      </c>
      <c r="O41" s="67">
        <f>(M41*N41)</f>
        <v>0</v>
      </c>
      <c r="P41" s="148">
        <f t="shared" si="8"/>
        <v>120</v>
      </c>
      <c r="Q41" s="108">
        <v>7.25</v>
      </c>
      <c r="R41" s="58">
        <f t="shared" si="9"/>
        <v>870</v>
      </c>
      <c r="T41" s="10"/>
    </row>
    <row r="42" spans="1:20" s="4" customFormat="1" ht="12.75" thickBot="1" x14ac:dyDescent="0.25">
      <c r="A42" s="30" t="s">
        <v>8</v>
      </c>
      <c r="B42" s="40"/>
      <c r="C42" s="40"/>
      <c r="D42" s="41"/>
      <c r="E42" s="68">
        <f>SUM(E5:E37)</f>
        <v>28196</v>
      </c>
      <c r="F42" s="68">
        <f>F5+F6+F12+F19+F26+F32</f>
        <v>26508.400000000001</v>
      </c>
      <c r="G42" s="69" t="s">
        <v>16</v>
      </c>
      <c r="H42" s="68">
        <f>SUM(H5:H41)</f>
        <v>144782.38399999999</v>
      </c>
      <c r="I42" s="69" t="s">
        <v>16</v>
      </c>
      <c r="J42" s="70">
        <f>SUM(J5:J41)</f>
        <v>28870.917199999996</v>
      </c>
      <c r="K42" s="68">
        <f>K5+K6+K12+K19+K26+K32</f>
        <v>1687.6000000000001</v>
      </c>
      <c r="L42" s="69" t="s">
        <v>16</v>
      </c>
      <c r="M42" s="68">
        <f>SUM(M5:M41)</f>
        <v>36763.056000000004</v>
      </c>
      <c r="N42" s="71" t="s">
        <v>16</v>
      </c>
      <c r="O42" s="70">
        <f>SUM(O5:O41)</f>
        <v>1857.9528</v>
      </c>
      <c r="P42" s="117">
        <f>SUM(P5:P41)</f>
        <v>30728.869999999995</v>
      </c>
      <c r="Q42" s="109"/>
      <c r="R42" s="72">
        <f>SUM(R5:R41)</f>
        <v>222784.30750000002</v>
      </c>
      <c r="T42" s="10"/>
    </row>
    <row r="43" spans="1:20" ht="24.75" thickBot="1" x14ac:dyDescent="0.25">
      <c r="A43" s="166" t="s">
        <v>24</v>
      </c>
      <c r="B43" s="42" t="s">
        <v>35</v>
      </c>
      <c r="C43" s="43" t="s">
        <v>32</v>
      </c>
      <c r="D43" s="44" t="s">
        <v>20</v>
      </c>
      <c r="E43" s="73">
        <f>10*3</f>
        <v>30</v>
      </c>
      <c r="F43" s="73">
        <v>30</v>
      </c>
      <c r="G43" s="74">
        <v>2</v>
      </c>
      <c r="H43" s="75">
        <f t="shared" ref="H43:H45" si="24">SUM(F43*G43)</f>
        <v>60</v>
      </c>
      <c r="I43" s="76">
        <v>1</v>
      </c>
      <c r="J43" s="77">
        <f>SUM(H43*I43)</f>
        <v>60</v>
      </c>
      <c r="K43" s="78">
        <v>0</v>
      </c>
      <c r="L43" s="79">
        <v>2</v>
      </c>
      <c r="M43" s="78">
        <f t="shared" ref="M43:M56" si="25">SUM(K43*L43)</f>
        <v>0</v>
      </c>
      <c r="N43" s="79">
        <v>0.08</v>
      </c>
      <c r="O43" s="80">
        <f t="shared" ref="O43:O53" si="26">SUM(M43*N43)</f>
        <v>0</v>
      </c>
      <c r="P43" s="116">
        <f t="shared" ref="P43:P49" si="27">SUM(J43,O43)</f>
        <v>60</v>
      </c>
      <c r="Q43" s="110">
        <v>54.08</v>
      </c>
      <c r="R43" s="81">
        <f t="shared" ref="R43:R49" si="28">P43*Q43</f>
        <v>3244.7999999999997</v>
      </c>
      <c r="T43" s="10"/>
    </row>
    <row r="44" spans="1:20" ht="24.75" thickBot="1" x14ac:dyDescent="0.25">
      <c r="A44" s="166"/>
      <c r="B44" s="42" t="s">
        <v>35</v>
      </c>
      <c r="C44" s="43" t="s">
        <v>33</v>
      </c>
      <c r="D44" s="36" t="s">
        <v>20</v>
      </c>
      <c r="E44" s="73">
        <f>10*2</f>
        <v>20</v>
      </c>
      <c r="F44" s="73">
        <v>20</v>
      </c>
      <c r="G44" s="74">
        <v>3</v>
      </c>
      <c r="H44" s="75">
        <f t="shared" ref="H44" si="29">SUM(F44*G44)</f>
        <v>60</v>
      </c>
      <c r="I44" s="76">
        <v>1</v>
      </c>
      <c r="J44" s="77">
        <f>SUM(H44*I44)</f>
        <v>60</v>
      </c>
      <c r="K44" s="78">
        <v>0</v>
      </c>
      <c r="L44" s="79">
        <v>3</v>
      </c>
      <c r="M44" s="78">
        <f t="shared" ref="M44" si="30">SUM(K44*L44)</f>
        <v>0</v>
      </c>
      <c r="N44" s="79">
        <v>0.08</v>
      </c>
      <c r="O44" s="80">
        <f t="shared" ref="O44" si="31">SUM(M44*N44)</f>
        <v>0</v>
      </c>
      <c r="P44" s="116">
        <f t="shared" si="27"/>
        <v>60</v>
      </c>
      <c r="Q44" s="110">
        <v>54.08</v>
      </c>
      <c r="R44" s="81">
        <f t="shared" si="28"/>
        <v>3244.7999999999997</v>
      </c>
      <c r="T44" s="10"/>
    </row>
    <row r="45" spans="1:20" ht="24.75" thickBot="1" x14ac:dyDescent="0.25">
      <c r="A45" s="166"/>
      <c r="B45" s="42" t="s">
        <v>35</v>
      </c>
      <c r="C45" s="43" t="s">
        <v>32</v>
      </c>
      <c r="D45" s="36" t="s">
        <v>21</v>
      </c>
      <c r="E45" s="73">
        <f>20*3</f>
        <v>60</v>
      </c>
      <c r="F45" s="73">
        <v>60</v>
      </c>
      <c r="G45" s="74">
        <v>2</v>
      </c>
      <c r="H45" s="75">
        <f t="shared" si="24"/>
        <v>120</v>
      </c>
      <c r="I45" s="76">
        <v>1</v>
      </c>
      <c r="J45" s="77">
        <f t="shared" ref="J45" si="32">SUM(H45*I45)</f>
        <v>120</v>
      </c>
      <c r="K45" s="78">
        <v>0</v>
      </c>
      <c r="L45" s="79">
        <v>2</v>
      </c>
      <c r="M45" s="78">
        <f t="shared" si="25"/>
        <v>0</v>
      </c>
      <c r="N45" s="79">
        <v>0.08</v>
      </c>
      <c r="O45" s="80">
        <f t="shared" si="26"/>
        <v>0</v>
      </c>
      <c r="P45" s="116">
        <f t="shared" si="27"/>
        <v>120</v>
      </c>
      <c r="Q45" s="110">
        <v>21.79</v>
      </c>
      <c r="R45" s="81">
        <f t="shared" si="28"/>
        <v>2614.7999999999997</v>
      </c>
      <c r="T45" s="10"/>
    </row>
    <row r="46" spans="1:20" ht="24.75" thickBot="1" x14ac:dyDescent="0.25">
      <c r="A46" s="166"/>
      <c r="B46" s="42" t="s">
        <v>35</v>
      </c>
      <c r="C46" s="43" t="s">
        <v>33</v>
      </c>
      <c r="D46" s="36" t="s">
        <v>21</v>
      </c>
      <c r="E46" s="73">
        <f>20*2</f>
        <v>40</v>
      </c>
      <c r="F46" s="73">
        <v>40</v>
      </c>
      <c r="G46" s="74">
        <v>3</v>
      </c>
      <c r="H46" s="75">
        <f t="shared" ref="H46" si="33">SUM(F46*G46)</f>
        <v>120</v>
      </c>
      <c r="I46" s="76">
        <v>1</v>
      </c>
      <c r="J46" s="77">
        <f>SUM(H46*I46)</f>
        <v>120</v>
      </c>
      <c r="K46" s="78">
        <v>0</v>
      </c>
      <c r="L46" s="79">
        <v>3</v>
      </c>
      <c r="M46" s="78">
        <f t="shared" ref="M46" si="34">SUM(K46*L46)</f>
        <v>0</v>
      </c>
      <c r="N46" s="79">
        <v>0.08</v>
      </c>
      <c r="O46" s="80">
        <f t="shared" ref="O46" si="35">SUM(M46*N46)</f>
        <v>0</v>
      </c>
      <c r="P46" s="116">
        <f t="shared" si="27"/>
        <v>120</v>
      </c>
      <c r="Q46" s="110">
        <v>21.79</v>
      </c>
      <c r="R46" s="81">
        <f t="shared" si="28"/>
        <v>2614.7999999999997</v>
      </c>
      <c r="T46" s="10"/>
    </row>
    <row r="47" spans="1:20" ht="24.75" thickBot="1" x14ac:dyDescent="0.25">
      <c r="A47" s="166"/>
      <c r="B47" s="46" t="s">
        <v>82</v>
      </c>
      <c r="C47" s="39" t="s">
        <v>34</v>
      </c>
      <c r="D47" s="45" t="s">
        <v>20</v>
      </c>
      <c r="E47" s="82">
        <v>5</v>
      </c>
      <c r="F47" s="82">
        <v>5</v>
      </c>
      <c r="G47" s="56">
        <v>24</v>
      </c>
      <c r="H47" s="49">
        <f>SUM(F47*G47)</f>
        <v>120</v>
      </c>
      <c r="I47" s="61">
        <v>0.83</v>
      </c>
      <c r="J47" s="52">
        <f>SUM(H47*I47)</f>
        <v>99.6</v>
      </c>
      <c r="K47" s="55">
        <v>0</v>
      </c>
      <c r="L47" s="56">
        <v>1</v>
      </c>
      <c r="M47" s="55">
        <f>SUM(K47*L47)</f>
        <v>0</v>
      </c>
      <c r="N47" s="56">
        <v>0.08</v>
      </c>
      <c r="O47" s="57">
        <f>SUM(M47*N47)</f>
        <v>0</v>
      </c>
      <c r="P47" s="115">
        <f t="shared" si="27"/>
        <v>99.6</v>
      </c>
      <c r="Q47" s="111">
        <v>54.08</v>
      </c>
      <c r="R47" s="59">
        <f t="shared" si="28"/>
        <v>5386.3679999999995</v>
      </c>
      <c r="T47" s="10"/>
    </row>
    <row r="48" spans="1:20" ht="24.75" thickBot="1" x14ac:dyDescent="0.25">
      <c r="A48" s="166"/>
      <c r="B48" s="46" t="s">
        <v>31</v>
      </c>
      <c r="C48" s="37" t="s">
        <v>42</v>
      </c>
      <c r="D48" s="38" t="s">
        <v>20</v>
      </c>
      <c r="E48" s="101">
        <v>5</v>
      </c>
      <c r="F48" s="101">
        <v>5</v>
      </c>
      <c r="G48" s="79">
        <v>1</v>
      </c>
      <c r="H48" s="98">
        <f>SUM(F48*G48)</f>
        <v>5</v>
      </c>
      <c r="I48" s="100">
        <v>2.25</v>
      </c>
      <c r="J48" s="102">
        <f>SUM(H48*I48)</f>
        <v>11.25</v>
      </c>
      <c r="K48" s="78">
        <v>0</v>
      </c>
      <c r="L48" s="79">
        <v>1</v>
      </c>
      <c r="M48" s="78">
        <f>SUM(K48*L48)</f>
        <v>0</v>
      </c>
      <c r="N48" s="79">
        <v>0.08</v>
      </c>
      <c r="O48" s="80">
        <f>SUM(M48*N48)</f>
        <v>0</v>
      </c>
      <c r="P48" s="116">
        <f t="shared" ref="P48" si="36">SUM(J48,O48)</f>
        <v>11.25</v>
      </c>
      <c r="Q48" s="110">
        <v>54.08</v>
      </c>
      <c r="R48" s="81">
        <f t="shared" ref="R48" si="37">P48*Q48</f>
        <v>608.4</v>
      </c>
      <c r="T48" s="10"/>
    </row>
    <row r="49" spans="1:20" ht="24.75" thickBot="1" x14ac:dyDescent="0.25">
      <c r="A49" s="166"/>
      <c r="B49" s="46" t="s">
        <v>43</v>
      </c>
      <c r="C49" s="46" t="s">
        <v>44</v>
      </c>
      <c r="D49" s="38" t="s">
        <v>20</v>
      </c>
      <c r="E49" s="101">
        <v>5</v>
      </c>
      <c r="F49" s="101">
        <v>5</v>
      </c>
      <c r="G49" s="79">
        <v>7</v>
      </c>
      <c r="H49" s="98">
        <f>SUM(F49*G49)</f>
        <v>35</v>
      </c>
      <c r="I49" s="100">
        <v>2.25</v>
      </c>
      <c r="J49" s="102">
        <f>SUM(H49*I49)</f>
        <v>78.75</v>
      </c>
      <c r="K49" s="78">
        <v>0</v>
      </c>
      <c r="L49" s="79">
        <v>1</v>
      </c>
      <c r="M49" s="78">
        <f>SUM(K49*L49)</f>
        <v>0</v>
      </c>
      <c r="N49" s="79">
        <v>0.08</v>
      </c>
      <c r="O49" s="80">
        <f>SUM(M49*N49)</f>
        <v>0</v>
      </c>
      <c r="P49" s="116">
        <f t="shared" si="27"/>
        <v>78.75</v>
      </c>
      <c r="Q49" s="110">
        <v>54.08</v>
      </c>
      <c r="R49" s="81">
        <f t="shared" si="28"/>
        <v>4258.8</v>
      </c>
      <c r="T49" s="10"/>
    </row>
    <row r="50" spans="1:20" s="4" customFormat="1" ht="12.75" thickBot="1" x14ac:dyDescent="0.25">
      <c r="A50" s="27" t="s">
        <v>25</v>
      </c>
      <c r="B50" s="40"/>
      <c r="C50" s="48"/>
      <c r="D50" s="28"/>
      <c r="E50" s="83">
        <f>SUM(E43:E46)</f>
        <v>150</v>
      </c>
      <c r="F50" s="83">
        <f>SUM(F43:F46)</f>
        <v>150</v>
      </c>
      <c r="G50" s="84" t="s">
        <v>16</v>
      </c>
      <c r="H50" s="85">
        <f>SUM(H43:H49)</f>
        <v>520</v>
      </c>
      <c r="I50" s="84" t="s">
        <v>16</v>
      </c>
      <c r="J50" s="86">
        <f>SUM(J43:J49)</f>
        <v>549.6</v>
      </c>
      <c r="K50" s="120">
        <f>SUM(K43:K46)</f>
        <v>0</v>
      </c>
      <c r="L50" s="84" t="s">
        <v>16</v>
      </c>
      <c r="M50" s="87">
        <f>SUM(M43:M49)</f>
        <v>0</v>
      </c>
      <c r="N50" s="88" t="s">
        <v>16</v>
      </c>
      <c r="O50" s="86">
        <f>SUM(O43:O49)</f>
        <v>0</v>
      </c>
      <c r="P50" s="118">
        <f>SUM(P43:P49)</f>
        <v>549.6</v>
      </c>
      <c r="Q50" s="112"/>
      <c r="R50" s="89">
        <f>SUM(R43:R49)</f>
        <v>21972.768</v>
      </c>
      <c r="T50" s="10"/>
    </row>
    <row r="51" spans="1:20" ht="24.75" thickBot="1" x14ac:dyDescent="0.25">
      <c r="A51" s="24" t="s">
        <v>9</v>
      </c>
      <c r="B51" s="42" t="s">
        <v>35</v>
      </c>
      <c r="C51" s="43" t="s">
        <v>32</v>
      </c>
      <c r="D51" s="36" t="s">
        <v>10</v>
      </c>
      <c r="E51" s="73">
        <f>3*3</f>
        <v>9</v>
      </c>
      <c r="F51" s="73">
        <v>9</v>
      </c>
      <c r="G51" s="74">
        <v>2</v>
      </c>
      <c r="H51" s="75">
        <f t="shared" ref="H51:H59" si="38">SUM(F51*G51)</f>
        <v>18</v>
      </c>
      <c r="I51" s="129">
        <v>1</v>
      </c>
      <c r="J51" s="77">
        <f t="shared" ref="J51:J59" si="39">SUM(H51*I51)</f>
        <v>18</v>
      </c>
      <c r="K51" s="78">
        <v>0</v>
      </c>
      <c r="L51" s="79">
        <v>2</v>
      </c>
      <c r="M51" s="78">
        <f t="shared" si="25"/>
        <v>0</v>
      </c>
      <c r="N51" s="79">
        <v>0.08</v>
      </c>
      <c r="O51" s="80">
        <f t="shared" si="26"/>
        <v>0</v>
      </c>
      <c r="P51" s="116">
        <f t="shared" ref="P51:P59" si="40">SUM(J51, O51)</f>
        <v>18</v>
      </c>
      <c r="Q51" s="107">
        <v>54.08</v>
      </c>
      <c r="R51" s="81">
        <f t="shared" ref="R51:R59" si="41">P51*Q51</f>
        <v>973.43999999999994</v>
      </c>
      <c r="S51" s="162"/>
      <c r="T51" s="10"/>
    </row>
    <row r="52" spans="1:20" ht="24.75" thickBot="1" x14ac:dyDescent="0.25">
      <c r="A52" s="22"/>
      <c r="B52" s="42" t="s">
        <v>35</v>
      </c>
      <c r="C52" s="43" t="s">
        <v>33</v>
      </c>
      <c r="D52" s="36" t="s">
        <v>10</v>
      </c>
      <c r="E52" s="73">
        <f>3*2</f>
        <v>6</v>
      </c>
      <c r="F52" s="73">
        <v>6</v>
      </c>
      <c r="G52" s="74">
        <v>3</v>
      </c>
      <c r="H52" s="75">
        <f t="shared" si="38"/>
        <v>18</v>
      </c>
      <c r="I52" s="129">
        <v>1</v>
      </c>
      <c r="J52" s="77">
        <f t="shared" si="39"/>
        <v>18</v>
      </c>
      <c r="K52" s="78">
        <v>0</v>
      </c>
      <c r="L52" s="79">
        <v>3</v>
      </c>
      <c r="M52" s="78">
        <f t="shared" si="25"/>
        <v>0</v>
      </c>
      <c r="N52" s="79">
        <v>0.08</v>
      </c>
      <c r="O52" s="80">
        <f t="shared" si="26"/>
        <v>0</v>
      </c>
      <c r="P52" s="116">
        <f t="shared" si="40"/>
        <v>18</v>
      </c>
      <c r="Q52" s="107">
        <v>54.08</v>
      </c>
      <c r="R52" s="81">
        <f t="shared" si="41"/>
        <v>973.43999999999994</v>
      </c>
      <c r="S52" s="162"/>
      <c r="T52" s="10"/>
    </row>
    <row r="53" spans="1:20" s="136" customFormat="1" ht="36.75" customHeight="1" thickBot="1" x14ac:dyDescent="0.25">
      <c r="A53" s="124"/>
      <c r="B53" s="42" t="s">
        <v>35</v>
      </c>
      <c r="C53" s="43" t="s">
        <v>32</v>
      </c>
      <c r="D53" s="125" t="s">
        <v>11</v>
      </c>
      <c r="E53" s="126">
        <f>4*3</f>
        <v>12</v>
      </c>
      <c r="F53" s="126">
        <v>12</v>
      </c>
      <c r="G53" s="127">
        <v>2</v>
      </c>
      <c r="H53" s="128">
        <f>SUM(F53*G53)</f>
        <v>24</v>
      </c>
      <c r="I53" s="129">
        <v>1</v>
      </c>
      <c r="J53" s="130">
        <f>SUM(H53*I53)</f>
        <v>24</v>
      </c>
      <c r="K53" s="131">
        <v>0</v>
      </c>
      <c r="L53" s="132">
        <v>2</v>
      </c>
      <c r="M53" s="131">
        <f t="shared" si="25"/>
        <v>0</v>
      </c>
      <c r="N53" s="132">
        <v>0.08</v>
      </c>
      <c r="O53" s="100">
        <f t="shared" si="26"/>
        <v>0</v>
      </c>
      <c r="P53" s="133">
        <f t="shared" si="40"/>
        <v>24</v>
      </c>
      <c r="Q53" s="134">
        <v>32.56</v>
      </c>
      <c r="R53" s="135">
        <f t="shared" si="41"/>
        <v>781.44</v>
      </c>
      <c r="T53" s="10"/>
    </row>
    <row r="54" spans="1:20" s="136" customFormat="1" ht="36.75" thickBot="1" x14ac:dyDescent="0.25">
      <c r="A54" s="124"/>
      <c r="B54" s="42" t="s">
        <v>35</v>
      </c>
      <c r="C54" s="43" t="s">
        <v>33</v>
      </c>
      <c r="D54" s="125" t="s">
        <v>11</v>
      </c>
      <c r="E54" s="126">
        <f>4*2</f>
        <v>8</v>
      </c>
      <c r="F54" s="126">
        <v>8</v>
      </c>
      <c r="G54" s="127">
        <v>3</v>
      </c>
      <c r="H54" s="128">
        <f>SUM(F54*G54)</f>
        <v>24</v>
      </c>
      <c r="I54" s="129">
        <v>1</v>
      </c>
      <c r="J54" s="130">
        <f>SUM(H54*I54)</f>
        <v>24</v>
      </c>
      <c r="K54" s="131">
        <v>0</v>
      </c>
      <c r="L54" s="132">
        <v>3</v>
      </c>
      <c r="M54" s="131">
        <f t="shared" ref="M54" si="42">SUM(K54*L54)</f>
        <v>0</v>
      </c>
      <c r="N54" s="132">
        <v>0.08</v>
      </c>
      <c r="O54" s="100">
        <f t="shared" ref="O54:O56" si="43">SUM(M54*N54)</f>
        <v>0</v>
      </c>
      <c r="P54" s="133">
        <f>SUM(J54, O54)</f>
        <v>24</v>
      </c>
      <c r="Q54" s="134">
        <v>32.56</v>
      </c>
      <c r="R54" s="135">
        <f t="shared" si="41"/>
        <v>781.44</v>
      </c>
      <c r="T54" s="10"/>
    </row>
    <row r="55" spans="1:20" s="136" customFormat="1" ht="24.75" thickBot="1" x14ac:dyDescent="0.25">
      <c r="A55" s="124"/>
      <c r="B55" s="42" t="s">
        <v>35</v>
      </c>
      <c r="C55" s="43" t="s">
        <v>32</v>
      </c>
      <c r="D55" s="125" t="s">
        <v>39</v>
      </c>
      <c r="E55" s="137">
        <f>6*3</f>
        <v>18</v>
      </c>
      <c r="F55" s="137">
        <v>18</v>
      </c>
      <c r="G55" s="132">
        <v>2</v>
      </c>
      <c r="H55" s="128">
        <f>SUM(F55*G55)</f>
        <v>36</v>
      </c>
      <c r="I55" s="129">
        <v>1</v>
      </c>
      <c r="J55" s="130">
        <f>SUM(H55*I55)</f>
        <v>36</v>
      </c>
      <c r="K55" s="138">
        <v>0</v>
      </c>
      <c r="L55" s="139">
        <v>2</v>
      </c>
      <c r="M55" s="131">
        <f t="shared" si="25"/>
        <v>0</v>
      </c>
      <c r="N55" s="132">
        <v>0.08</v>
      </c>
      <c r="O55" s="100">
        <f t="shared" si="43"/>
        <v>0</v>
      </c>
      <c r="P55" s="133">
        <f>SUM(J55, O55)</f>
        <v>36</v>
      </c>
      <c r="Q55" s="140">
        <v>21.78</v>
      </c>
      <c r="R55" s="135">
        <f t="shared" si="41"/>
        <v>784.08</v>
      </c>
      <c r="T55" s="10"/>
    </row>
    <row r="56" spans="1:20" s="136" customFormat="1" ht="24.75" thickBot="1" x14ac:dyDescent="0.25">
      <c r="A56" s="124"/>
      <c r="B56" s="42" t="s">
        <v>35</v>
      </c>
      <c r="C56" s="43" t="s">
        <v>33</v>
      </c>
      <c r="D56" s="141" t="s">
        <v>39</v>
      </c>
      <c r="E56" s="137">
        <f>6*2</f>
        <v>12</v>
      </c>
      <c r="F56" s="137">
        <v>12</v>
      </c>
      <c r="G56" s="132">
        <v>3</v>
      </c>
      <c r="H56" s="128">
        <f>SUM(F56*G56)</f>
        <v>36</v>
      </c>
      <c r="I56" s="129">
        <v>1</v>
      </c>
      <c r="J56" s="130">
        <f>SUM(H56*I56)</f>
        <v>36</v>
      </c>
      <c r="K56" s="138">
        <v>0</v>
      </c>
      <c r="L56" s="139">
        <v>3</v>
      </c>
      <c r="M56" s="131">
        <f t="shared" si="25"/>
        <v>0</v>
      </c>
      <c r="N56" s="132">
        <v>0.08</v>
      </c>
      <c r="O56" s="100">
        <f t="shared" si="43"/>
        <v>0</v>
      </c>
      <c r="P56" s="133">
        <f>SUM(J56, O56)</f>
        <v>36</v>
      </c>
      <c r="Q56" s="140">
        <v>21.78</v>
      </c>
      <c r="R56" s="135">
        <f t="shared" si="41"/>
        <v>784.08</v>
      </c>
      <c r="T56" s="10"/>
    </row>
    <row r="57" spans="1:20" ht="24.75" thickBot="1" x14ac:dyDescent="0.25">
      <c r="A57" s="22"/>
      <c r="B57" s="47" t="s">
        <v>82</v>
      </c>
      <c r="C57" s="23" t="s">
        <v>34</v>
      </c>
      <c r="D57" s="121" t="s">
        <v>10</v>
      </c>
      <c r="E57" s="122">
        <v>5</v>
      </c>
      <c r="F57" s="122">
        <v>5</v>
      </c>
      <c r="G57" s="64">
        <v>24</v>
      </c>
      <c r="H57" s="63">
        <f t="shared" si="38"/>
        <v>120</v>
      </c>
      <c r="I57" s="67">
        <v>0.83</v>
      </c>
      <c r="J57" s="123">
        <f t="shared" si="39"/>
        <v>99.6</v>
      </c>
      <c r="K57" s="55">
        <v>0</v>
      </c>
      <c r="L57" s="56">
        <v>1</v>
      </c>
      <c r="M57" s="55">
        <f>SUM(K57*L57)</f>
        <v>0</v>
      </c>
      <c r="N57" s="56">
        <v>0.08</v>
      </c>
      <c r="O57" s="57">
        <f>SUM(M57*N57)</f>
        <v>0</v>
      </c>
      <c r="P57" s="115">
        <f t="shared" si="40"/>
        <v>99.6</v>
      </c>
      <c r="Q57" s="106">
        <v>54.08</v>
      </c>
      <c r="R57" s="59">
        <f t="shared" si="41"/>
        <v>5386.3679999999995</v>
      </c>
      <c r="T57" s="10"/>
    </row>
    <row r="58" spans="1:20" ht="36.75" thickBot="1" x14ac:dyDescent="0.25">
      <c r="A58" s="22"/>
      <c r="B58" s="46" t="s">
        <v>31</v>
      </c>
      <c r="C58" s="46" t="s">
        <v>42</v>
      </c>
      <c r="D58" s="46" t="s">
        <v>11</v>
      </c>
      <c r="E58" s="101">
        <v>5</v>
      </c>
      <c r="F58" s="101">
        <v>5</v>
      </c>
      <c r="G58" s="79">
        <v>1</v>
      </c>
      <c r="H58" s="98">
        <f t="shared" ref="H58" si="44">SUM(F58*G58)</f>
        <v>5</v>
      </c>
      <c r="I58" s="100">
        <v>2.25</v>
      </c>
      <c r="J58" s="102">
        <f t="shared" ref="J58" si="45">SUM(H58*I58)</f>
        <v>11.25</v>
      </c>
      <c r="K58" s="78">
        <v>0</v>
      </c>
      <c r="L58" s="79">
        <v>1</v>
      </c>
      <c r="M58" s="78">
        <f>SUM(K58*L58)</f>
        <v>0</v>
      </c>
      <c r="N58" s="79">
        <v>0.08</v>
      </c>
      <c r="O58" s="80">
        <f>SUM(M58*N58)</f>
        <v>0</v>
      </c>
      <c r="P58" s="116">
        <f t="shared" ref="P58" si="46">SUM(J58, O58)</f>
        <v>11.25</v>
      </c>
      <c r="Q58" s="107">
        <v>32.56</v>
      </c>
      <c r="R58" s="81">
        <f t="shared" ref="R58" si="47">P58*Q58</f>
        <v>366.3</v>
      </c>
      <c r="T58" s="10"/>
    </row>
    <row r="59" spans="1:20" ht="36.75" thickBot="1" x14ac:dyDescent="0.25">
      <c r="A59" s="22"/>
      <c r="B59" s="46" t="s">
        <v>43</v>
      </c>
      <c r="C59" s="46" t="s">
        <v>44</v>
      </c>
      <c r="D59" s="46" t="s">
        <v>11</v>
      </c>
      <c r="E59" s="101">
        <v>5</v>
      </c>
      <c r="F59" s="101">
        <v>5</v>
      </c>
      <c r="G59" s="79">
        <v>7</v>
      </c>
      <c r="H59" s="98">
        <f t="shared" si="38"/>
        <v>35</v>
      </c>
      <c r="I59" s="100">
        <v>2.25</v>
      </c>
      <c r="J59" s="102">
        <f t="shared" si="39"/>
        <v>78.75</v>
      </c>
      <c r="K59" s="78">
        <v>0</v>
      </c>
      <c r="L59" s="79">
        <v>1</v>
      </c>
      <c r="M59" s="78">
        <f>SUM(K59*L59)</f>
        <v>0</v>
      </c>
      <c r="N59" s="79">
        <v>0.08</v>
      </c>
      <c r="O59" s="80">
        <f>SUM(M59*N59)</f>
        <v>0</v>
      </c>
      <c r="P59" s="116">
        <f t="shared" si="40"/>
        <v>78.75</v>
      </c>
      <c r="Q59" s="107">
        <v>32.56</v>
      </c>
      <c r="R59" s="81">
        <f t="shared" si="41"/>
        <v>2564.1000000000004</v>
      </c>
      <c r="T59" s="10"/>
    </row>
    <row r="60" spans="1:20" s="4" customFormat="1" ht="15" customHeight="1" thickBot="1" x14ac:dyDescent="0.25">
      <c r="A60" s="168" t="s">
        <v>12</v>
      </c>
      <c r="B60" s="169"/>
      <c r="C60" s="169"/>
      <c r="D60" s="31"/>
      <c r="E60" s="83">
        <f>SUM(E51:E56)</f>
        <v>65</v>
      </c>
      <c r="F60" s="83">
        <f>SUM(F51:F56)</f>
        <v>65</v>
      </c>
      <c r="G60" s="84" t="s">
        <v>16</v>
      </c>
      <c r="H60" s="85">
        <f>SUM(H51:H59)</f>
        <v>316</v>
      </c>
      <c r="I60" s="84" t="s">
        <v>16</v>
      </c>
      <c r="J60" s="86">
        <f>SUM(J51:J59)</f>
        <v>345.6</v>
      </c>
      <c r="K60" s="83">
        <f>SUM(K51:K56)</f>
        <v>0</v>
      </c>
      <c r="L60" s="84" t="s">
        <v>16</v>
      </c>
      <c r="M60" s="87">
        <f>SUM(M51:M59)</f>
        <v>0</v>
      </c>
      <c r="N60" s="88" t="s">
        <v>16</v>
      </c>
      <c r="O60" s="86">
        <f>SUM(O51:O59)</f>
        <v>0</v>
      </c>
      <c r="P60" s="118">
        <f>SUM(P51:P59)</f>
        <v>345.6</v>
      </c>
      <c r="Q60" s="113"/>
      <c r="R60" s="89">
        <f>SUM(R51:R59)</f>
        <v>13394.688</v>
      </c>
      <c r="T60" s="10"/>
    </row>
    <row r="61" spans="1:20" s="4" customFormat="1" ht="15" customHeight="1" thickBot="1" x14ac:dyDescent="0.25">
      <c r="A61" s="32" t="s">
        <v>13</v>
      </c>
      <c r="B61" s="33"/>
      <c r="C61" s="34"/>
      <c r="D61" s="35"/>
      <c r="E61" s="90">
        <f>SUM(E42+E50+E60)</f>
        <v>28411</v>
      </c>
      <c r="F61" s="91">
        <f>SUM(F42+F50+F60)</f>
        <v>26723.4</v>
      </c>
      <c r="G61" s="92">
        <f>SUM(H61/F61)</f>
        <v>5.4490964473083512</v>
      </c>
      <c r="H61" s="91">
        <f>SUM(H42+H50+H60)</f>
        <v>145618.38399999999</v>
      </c>
      <c r="I61" s="92">
        <f>SUM(J61/H61)</f>
        <v>0.20441180833321151</v>
      </c>
      <c r="J61" s="93">
        <f>SUM(J42+J50+J60)</f>
        <v>29766.117199999993</v>
      </c>
      <c r="K61" s="94">
        <f>SUM(K42+K50+K60)</f>
        <v>1687.6000000000001</v>
      </c>
      <c r="L61" s="92">
        <f>SUM(M61/K61)</f>
        <v>21.78422374970372</v>
      </c>
      <c r="M61" s="94">
        <f>SUM(M42+M50+M60)</f>
        <v>36763.056000000004</v>
      </c>
      <c r="N61" s="95">
        <f>SUM(O61/M61)</f>
        <v>5.0538584169934071E-2</v>
      </c>
      <c r="O61" s="96">
        <f>SUM(O42+O50+O60)</f>
        <v>1857.9528</v>
      </c>
      <c r="P61" s="119">
        <f>SUM(P42, P50, P60)+1</f>
        <v>31625.069999999992</v>
      </c>
      <c r="Q61" s="114"/>
      <c r="R61" s="97">
        <f>SUM(R42+R50+R60)</f>
        <v>258151.76350000003</v>
      </c>
    </row>
    <row r="62" spans="1:20" ht="82.5" customHeight="1" x14ac:dyDescent="0.2">
      <c r="A62" s="167" t="s">
        <v>84</v>
      </c>
      <c r="B62" s="167"/>
      <c r="C62" s="167"/>
      <c r="D62" s="167"/>
      <c r="E62" s="167"/>
      <c r="F62" s="167"/>
      <c r="G62" s="167"/>
      <c r="H62" s="167"/>
      <c r="I62" s="167"/>
      <c r="J62" s="167"/>
      <c r="K62" s="167"/>
      <c r="L62" s="167"/>
      <c r="M62" s="167"/>
      <c r="N62" s="167"/>
      <c r="O62" s="167"/>
      <c r="P62" s="167"/>
      <c r="Q62" s="167"/>
      <c r="R62" s="167"/>
      <c r="S62" s="136"/>
    </row>
    <row r="64" spans="1:20" x14ac:dyDescent="0.2">
      <c r="S64" s="145"/>
    </row>
    <row r="66" spans="4:8" x14ac:dyDescent="0.2">
      <c r="D66" s="17" t="s">
        <v>17</v>
      </c>
      <c r="H66" s="15">
        <f>SUM(F61+K61)</f>
        <v>28411</v>
      </c>
    </row>
    <row r="67" spans="4:8" x14ac:dyDescent="0.2">
      <c r="D67" s="17" t="s">
        <v>18</v>
      </c>
      <c r="H67" s="10">
        <f>SUM(H61+M61)</f>
        <v>182381.44</v>
      </c>
    </row>
    <row r="68" spans="4:8" x14ac:dyDescent="0.2">
      <c r="D68" s="17" t="s">
        <v>19</v>
      </c>
      <c r="H68" s="11">
        <f>SUM(J61+O61)</f>
        <v>31624.069999999992</v>
      </c>
    </row>
  </sheetData>
  <mergeCells count="22">
    <mergeCell ref="S51:S52"/>
    <mergeCell ref="F3:J3"/>
    <mergeCell ref="K3:O3"/>
    <mergeCell ref="A43:A49"/>
    <mergeCell ref="A62:R62"/>
    <mergeCell ref="A60:C60"/>
    <mergeCell ref="D40:D41"/>
    <mergeCell ref="E40:E41"/>
    <mergeCell ref="D38:D39"/>
    <mergeCell ref="E38:E39"/>
    <mergeCell ref="P3:R3"/>
    <mergeCell ref="D6:D11"/>
    <mergeCell ref="E6:E11"/>
    <mergeCell ref="A5:A41"/>
    <mergeCell ref="D26:D31"/>
    <mergeCell ref="E26:E31"/>
    <mergeCell ref="D32:D37"/>
    <mergeCell ref="E32:E37"/>
    <mergeCell ref="D19:D25"/>
    <mergeCell ref="E19:E25"/>
    <mergeCell ref="D12:D18"/>
    <mergeCell ref="E12:E18"/>
  </mergeCells>
  <pageMargins left="0.45" right="0.45" top="0.75" bottom="0.75" header="0.3" footer="0.3"/>
  <pageSetup scale="40" orientation="landscape" r:id="rId1"/>
  <ignoredErrors>
    <ignoredError sqref="H46 M54 O5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CS</cp:lastModifiedBy>
  <cp:lastPrinted>2015-08-10T17:02:31Z</cp:lastPrinted>
  <dcterms:created xsi:type="dcterms:W3CDTF">2014-11-27T00:00:56Z</dcterms:created>
  <dcterms:modified xsi:type="dcterms:W3CDTF">2015-08-18T22:59:30Z</dcterms:modified>
</cp:coreProperties>
</file>