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erwin\Desktop\ICRAS Packages\1684\"/>
    </mc:Choice>
  </mc:AlternateContent>
  <bookViews>
    <workbookView xWindow="0" yWindow="0" windowWidth="11490" windowHeight="4755" tabRatio="915"/>
  </bookViews>
  <sheets>
    <sheet name="Table 2 Cert" sheetId="1" r:id="rId1"/>
    <sheet name="Table 3 Evap" sheetId="8" r:id="rId2"/>
    <sheet name="Table 4 Alt Fuel -BegUL" sheetId="25" r:id="rId3"/>
    <sheet name="Table 5 Alt fuel - Int Age" sheetId="24" r:id="rId4"/>
    <sheet name="Table 6 ABT" sheetId="3" r:id="rId5"/>
    <sheet name="Table 7 PLT" sheetId="7" r:id="rId6"/>
    <sheet name="Table 8 In-use" sheetId="31" r:id="rId7"/>
    <sheet name="Table 9 SEAs" sheetId="5" r:id="rId8"/>
    <sheet name="Table 10 TPEM Equip" sheetId="20" r:id="rId9"/>
    <sheet name="Table 11 TPEM Eng" sheetId="21" r:id="rId10"/>
    <sheet name="Table 12 Special Compliance" sheetId="27" r:id="rId11"/>
    <sheet name="Table 13 Respon Labor Rates" sheetId="17" r:id="rId12"/>
    <sheet name="Table 14 -Agency Burden" sheetId="26" r:id="rId13"/>
    <sheet name="Table 15 # of Reports" sheetId="32" r:id="rId14"/>
    <sheet name="Table 16 Respondent Tally" sheetId="30" r:id="rId15"/>
  </sheets>
  <definedNames>
    <definedName name="LABOR" localSheetId="13">#REF!</definedName>
    <definedName name="LABOR" localSheetId="2">#REF!</definedName>
    <definedName name="LABOR" localSheetId="3">#REF!</definedName>
    <definedName name="LABOR">#REF!</definedName>
    <definedName name="_xlnm.Print_Area">#N/A</definedName>
  </definedNames>
  <calcPr calcId="152511"/>
</workbook>
</file>

<file path=xl/calcChain.xml><?xml version="1.0" encoding="utf-8"?>
<calcChain xmlns="http://schemas.openxmlformats.org/spreadsheetml/2006/main">
  <c r="E24" i="30" l="1"/>
  <c r="D16" i="32"/>
  <c r="E9" i="32"/>
  <c r="E8" i="32"/>
  <c r="E7" i="32"/>
  <c r="E6" i="32"/>
  <c r="E15" i="32"/>
  <c r="F14" i="27" l="1"/>
  <c r="E14" i="32"/>
  <c r="E13" i="32"/>
  <c r="L23" i="24" l="1"/>
  <c r="H12" i="31"/>
  <c r="C12" i="32"/>
  <c r="E12" i="32" s="1"/>
  <c r="F12" i="32" s="1"/>
  <c r="B11" i="32"/>
  <c r="C11" i="32"/>
  <c r="E11" i="32" s="1"/>
  <c r="F11" i="32" s="1"/>
  <c r="C5" i="32"/>
  <c r="I7" i="26"/>
  <c r="I8" i="26"/>
  <c r="H8" i="26"/>
  <c r="H7" i="26"/>
  <c r="C16" i="32" l="1"/>
  <c r="E5" i="32"/>
  <c r="G23" i="24"/>
  <c r="M19" i="24"/>
  <c r="B15" i="32"/>
  <c r="F15" i="32" s="1"/>
  <c r="B14" i="32"/>
  <c r="F14" i="32" s="1"/>
  <c r="B13" i="32"/>
  <c r="F13" i="32" s="1"/>
  <c r="B10" i="32"/>
  <c r="C10" i="32" s="1"/>
  <c r="E10" i="32" s="1"/>
  <c r="F10" i="32" s="1"/>
  <c r="B9" i="32"/>
  <c r="F9" i="32" s="1"/>
  <c r="B8" i="32"/>
  <c r="F8" i="32" s="1"/>
  <c r="B7" i="32"/>
  <c r="F7" i="32" s="1"/>
  <c r="B6" i="32"/>
  <c r="F6" i="32" s="1"/>
  <c r="B5" i="32"/>
  <c r="B16" i="32" s="1"/>
  <c r="L16" i="7"/>
  <c r="I16" i="7"/>
  <c r="O16" i="7" s="1"/>
  <c r="I15" i="7"/>
  <c r="J16" i="7"/>
  <c r="P16" i="7"/>
  <c r="L15" i="8"/>
  <c r="C16" i="31"/>
  <c r="J18" i="5"/>
  <c r="L18" i="5"/>
  <c r="N9" i="5"/>
  <c r="O9" i="5"/>
  <c r="N10" i="5"/>
  <c r="O10" i="5"/>
  <c r="N11" i="5"/>
  <c r="O11" i="5"/>
  <c r="N12" i="5"/>
  <c r="O12" i="5"/>
  <c r="N13" i="5"/>
  <c r="O13" i="5"/>
  <c r="N14" i="5"/>
  <c r="O14" i="5"/>
  <c r="N15" i="5"/>
  <c r="O15" i="5"/>
  <c r="N16" i="5"/>
  <c r="O16" i="5"/>
  <c r="O8" i="5"/>
  <c r="N8" i="5"/>
  <c r="L13" i="5"/>
  <c r="K14" i="20"/>
  <c r="L14" i="20"/>
  <c r="F14" i="20"/>
  <c r="G14" i="20"/>
  <c r="G12" i="31"/>
  <c r="H11" i="31"/>
  <c r="G11" i="31"/>
  <c r="C13" i="31"/>
  <c r="D12" i="31"/>
  <c r="D13" i="31" s="1"/>
  <c r="H8" i="31"/>
  <c r="H9" i="31"/>
  <c r="H10" i="31"/>
  <c r="H7" i="31"/>
  <c r="F18" i="27"/>
  <c r="J16" i="27"/>
  <c r="K15" i="27"/>
  <c r="L15" i="27"/>
  <c r="F15" i="27"/>
  <c r="G15" i="27"/>
  <c r="E16" i="32" l="1"/>
  <c r="F17" i="32" s="1"/>
  <c r="F5" i="32"/>
  <c r="F19" i="20"/>
  <c r="K19" i="20" s="1"/>
  <c r="G19" i="20"/>
  <c r="L19" i="20" s="1"/>
  <c r="F18" i="20"/>
  <c r="K18" i="20" s="1"/>
  <c r="G18" i="20"/>
  <c r="L18" i="20" s="1"/>
  <c r="F17" i="20"/>
  <c r="K17" i="20" s="1"/>
  <c r="G17" i="20"/>
  <c r="L17" i="20" s="1"/>
  <c r="F10" i="27" l="1"/>
  <c r="K10" i="27" s="1"/>
  <c r="F11" i="27"/>
  <c r="K11" i="27" s="1"/>
  <c r="F12" i="27"/>
  <c r="K12" i="27" s="1"/>
  <c r="F13" i="27"/>
  <c r="K13" i="27" s="1"/>
  <c r="F16" i="27"/>
  <c r="F9" i="27"/>
  <c r="G10" i="27"/>
  <c r="L10" i="27" s="1"/>
  <c r="G11" i="27"/>
  <c r="L11" i="27" s="1"/>
  <c r="G12" i="27"/>
  <c r="L12" i="27" s="1"/>
  <c r="G13" i="27"/>
  <c r="L13" i="27" s="1"/>
  <c r="G14" i="27"/>
  <c r="G16" i="27"/>
  <c r="G9" i="27"/>
  <c r="L9" i="27" s="1"/>
  <c r="G12" i="21"/>
  <c r="G11" i="21"/>
  <c r="G10" i="21"/>
  <c r="G9" i="21"/>
  <c r="G9" i="20"/>
  <c r="G10" i="20"/>
  <c r="G11" i="20"/>
  <c r="G12" i="20"/>
  <c r="G13" i="20"/>
  <c r="G15" i="20"/>
  <c r="G16" i="20"/>
  <c r="G20" i="20"/>
  <c r="J8" i="5"/>
  <c r="G9" i="25"/>
  <c r="E13" i="31" l="1"/>
  <c r="H14" i="31"/>
  <c r="G14" i="31"/>
  <c r="C17" i="31" l="1"/>
  <c r="F8" i="3"/>
  <c r="F9" i="3"/>
  <c r="F10" i="3"/>
  <c r="F11" i="3"/>
  <c r="F12" i="3"/>
  <c r="K8" i="3"/>
  <c r="G8" i="3"/>
  <c r="F14" i="3" l="1"/>
  <c r="I19" i="27"/>
  <c r="I18" i="27"/>
  <c r="H18" i="27"/>
  <c r="E18" i="27"/>
  <c r="D18" i="27"/>
  <c r="C18" i="27"/>
  <c r="B18" i="27"/>
  <c r="L16" i="27"/>
  <c r="K16" i="27"/>
  <c r="L14" i="27"/>
  <c r="K14" i="27"/>
  <c r="G19" i="27"/>
  <c r="L19" i="27" l="1"/>
  <c r="G18" i="27"/>
  <c r="K9" i="27"/>
  <c r="K19" i="27" s="1"/>
  <c r="D13" i="26" l="1"/>
  <c r="D12" i="26"/>
  <c r="D11" i="26"/>
  <c r="D10" i="26"/>
  <c r="D9" i="26"/>
  <c r="I9" i="26" s="1"/>
  <c r="B21" i="25" l="1"/>
  <c r="F13" i="26"/>
  <c r="H13" i="26" s="1"/>
  <c r="I13" i="26"/>
  <c r="H12" i="26"/>
  <c r="F12" i="26"/>
  <c r="I12" i="26"/>
  <c r="I23" i="26"/>
  <c r="I10" i="26"/>
  <c r="I11" i="26"/>
  <c r="D7" i="26"/>
  <c r="I24" i="26" l="1"/>
  <c r="E15" i="26"/>
  <c r="F11" i="26"/>
  <c r="H11" i="26" s="1"/>
  <c r="F10" i="26"/>
  <c r="H10" i="26" s="1"/>
  <c r="F9" i="26"/>
  <c r="H9" i="26" s="1"/>
  <c r="F8" i="26"/>
  <c r="F7" i="26"/>
  <c r="H15" i="26" l="1"/>
  <c r="I15" i="26" l="1"/>
  <c r="I26" i="26" s="1"/>
  <c r="L16" i="1" l="1"/>
  <c r="K15" i="1"/>
  <c r="K14" i="1"/>
  <c r="J9" i="5"/>
  <c r="J10" i="5"/>
  <c r="J11" i="5"/>
  <c r="J12" i="5"/>
  <c r="J13" i="5"/>
  <c r="J14" i="5"/>
  <c r="J15" i="5"/>
  <c r="J16" i="5"/>
  <c r="H26" i="1"/>
  <c r="I26" i="1"/>
  <c r="O26" i="1" s="1"/>
  <c r="N26" i="1"/>
  <c r="N25" i="1" l="1"/>
  <c r="O25" i="1"/>
  <c r="H25" i="1"/>
  <c r="I25" i="1"/>
  <c r="I11" i="24"/>
  <c r="I11" i="25"/>
  <c r="J9" i="7"/>
  <c r="J10" i="7"/>
  <c r="J11" i="7"/>
  <c r="J12" i="7"/>
  <c r="J13" i="7"/>
  <c r="J14" i="7"/>
  <c r="J15" i="7"/>
  <c r="J17" i="7"/>
  <c r="J18" i="7"/>
  <c r="J8" i="7"/>
  <c r="G9" i="3"/>
  <c r="G10" i="3"/>
  <c r="G11" i="3"/>
  <c r="G12" i="3"/>
  <c r="I9" i="8"/>
  <c r="I10" i="8"/>
  <c r="I11" i="8"/>
  <c r="I12" i="8"/>
  <c r="I13" i="8"/>
  <c r="I14" i="8"/>
  <c r="I15" i="8"/>
  <c r="I16" i="8"/>
  <c r="I8" i="8"/>
  <c r="H21" i="25"/>
  <c r="E21" i="25"/>
  <c r="D21" i="25"/>
  <c r="C21" i="25"/>
  <c r="G20" i="25"/>
  <c r="M20" i="25" s="1"/>
  <c r="F20" i="25"/>
  <c r="L20" i="25" s="1"/>
  <c r="G19" i="25"/>
  <c r="M19" i="25" s="1"/>
  <c r="F19" i="25"/>
  <c r="L19" i="25" s="1"/>
  <c r="G18" i="25"/>
  <c r="M18" i="25" s="1"/>
  <c r="F18" i="25"/>
  <c r="L18" i="25" s="1"/>
  <c r="G17" i="25"/>
  <c r="M17" i="25" s="1"/>
  <c r="F17" i="25"/>
  <c r="L17" i="25" s="1"/>
  <c r="G16" i="25"/>
  <c r="M16" i="25" s="1"/>
  <c r="F16" i="25"/>
  <c r="L16" i="25" s="1"/>
  <c r="G15" i="25"/>
  <c r="M15" i="25" s="1"/>
  <c r="F15" i="25"/>
  <c r="L15" i="25" s="1"/>
  <c r="G14" i="25"/>
  <c r="M14" i="25" s="1"/>
  <c r="F14" i="25"/>
  <c r="L14" i="25" s="1"/>
  <c r="I13" i="25"/>
  <c r="G13" i="25"/>
  <c r="F13" i="25"/>
  <c r="L13" i="25" s="1"/>
  <c r="I12" i="25"/>
  <c r="G12" i="25"/>
  <c r="F12" i="25"/>
  <c r="L12" i="25" s="1"/>
  <c r="G11" i="25"/>
  <c r="F11" i="25"/>
  <c r="L11" i="25" s="1"/>
  <c r="G10" i="25"/>
  <c r="M10" i="25" s="1"/>
  <c r="F10" i="25"/>
  <c r="L10" i="25" s="1"/>
  <c r="F9" i="25"/>
  <c r="B22" i="24"/>
  <c r="H23" i="24"/>
  <c r="H22" i="24"/>
  <c r="E22" i="24"/>
  <c r="D22" i="24"/>
  <c r="C22" i="24"/>
  <c r="G21" i="24"/>
  <c r="F21" i="24"/>
  <c r="L21" i="24" s="1"/>
  <c r="G20" i="24"/>
  <c r="M20" i="24" s="1"/>
  <c r="F20" i="24"/>
  <c r="L20" i="24" s="1"/>
  <c r="G19" i="24"/>
  <c r="F19" i="24"/>
  <c r="L19" i="24" s="1"/>
  <c r="G18" i="24"/>
  <c r="F18" i="24"/>
  <c r="L18" i="24" s="1"/>
  <c r="G17" i="24"/>
  <c r="M17" i="24" s="1"/>
  <c r="F17" i="24"/>
  <c r="L17" i="24" s="1"/>
  <c r="G16" i="24"/>
  <c r="M16" i="24" s="1"/>
  <c r="F16" i="24"/>
  <c r="L16" i="24" s="1"/>
  <c r="G15" i="24"/>
  <c r="M15" i="24" s="1"/>
  <c r="F15" i="24"/>
  <c r="L15" i="24" s="1"/>
  <c r="G14" i="24"/>
  <c r="F14" i="24"/>
  <c r="L14" i="24" s="1"/>
  <c r="I13" i="24"/>
  <c r="G13" i="24"/>
  <c r="F13" i="24"/>
  <c r="L13" i="24" s="1"/>
  <c r="I12" i="24"/>
  <c r="G12" i="24"/>
  <c r="M12" i="24" s="1"/>
  <c r="F12" i="24"/>
  <c r="L12" i="24" s="1"/>
  <c r="G11" i="24"/>
  <c r="F11" i="24"/>
  <c r="L11" i="24" s="1"/>
  <c r="G10" i="24"/>
  <c r="M10" i="24" s="1"/>
  <c r="F10" i="24"/>
  <c r="L10" i="24" s="1"/>
  <c r="G9" i="24"/>
  <c r="F9" i="24"/>
  <c r="L27" i="1"/>
  <c r="L24" i="1"/>
  <c r="L23" i="1"/>
  <c r="L22" i="1"/>
  <c r="L20" i="1"/>
  <c r="L18" i="1"/>
  <c r="L11" i="1"/>
  <c r="L17" i="1"/>
  <c r="G22" i="25" l="1"/>
  <c r="I22" i="25"/>
  <c r="M12" i="25"/>
  <c r="M9" i="25"/>
  <c r="F21" i="25"/>
  <c r="M11" i="25"/>
  <c r="M13" i="25"/>
  <c r="G21" i="25"/>
  <c r="I21" i="25"/>
  <c r="L9" i="25"/>
  <c r="L22" i="25" s="1"/>
  <c r="M9" i="24"/>
  <c r="M14" i="24"/>
  <c r="M18" i="24"/>
  <c r="M21" i="24"/>
  <c r="F22" i="24"/>
  <c r="M11" i="24"/>
  <c r="M13" i="24"/>
  <c r="L9" i="24"/>
  <c r="G22" i="24"/>
  <c r="I22" i="24"/>
  <c r="I23" i="24"/>
  <c r="I15" i="21"/>
  <c r="I14" i="21"/>
  <c r="H14" i="21"/>
  <c r="E14" i="21"/>
  <c r="D14" i="21"/>
  <c r="C14" i="21"/>
  <c r="B14" i="21"/>
  <c r="L12" i="21"/>
  <c r="F12" i="21"/>
  <c r="K12" i="21" s="1"/>
  <c r="L11" i="21"/>
  <c r="F11" i="21"/>
  <c r="K11" i="21" s="1"/>
  <c r="L10" i="21"/>
  <c r="F10" i="21"/>
  <c r="K10" i="21" s="1"/>
  <c r="G14" i="21"/>
  <c r="F9" i="21"/>
  <c r="F14" i="21" s="1"/>
  <c r="H22" i="20"/>
  <c r="E22" i="20"/>
  <c r="D22" i="20"/>
  <c r="C22" i="20"/>
  <c r="B22" i="20"/>
  <c r="L20" i="20"/>
  <c r="F20" i="20"/>
  <c r="L16" i="20"/>
  <c r="F16" i="20"/>
  <c r="K16" i="20" s="1"/>
  <c r="G22" i="20"/>
  <c r="F15" i="20"/>
  <c r="K15" i="20" s="1"/>
  <c r="I23" i="20"/>
  <c r="F13" i="20"/>
  <c r="K13" i="20" s="1"/>
  <c r="L12" i="20"/>
  <c r="F12" i="20"/>
  <c r="K12" i="20" s="1"/>
  <c r="L11" i="20"/>
  <c r="F11" i="20"/>
  <c r="K11" i="20" s="1"/>
  <c r="L10" i="20"/>
  <c r="F10" i="20"/>
  <c r="K10" i="20" s="1"/>
  <c r="G23" i="20"/>
  <c r="F9" i="20"/>
  <c r="F22" i="20" s="1"/>
  <c r="M22" i="25" l="1"/>
  <c r="M23" i="24"/>
  <c r="K9" i="21"/>
  <c r="K15" i="21" s="1"/>
  <c r="G15" i="21"/>
  <c r="L9" i="21"/>
  <c r="L15" i="21" s="1"/>
  <c r="K9" i="20"/>
  <c r="K23" i="20" s="1"/>
  <c r="L13" i="20"/>
  <c r="L15" i="20"/>
  <c r="I22" i="20"/>
  <c r="L9" i="20"/>
  <c r="N23" i="1"/>
  <c r="O23" i="1"/>
  <c r="L23" i="20" l="1"/>
  <c r="O15" i="1"/>
  <c r="N15" i="1"/>
  <c r="I9" i="1"/>
  <c r="I10" i="1"/>
  <c r="I11" i="1"/>
  <c r="I16" i="1"/>
  <c r="I17" i="1"/>
  <c r="I18" i="1"/>
  <c r="I24" i="1"/>
  <c r="I27" i="1"/>
  <c r="I8" i="1"/>
  <c r="D5" i="17" l="1"/>
  <c r="D6" i="17"/>
  <c r="D7" i="17"/>
  <c r="D8" i="17"/>
  <c r="D9" i="17"/>
  <c r="D10" i="17"/>
  <c r="D11" i="17"/>
  <c r="I8" i="5"/>
  <c r="I9" i="5"/>
  <c r="I10" i="5"/>
  <c r="I11" i="5"/>
  <c r="I12" i="5"/>
  <c r="I13" i="5"/>
  <c r="I14" i="5"/>
  <c r="I15" i="5"/>
  <c r="I16" i="5"/>
  <c r="I8" i="7"/>
  <c r="O8" i="7" s="1"/>
  <c r="P8" i="7"/>
  <c r="I9" i="7"/>
  <c r="O9" i="7"/>
  <c r="P9" i="7"/>
  <c r="I10" i="7"/>
  <c r="O10" i="7" s="1"/>
  <c r="P10" i="7"/>
  <c r="I11" i="7"/>
  <c r="O11" i="7"/>
  <c r="P11" i="7"/>
  <c r="I12" i="7"/>
  <c r="O12" i="7" s="1"/>
  <c r="P12" i="7"/>
  <c r="I13" i="7"/>
  <c r="O13" i="7"/>
  <c r="P13" i="7"/>
  <c r="I14" i="7"/>
  <c r="O14" i="7" s="1"/>
  <c r="P14" i="7"/>
  <c r="O15" i="7"/>
  <c r="P15" i="7"/>
  <c r="I17" i="7"/>
  <c r="O17" i="7" s="1"/>
  <c r="P17" i="7"/>
  <c r="I18" i="7"/>
  <c r="O18" i="7"/>
  <c r="P18" i="7"/>
  <c r="J19" i="7"/>
  <c r="K19" i="7"/>
  <c r="J20" i="7"/>
  <c r="L20" i="7"/>
  <c r="L8" i="3"/>
  <c r="K9" i="3"/>
  <c r="L9" i="3"/>
  <c r="K10" i="3"/>
  <c r="L10" i="3"/>
  <c r="K11" i="3"/>
  <c r="L11" i="3"/>
  <c r="K12" i="3"/>
  <c r="L12" i="3"/>
  <c r="B14" i="3"/>
  <c r="C14" i="3"/>
  <c r="D14" i="3"/>
  <c r="E14" i="3"/>
  <c r="G14" i="3"/>
  <c r="H14" i="3"/>
  <c r="I14" i="3"/>
  <c r="I15" i="3"/>
  <c r="H8" i="8"/>
  <c r="N8" i="8" s="1"/>
  <c r="O8" i="8"/>
  <c r="H9" i="8"/>
  <c r="N9" i="8"/>
  <c r="O9" i="8"/>
  <c r="H10" i="8"/>
  <c r="N10" i="8" s="1"/>
  <c r="O10" i="8"/>
  <c r="H11" i="8"/>
  <c r="N11" i="8"/>
  <c r="O11" i="8"/>
  <c r="H12" i="8"/>
  <c r="N12" i="8" s="1"/>
  <c r="O12" i="8"/>
  <c r="H13" i="8"/>
  <c r="N13" i="8"/>
  <c r="O13" i="8"/>
  <c r="H14" i="8"/>
  <c r="N14" i="8" s="1"/>
  <c r="O14" i="8"/>
  <c r="H15" i="8"/>
  <c r="N15" i="8"/>
  <c r="O15" i="8"/>
  <c r="H16" i="8"/>
  <c r="N16" i="8" s="1"/>
  <c r="O16" i="8"/>
  <c r="B17" i="8"/>
  <c r="C17" i="8"/>
  <c r="D17" i="8"/>
  <c r="E17" i="8"/>
  <c r="F17" i="8"/>
  <c r="G17" i="8"/>
  <c r="H17" i="8"/>
  <c r="J17" i="8"/>
  <c r="K18" i="8"/>
  <c r="H8" i="1"/>
  <c r="N8" i="1" s="1"/>
  <c r="O8" i="1"/>
  <c r="H9" i="1"/>
  <c r="N9" i="1" s="1"/>
  <c r="O9" i="1"/>
  <c r="H10" i="1"/>
  <c r="N10" i="1" s="1"/>
  <c r="O10" i="1"/>
  <c r="H11" i="1"/>
  <c r="N11" i="1" s="1"/>
  <c r="O11" i="1"/>
  <c r="N12" i="1"/>
  <c r="O12" i="1"/>
  <c r="N14" i="1"/>
  <c r="O14" i="1"/>
  <c r="H16" i="1"/>
  <c r="N16" i="1" s="1"/>
  <c r="O16" i="1"/>
  <c r="H17" i="1"/>
  <c r="N17" i="1" s="1"/>
  <c r="O17" i="1"/>
  <c r="H18" i="1"/>
  <c r="N18" i="1" s="1"/>
  <c r="O18" i="1"/>
  <c r="N20" i="1"/>
  <c r="O20" i="1"/>
  <c r="N21" i="1"/>
  <c r="O21" i="1"/>
  <c r="N22" i="1"/>
  <c r="O22" i="1"/>
  <c r="H24" i="1"/>
  <c r="N24" i="1" s="1"/>
  <c r="O24" i="1"/>
  <c r="H27" i="1"/>
  <c r="N27" i="1" s="1"/>
  <c r="O27" i="1"/>
  <c r="B29" i="1"/>
  <c r="C29" i="1"/>
  <c r="D29" i="1"/>
  <c r="E29" i="1"/>
  <c r="F29" i="1"/>
  <c r="G29" i="1"/>
  <c r="I29" i="1"/>
  <c r="J29" i="1"/>
  <c r="I30" i="1"/>
  <c r="K30" i="1"/>
  <c r="N30" i="1" l="1"/>
  <c r="P20" i="7"/>
  <c r="N18" i="5"/>
  <c r="O18" i="5"/>
  <c r="O20" i="7"/>
  <c r="G15" i="3"/>
  <c r="K15" i="3"/>
  <c r="L15" i="3"/>
  <c r="O18" i="8"/>
  <c r="I17" i="8"/>
  <c r="N18" i="8"/>
  <c r="I18" i="8"/>
  <c r="H29" i="1"/>
  <c r="O30" i="1"/>
</calcChain>
</file>

<file path=xl/sharedStrings.xml><?xml version="1.0" encoding="utf-8"?>
<sst xmlns="http://schemas.openxmlformats.org/spreadsheetml/2006/main" count="578" uniqueCount="267">
  <si>
    <t>Total hours and cost</t>
  </si>
  <si>
    <t>Information Collection              Activity</t>
  </si>
  <si>
    <t>Labor       Cost/yr</t>
  </si>
  <si>
    <t>O &amp; M      Cost(1)</t>
  </si>
  <si>
    <t>Total        hr/yr</t>
  </si>
  <si>
    <t>Total               Cost/yr</t>
  </si>
  <si>
    <t>Preparing and supporting running changes</t>
  </si>
  <si>
    <t>Store, file and maintain records</t>
  </si>
  <si>
    <t>Total per respondent</t>
  </si>
  <si>
    <t>varies</t>
  </si>
  <si>
    <t>Total for the industry</t>
  </si>
  <si>
    <t>N/A</t>
  </si>
  <si>
    <t>Respon.     hr/yr</t>
  </si>
  <si>
    <t>Labor            Cost/yr</t>
  </si>
  <si>
    <t>Capital Startup      Cost</t>
  </si>
  <si>
    <t>Developing deterioration factors</t>
  </si>
  <si>
    <t>Preparing and submitting "carry over" applications</t>
  </si>
  <si>
    <t>Preparing and submitting evap "carry over" applications</t>
  </si>
  <si>
    <t>Develop and submit end-of-year-report</t>
  </si>
  <si>
    <t>Develop and submit final reports</t>
  </si>
  <si>
    <t>Total</t>
  </si>
  <si>
    <t>Analyze data to determine compliance</t>
  </si>
  <si>
    <t>Preparing and submitting certification application and fee filing form</t>
  </si>
  <si>
    <t>Labor Cost/yr</t>
  </si>
  <si>
    <t>Frequency (2)</t>
  </si>
  <si>
    <t>Total hr/yr</t>
  </si>
  <si>
    <t>Total Cost/yr</t>
  </si>
  <si>
    <t>Review of instructions and regulations</t>
  </si>
  <si>
    <t>Training</t>
  </si>
  <si>
    <t>Projecting testing needs and planning test schedules</t>
  </si>
  <si>
    <t>Engine selection and transport</t>
  </si>
  <si>
    <t xml:space="preserve">Engine inspection </t>
  </si>
  <si>
    <t>Preparing and submitting  report</t>
  </si>
  <si>
    <t>Total per manufacturer</t>
  </si>
  <si>
    <t>Provide Pre-audit information</t>
  </si>
  <si>
    <t>Plan activities</t>
  </si>
  <si>
    <t xml:space="preserve">Data entry and analysis </t>
  </si>
  <si>
    <t xml:space="preserve">Preparing and submitting  report </t>
  </si>
  <si>
    <t>Recordkeeping (2)</t>
  </si>
  <si>
    <t>Gather Information regarding point of first retail sale (2)</t>
  </si>
  <si>
    <t>Testing In-house</t>
  </si>
  <si>
    <t>Testing Contract Out</t>
  </si>
  <si>
    <t>Total               cost/yr</t>
  </si>
  <si>
    <t>Data entry and analysis</t>
  </si>
  <si>
    <t>Other tasks (test equipment calibration, engine repair, etc.)</t>
  </si>
  <si>
    <t>Recordkeeping</t>
  </si>
  <si>
    <t>Fee (4)</t>
  </si>
  <si>
    <t>Testing (In-house) (3)</t>
  </si>
  <si>
    <t>Occupation</t>
  </si>
  <si>
    <t>SES-1</t>
  </si>
  <si>
    <t>SOC Code Number</t>
  </si>
  <si>
    <t>Mean Hourly Rate (BLS)</t>
  </si>
  <si>
    <t>Mechanical  Engineers</t>
  </si>
  <si>
    <t>17-2141</t>
  </si>
  <si>
    <t>Engineering Managers</t>
  </si>
  <si>
    <t>Lawyers</t>
  </si>
  <si>
    <t>23-1011</t>
  </si>
  <si>
    <t>Secretaries, Except Legal, Medical and Executive</t>
  </si>
  <si>
    <t>43-6014</t>
  </si>
  <si>
    <t>Mechanical Engineering Technicians</t>
  </si>
  <si>
    <t>17-3027</t>
  </si>
  <si>
    <t>Engine and Other Machine Assemblers</t>
  </si>
  <si>
    <t>51-2031</t>
  </si>
  <si>
    <t>Truck Drivers, Heavy and Tractor-Trailer</t>
  </si>
  <si>
    <t>53-3032</t>
  </si>
  <si>
    <t xml:space="preserve"> 11-9041</t>
  </si>
  <si>
    <t>O&amp;M      Cost(1)</t>
  </si>
  <si>
    <t>Applications/      Respondent (2)</t>
  </si>
  <si>
    <t>Number of Respondents</t>
  </si>
  <si>
    <t>(1) See section 6(b)ii for details.</t>
  </si>
  <si>
    <t>(3) See section 6(b)(ii) for details.</t>
  </si>
  <si>
    <t>(2) See section 6(d) for details.</t>
  </si>
  <si>
    <t>Applications/Respondent (2)</t>
  </si>
  <si>
    <t>Hours and Cost per Application</t>
  </si>
  <si>
    <t>Total Hours and Cost</t>
  </si>
  <si>
    <t>(4) See section 6(b)(ii) for details.</t>
  </si>
  <si>
    <t>(2)  Numbers reflect one activity done four times a year.</t>
  </si>
  <si>
    <t>Respondents hr/yr</t>
  </si>
  <si>
    <t>O&amp;M Cost (1)</t>
  </si>
  <si>
    <t>O&amp;M      Cost (1)</t>
  </si>
  <si>
    <t>(2) 1 = one time tasks; 4 = tasks carried out quarterly; other # = number of tests.  Refer to Section 6(d) for further detail.</t>
  </si>
  <si>
    <t>Number of Respondents (3)</t>
  </si>
  <si>
    <t>Developing engine family groups</t>
  </si>
  <si>
    <t>Testing/Gathering emission data on test engines</t>
  </si>
  <si>
    <t>Laboratory maintenance(1)</t>
  </si>
  <si>
    <t>Review of regulations and guidance documents</t>
  </si>
  <si>
    <t>Preparing and submitting evaporative certification application and fee filing form</t>
  </si>
  <si>
    <t>Pre-certification activities/Submit information  in certification application</t>
  </si>
  <si>
    <t>Application Fee (3)</t>
  </si>
  <si>
    <t>NRCI</t>
  </si>
  <si>
    <t>Marine CI</t>
  </si>
  <si>
    <t>HD California only</t>
  </si>
  <si>
    <t>Testing Costs, annualized(1)</t>
  </si>
  <si>
    <t>HD and NR</t>
  </si>
  <si>
    <t>Marine CI 
(Class 1 &amp; 2)</t>
  </si>
  <si>
    <t xml:space="preserve"> </t>
  </si>
  <si>
    <t>Transition Program for Equipment Manufacturers</t>
  </si>
  <si>
    <t>Annual Burden and Cost for Equipment Manufacturers</t>
  </si>
  <si>
    <t>Respon.    hr/yr</t>
  </si>
  <si>
    <t>Labor       cost/yr</t>
  </si>
  <si>
    <t>O &amp; M Cost (1)</t>
  </si>
  <si>
    <t>Number of Respon.</t>
  </si>
  <si>
    <t>Review of regulations, contact EPA for guidance</t>
  </si>
  <si>
    <t>Select an allowance</t>
  </si>
  <si>
    <t>Notify EPA of participation</t>
  </si>
  <si>
    <t>Prepare and send letter to engine manufacturer</t>
  </si>
  <si>
    <t>Post Bonds (foreign OEMs only)</t>
  </si>
  <si>
    <t>Keep track of exempt equipment/gather information</t>
  </si>
  <si>
    <t>Develop and submit final calculations</t>
  </si>
  <si>
    <t>(1)  See section 6(b)(ii) for details.</t>
  </si>
  <si>
    <t>Annual Burden and Cost for Engine Manufacturers</t>
  </si>
  <si>
    <t>Keep track of engines to be used in exempt equipment/gather information</t>
  </si>
  <si>
    <t>Develop and submit reports</t>
  </si>
  <si>
    <t>PLT</t>
  </si>
  <si>
    <t xml:space="preserve">HD Federal </t>
  </si>
  <si>
    <t>Intermediate Age Engine Conversions</t>
  </si>
  <si>
    <t>Total Hours and Cost for industry</t>
  </si>
  <si>
    <t>Engineer</t>
  </si>
  <si>
    <t>Manager</t>
  </si>
  <si>
    <t>Legal</t>
  </si>
  <si>
    <t>Clerical</t>
  </si>
  <si>
    <t>Applications/      Respondent</t>
  </si>
  <si>
    <t>Test Cost (annualized)</t>
  </si>
  <si>
    <t>Engine Shipping Costs</t>
  </si>
  <si>
    <t>Lodging for employees to oversee testing</t>
  </si>
  <si>
    <t>Cost of three OBD Scan Tools (annualized)</t>
  </si>
  <si>
    <t>Cost of OBD Scan Tool software updates (annualized)</t>
  </si>
  <si>
    <t>Scan OBD and print results</t>
  </si>
  <si>
    <t>Total per response (eng family)</t>
  </si>
  <si>
    <t>Fee</t>
  </si>
  <si>
    <t>Engineer $82.45/hr</t>
  </si>
  <si>
    <t>Manager $123.48/hr</t>
  </si>
  <si>
    <t>Legal $161.91/hr</t>
  </si>
  <si>
    <t>Test Cell Operator $52.67/hr</t>
  </si>
  <si>
    <t>Transportation 39.1/hr</t>
  </si>
  <si>
    <t>Clerical $39.06/hr</t>
  </si>
  <si>
    <t>Beginning-of-Useful-Life</t>
  </si>
  <si>
    <t>OBD Compliance Demo</t>
  </si>
  <si>
    <t>Alternative Fuel Conversions</t>
  </si>
  <si>
    <t>Transportation 39.10/hr</t>
  </si>
  <si>
    <t>Assembler $37.72/hr</t>
  </si>
  <si>
    <t>(1) Includes photocopying, postage expenses, phone calls, and testing costs, annualized.  See section 6(b)(iii) for details.</t>
  </si>
  <si>
    <t>(1) Includes photocopying, postage expenses, phone calls, and testing costs, annualized.    See section 6(b)(iii) for details.</t>
  </si>
  <si>
    <t>Answer questions related to EPA's confirmatory testing</t>
  </si>
  <si>
    <t>Preparing and Submitting Annual Production Report</t>
  </si>
  <si>
    <t>Table 4- Respondent Burden and Cost</t>
  </si>
  <si>
    <t>Table 5 - Respondent Burden and Cost</t>
  </si>
  <si>
    <t>Employee</t>
  </si>
  <si>
    <t>Hours and Labor Cost</t>
  </si>
  <si>
    <t>Level</t>
  </si>
  <si>
    <t>Rate Increase by 1.6</t>
  </si>
  <si>
    <t>Number of Employees</t>
  </si>
  <si>
    <t>% of Time</t>
  </si>
  <si>
    <t>Total  hr/yr</t>
  </si>
  <si>
    <t>Total Labor cost/yr</t>
  </si>
  <si>
    <t>SEE Support</t>
  </si>
  <si>
    <t>O&amp;M Costs</t>
  </si>
  <si>
    <t xml:space="preserve">Contract Support - Compliance </t>
  </si>
  <si>
    <t xml:space="preserve">Contract Support -Certification </t>
  </si>
  <si>
    <t xml:space="preserve">TOTAL: </t>
  </si>
  <si>
    <t>Total Annual Labor Cost</t>
  </si>
  <si>
    <t>Full time hours per employee</t>
  </si>
  <si>
    <t>Compliance Assistance</t>
  </si>
  <si>
    <t>In-use Testing</t>
  </si>
  <si>
    <t>Confirmatory Testing</t>
  </si>
  <si>
    <t>GS 9 through 13</t>
  </si>
  <si>
    <t>GS 13/10</t>
  </si>
  <si>
    <t>SES-2</t>
  </si>
  <si>
    <t>Division Director</t>
  </si>
  <si>
    <t>Office Director</t>
  </si>
  <si>
    <t>Other Staff</t>
  </si>
  <si>
    <t>IT/Contract Support</t>
  </si>
  <si>
    <t>GS-11/5</t>
  </si>
  <si>
    <t>OGC &amp; OECA (lawyers)</t>
  </si>
  <si>
    <t>O&amp;M Total:</t>
  </si>
  <si>
    <t>DECC Full-time Employees</t>
  </si>
  <si>
    <t>Special Compliance Provisions</t>
  </si>
  <si>
    <t>Prepare and submit general exemptions (e.g. testing, display)</t>
  </si>
  <si>
    <t>Keep track of exempt engines</t>
  </si>
  <si>
    <t>Table 2 - Annual Respondent Burden and Cost</t>
  </si>
  <si>
    <t>Testing/Gathering emission data on test engines (3)</t>
  </si>
  <si>
    <t>(3) EPA estimates that currently, manufacturers applying for evaporative certification have their testing mostly done in in-house laboratories.</t>
  </si>
  <si>
    <t>Table 3 -Annual Respondent Burden and Cost</t>
  </si>
  <si>
    <t>Average, Trading and Banking Program</t>
  </si>
  <si>
    <t>Table 6 - Annual Respondent Burden and Cost</t>
  </si>
  <si>
    <t>Table 7 - Annual Respondent Burden and Cost</t>
  </si>
  <si>
    <t>Marine CI Categories 1 &amp; 2 Production Line Testing Program</t>
  </si>
  <si>
    <t>Table 8 - Annual Respondent Burden and Cost</t>
  </si>
  <si>
    <t xml:space="preserve"> Selective Enforcement Auditing Program</t>
  </si>
  <si>
    <t>Hours and Cost per Response</t>
  </si>
  <si>
    <t>Table 9 - Annual Respondent Burden and Cost</t>
  </si>
  <si>
    <t>Table 11 - Annual Respondent Burden and Cost</t>
  </si>
  <si>
    <t>Table 12 - Annual Respondent Burden and Cost</t>
  </si>
  <si>
    <t>CI Evaporative Emissions Certification Program</t>
  </si>
  <si>
    <t xml:space="preserve">CI Exhaust Emissions Certification Program </t>
  </si>
  <si>
    <t>Manufacturer-run In-use Testing Program for HD Engines/Vehicles</t>
  </si>
  <si>
    <t>Cost per vehicle</t>
  </si>
  <si>
    <t>Vendor Cost</t>
  </si>
  <si>
    <t>Vehicle manufacturer hours</t>
  </si>
  <si>
    <t xml:space="preserve">60 hours per vehicle for recruiting, inspection, testing, data review and submission, test follow up, etc </t>
  </si>
  <si>
    <t>Vehicle manufacturer staff travel</t>
  </si>
  <si>
    <t xml:space="preserve">Inspection and testing - varies by locaction, this is an estimate of an average </t>
  </si>
  <si>
    <t>Customer incentive</t>
  </si>
  <si>
    <t>For customer to use during equipment installation</t>
  </si>
  <si>
    <t>Recordkeeping for vessels</t>
  </si>
  <si>
    <t>Program</t>
  </si>
  <si>
    <t>Table Number (Section 6(a))</t>
  </si>
  <si>
    <t>Number of Activities</t>
  </si>
  <si>
    <t>Total Hours Per Year</t>
  </si>
  <si>
    <t>Total Labor Cost Per Year</t>
  </si>
  <si>
    <t>Total Annual Capital Costs</t>
  </si>
  <si>
    <t>Total Annual O&amp;M Costs</t>
  </si>
  <si>
    <t>Total Costs</t>
  </si>
  <si>
    <t>HD Alternative Fuel Conversions (Beginning of UL)</t>
  </si>
  <si>
    <t>HD Alternative Fuel Conversions (Intermediate UL)</t>
  </si>
  <si>
    <t>AB&amp;T</t>
  </si>
  <si>
    <t>TPEM – equipment manufacturers</t>
  </si>
  <si>
    <t>TPEM -  engine manufacturers</t>
  </si>
  <si>
    <t>Amend NSEs</t>
  </si>
  <si>
    <t>Prepare and submit National Security Exemptions (NSEs), annualized</t>
  </si>
  <si>
    <t>Prepare Hardship Relief Requests (annualized)</t>
  </si>
  <si>
    <t>Meet with EPA staff to answer questions (annualized)</t>
  </si>
  <si>
    <t>Gather additional Data (annualized)</t>
  </si>
  <si>
    <t>Information Collection Activity (all annualized)</t>
  </si>
  <si>
    <t>Develop and submit reports,if applicable</t>
  </si>
  <si>
    <t>Prepare and submit exemptions-related FOIA requests</t>
  </si>
  <si>
    <t>Hour and Cost per Response</t>
  </si>
  <si>
    <t>Burden Hours per Vehicle Tested</t>
  </si>
  <si>
    <t>Cost for 5 vehicles (minimum for in-use each test)</t>
  </si>
  <si>
    <t>Voluntary payment to customers lending their vehicles for testing.</t>
  </si>
  <si>
    <t xml:space="preserve">Vendor supplies PEMS equipment, all expendables; Installs, operate, removes equipment. Maintains and calibrates equipment, analyzes data, supplies draft EPA submittal files, a test summary, and all backup QA/QC documentation. Travel time and travel costs included. </t>
  </si>
  <si>
    <t>Replacement vehicle rental</t>
  </si>
  <si>
    <t>Information Collection</t>
  </si>
  <si>
    <t>Activity</t>
  </si>
  <si>
    <t>Description</t>
  </si>
  <si>
    <t>Apply for Bond Waivers</t>
  </si>
  <si>
    <t>Number of Respondents (2)</t>
  </si>
  <si>
    <t>(2) EPA estimates it will audit 2 manufacturers annually over the next 3 years.  It might, however, request pre-audit information from several manufacturers each year during the selection process.</t>
  </si>
  <si>
    <t>Evaporative Cert</t>
  </si>
  <si>
    <t>In-use</t>
  </si>
  <si>
    <t>SEAs</t>
  </si>
  <si>
    <t>Varies</t>
  </si>
  <si>
    <t>Certification</t>
  </si>
  <si>
    <t xml:space="preserve">Table 14 - Annual Agency Burden and Cost </t>
  </si>
  <si>
    <t>Table 10 - Annual Respondent Burden and Cost</t>
  </si>
  <si>
    <t>Table 13 Labor Costs Estimates</t>
  </si>
  <si>
    <t>Table 15 - Respondent Tally</t>
  </si>
  <si>
    <t>Testing (Contract out) (3)</t>
  </si>
  <si>
    <t>Total Labor Cost:</t>
  </si>
  <si>
    <t>Total O&amp;M Costs:</t>
  </si>
  <si>
    <t>Preparing and submitting certification application</t>
  </si>
  <si>
    <t xml:space="preserve">Burden &amp; Labor Total: </t>
  </si>
  <si>
    <t>Travel</t>
  </si>
  <si>
    <t>Number of Respondents who must submit reports</t>
  </si>
  <si>
    <t>TPEM IC</t>
  </si>
  <si>
    <t>Initial Application/Notification/Report</t>
  </si>
  <si>
    <t>Running Changes/Amendments/Follow up Reports</t>
  </si>
  <si>
    <t>Total number of Reports Per Program</t>
  </si>
  <si>
    <t>Number of Reports per Respondent</t>
  </si>
  <si>
    <t>Total:</t>
  </si>
  <si>
    <t>Overall number of reports per respondent:</t>
  </si>
  <si>
    <t>Certification IC</t>
  </si>
  <si>
    <t>Alternative Fuel Conversions IC</t>
  </si>
  <si>
    <t>Special Compliance Provisions IC</t>
  </si>
  <si>
    <t>Overall Total:</t>
  </si>
  <si>
    <t>Total Burden per Respondent:</t>
  </si>
  <si>
    <t>Table 16 - Respondent Tally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</si>
</sst>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.0"/>
    <numFmt numFmtId="170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name val="Arial"/>
    </font>
    <font>
      <sz val="8"/>
      <name val="Arial"/>
    </font>
    <font>
      <sz val="12"/>
      <name val="Arial"/>
    </font>
    <font>
      <b/>
      <sz val="8"/>
      <name val="Arial"/>
      <family val="2"/>
    </font>
    <font>
      <sz val="10"/>
      <color rgb="FF000000"/>
      <name val="Tahoma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9"/>
      </patternFill>
    </fill>
    <fill>
      <patternFill patternType="solid">
        <fgColor rgb="FFE6E6E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>
      <alignment vertical="top"/>
    </xf>
    <xf numFmtId="44" fontId="12" fillId="0" borderId="0" applyFont="0" applyFill="0" applyBorder="0" applyAlignment="0" applyProtection="0"/>
    <xf numFmtId="0" fontId="11" fillId="0" borderId="0">
      <alignment vertical="top"/>
    </xf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</cellStyleXfs>
  <cellXfs count="406">
    <xf numFmtId="0" fontId="0" fillId="0" borderId="0" xfId="0"/>
    <xf numFmtId="0" fontId="0" fillId="0" borderId="0" xfId="0" applyBorder="1"/>
    <xf numFmtId="0" fontId="4" fillId="0" borderId="0" xfId="0" applyNumberFormat="1" applyFont="1" applyAlignment="1"/>
    <xf numFmtId="4" fontId="4" fillId="0" borderId="0" xfId="0" applyNumberFormat="1" applyFont="1" applyAlignment="1"/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8" fillId="0" borderId="0" xfId="0" applyFont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8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165" fontId="4" fillId="0" borderId="0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8" fillId="0" borderId="1" xfId="0" applyFont="1" applyBorder="1"/>
    <xf numFmtId="166" fontId="8" fillId="0" borderId="1" xfId="0" applyNumberFormat="1" applyFont="1" applyBorder="1"/>
    <xf numFmtId="166" fontId="8" fillId="0" borderId="2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8" fillId="0" borderId="1" xfId="0" applyNumberFormat="1" applyFont="1" applyFill="1" applyBorder="1"/>
    <xf numFmtId="166" fontId="8" fillId="0" borderId="1" xfId="0" applyNumberFormat="1" applyFont="1" applyFill="1" applyBorder="1"/>
    <xf numFmtId="0" fontId="8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vertical="top" wrapText="1"/>
    </xf>
    <xf numFmtId="0" fontId="8" fillId="0" borderId="1" xfId="0" applyFont="1" applyFill="1" applyBorder="1"/>
    <xf numFmtId="0" fontId="8" fillId="0" borderId="1" xfId="0" applyNumberFormat="1" applyFont="1" applyFill="1" applyBorder="1" applyAlignment="1">
      <alignment vertical="top" wrapText="1"/>
    </xf>
    <xf numFmtId="0" fontId="4" fillId="0" borderId="0" xfId="0" applyNumberFormat="1" applyFont="1" applyFill="1" applyAlignment="1"/>
    <xf numFmtId="3" fontId="6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Alignment="1"/>
    <xf numFmtId="0" fontId="0" fillId="0" borderId="0" xfId="0" applyFill="1"/>
    <xf numFmtId="0" fontId="4" fillId="0" borderId="0" xfId="0" quotePrefix="1" applyFont="1" applyFill="1"/>
    <xf numFmtId="0" fontId="3" fillId="0" borderId="0" xfId="0" applyFont="1" applyFill="1"/>
    <xf numFmtId="0" fontId="8" fillId="0" borderId="6" xfId="0" applyNumberFormat="1" applyFont="1" applyBorder="1" applyAlignment="1">
      <alignment horizontal="left" vertical="top" wrapText="1"/>
    </xf>
    <xf numFmtId="3" fontId="8" fillId="0" borderId="6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0" fontId="4" fillId="0" borderId="0" xfId="0" applyFont="1" applyBorder="1"/>
    <xf numFmtId="0" fontId="8" fillId="0" borderId="4" xfId="0" applyNumberFormat="1" applyFont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/>
    </xf>
    <xf numFmtId="166" fontId="8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5" fillId="0" borderId="7" xfId="0" applyNumberFormat="1" applyFont="1" applyFill="1" applyBorder="1" applyAlignment="1">
      <alignment vertical="top"/>
    </xf>
    <xf numFmtId="0" fontId="5" fillId="0" borderId="8" xfId="0" applyNumberFormat="1" applyFont="1" applyFill="1" applyBorder="1" applyAlignment="1">
      <alignment vertical="top"/>
    </xf>
    <xf numFmtId="4" fontId="6" fillId="0" borderId="0" xfId="0" applyNumberFormat="1" applyFont="1" applyFill="1" applyAlignment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3" fontId="8" fillId="0" borderId="4" xfId="0" applyNumberFormat="1" applyFont="1" applyBorder="1" applyAlignment="1">
      <alignment horizontal="right"/>
    </xf>
    <xf numFmtId="0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/>
    <xf numFmtId="0" fontId="3" fillId="0" borderId="0" xfId="1"/>
    <xf numFmtId="0" fontId="3" fillId="0" borderId="1" xfId="1" applyBorder="1" applyAlignment="1">
      <alignment wrapText="1"/>
    </xf>
    <xf numFmtId="0" fontId="3" fillId="0" borderId="0" xfId="1" applyBorder="1" applyAlignment="1">
      <alignment horizontal="center" wrapText="1"/>
    </xf>
    <xf numFmtId="0" fontId="3" fillId="0" borderId="1" xfId="1" applyBorder="1"/>
    <xf numFmtId="167" fontId="0" fillId="0" borderId="1" xfId="2" applyNumberFormat="1" applyFont="1" applyBorder="1"/>
    <xf numFmtId="0" fontId="0" fillId="0" borderId="1" xfId="3" applyNumberFormat="1" applyFont="1" applyBorder="1" applyAlignment="1">
      <alignment horizontal="right"/>
    </xf>
    <xf numFmtId="167" fontId="3" fillId="0" borderId="2" xfId="2" applyNumberFormat="1" applyFont="1" applyBorder="1" applyAlignment="1">
      <alignment horizontal="right"/>
    </xf>
    <xf numFmtId="167" fontId="0" fillId="0" borderId="1" xfId="2" applyNumberFormat="1" applyFont="1" applyBorder="1" applyAlignment="1">
      <alignment horizontal="right"/>
    </xf>
    <xf numFmtId="167" fontId="0" fillId="0" borderId="1" xfId="2" applyNumberFormat="1" applyFont="1" applyFill="1" applyBorder="1" applyAlignment="1">
      <alignment horizontal="right"/>
    </xf>
    <xf numFmtId="0" fontId="3" fillId="0" borderId="13" xfId="1" applyBorder="1" applyAlignment="1">
      <alignment wrapText="1"/>
    </xf>
    <xf numFmtId="0" fontId="0" fillId="0" borderId="13" xfId="3" applyNumberFormat="1" applyFont="1" applyBorder="1" applyAlignment="1">
      <alignment horizontal="right"/>
    </xf>
    <xf numFmtId="0" fontId="0" fillId="0" borderId="13" xfId="3" applyNumberFormat="1" applyFont="1" applyFill="1" applyBorder="1" applyAlignment="1">
      <alignment horizontal="right"/>
    </xf>
    <xf numFmtId="167" fontId="0" fillId="0" borderId="13" xfId="2" applyNumberFormat="1" applyFont="1" applyFill="1" applyBorder="1" applyAlignment="1">
      <alignment horizontal="right"/>
    </xf>
    <xf numFmtId="167" fontId="0" fillId="0" borderId="13" xfId="2" applyNumberFormat="1" applyFont="1" applyBorder="1" applyAlignment="1">
      <alignment horizontal="right"/>
    </xf>
    <xf numFmtId="0" fontId="3" fillId="0" borderId="0" xfId="1" applyAlignment="1">
      <alignment wrapText="1"/>
    </xf>
    <xf numFmtId="168" fontId="0" fillId="0" borderId="0" xfId="3" applyNumberFormat="1" applyFont="1" applyAlignment="1">
      <alignment horizontal="right"/>
    </xf>
    <xf numFmtId="167" fontId="0" fillId="0" borderId="0" xfId="2" applyNumberFormat="1" applyFont="1" applyAlignment="1">
      <alignment horizontal="right"/>
    </xf>
    <xf numFmtId="167" fontId="0" fillId="0" borderId="0" xfId="2" applyNumberFormat="1" applyFont="1"/>
    <xf numFmtId="0" fontId="3" fillId="0" borderId="0" xfId="1" applyFill="1" applyBorder="1" applyAlignment="1">
      <alignment wrapText="1"/>
    </xf>
    <xf numFmtId="0" fontId="3" fillId="0" borderId="0" xfId="1" applyBorder="1"/>
    <xf numFmtId="0" fontId="3" fillId="0" borderId="0" xfId="1" applyNumberFormat="1" applyFont="1" applyAlignment="1"/>
    <xf numFmtId="0" fontId="10" fillId="0" borderId="0" xfId="1" applyNumberFormat="1" applyFont="1" applyAlignment="1"/>
    <xf numFmtId="4" fontId="10" fillId="0" borderId="0" xfId="1" applyNumberFormat="1" applyFont="1"/>
    <xf numFmtId="3" fontId="10" fillId="0" borderId="0" xfId="1" applyNumberFormat="1" applyFont="1" applyAlignment="1">
      <alignment horizontal="right" vertical="top"/>
    </xf>
    <xf numFmtId="3" fontId="10" fillId="0" borderId="0" xfId="1" applyNumberFormat="1" applyFont="1" applyAlignment="1">
      <alignment horizontal="right"/>
    </xf>
    <xf numFmtId="0" fontId="3" fillId="0" borderId="0" xfId="1" applyAlignment="1">
      <alignment horizontal="center" wrapText="1"/>
    </xf>
    <xf numFmtId="0" fontId="0" fillId="0" borderId="1" xfId="3" applyNumberFormat="1" applyFont="1" applyBorder="1"/>
    <xf numFmtId="0" fontId="0" fillId="0" borderId="13" xfId="3" applyNumberFormat="1" applyFont="1" applyBorder="1"/>
    <xf numFmtId="0" fontId="0" fillId="0" borderId="0" xfId="3" applyNumberFormat="1" applyFont="1"/>
    <xf numFmtId="168" fontId="0" fillId="0" borderId="0" xfId="3" applyNumberFormat="1" applyFont="1"/>
    <xf numFmtId="0" fontId="3" fillId="0" borderId="0" xfId="0" applyFont="1" applyAlignment="1">
      <alignment wrapText="1"/>
    </xf>
    <xf numFmtId="3" fontId="8" fillId="2" borderId="4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Fill="1" applyBorder="1" applyAlignment="1">
      <alignment horizontal="right" vertical="top" wrapText="1"/>
    </xf>
    <xf numFmtId="164" fontId="8" fillId="0" borderId="6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0" fontId="13" fillId="0" borderId="0" xfId="0" applyFont="1" applyAlignment="1"/>
    <xf numFmtId="0" fontId="5" fillId="0" borderId="8" xfId="0" applyNumberFormat="1" applyFont="1" applyFill="1" applyBorder="1" applyAlignment="1">
      <alignment horizontal="center"/>
    </xf>
    <xf numFmtId="0" fontId="13" fillId="0" borderId="0" xfId="0" applyFont="1" applyFill="1" applyAlignment="1"/>
    <xf numFmtId="0" fontId="13" fillId="0" borderId="0" xfId="0" applyFont="1" applyAlignment="1">
      <alignment horizontal="center"/>
    </xf>
    <xf numFmtId="0" fontId="13" fillId="0" borderId="0" xfId="0" applyFont="1"/>
    <xf numFmtId="0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7" fontId="3" fillId="0" borderId="1" xfId="5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3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wrapText="1"/>
    </xf>
    <xf numFmtId="0" fontId="13" fillId="0" borderId="0" xfId="0" applyNumberFormat="1" applyFont="1" applyAlignment="1"/>
    <xf numFmtId="3" fontId="13" fillId="0" borderId="0" xfId="0" applyNumberFormat="1" applyFont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167" fontId="13" fillId="0" borderId="0" xfId="5" applyNumberFormat="1" applyFont="1" applyBorder="1" applyAlignment="1">
      <alignment horizontal="right"/>
    </xf>
    <xf numFmtId="0" fontId="13" fillId="0" borderId="0" xfId="0" applyFont="1" applyBorder="1"/>
    <xf numFmtId="166" fontId="13" fillId="0" borderId="0" xfId="0" applyNumberFormat="1" applyFont="1" applyBorder="1"/>
    <xf numFmtId="44" fontId="13" fillId="0" borderId="0" xfId="0" applyNumberFormat="1" applyFont="1"/>
    <xf numFmtId="167" fontId="13" fillId="0" borderId="0" xfId="0" applyNumberFormat="1" applyFont="1"/>
    <xf numFmtId="167" fontId="13" fillId="0" borderId="0" xfId="5" applyNumberFormat="1" applyFont="1"/>
    <xf numFmtId="0" fontId="14" fillId="0" borderId="0" xfId="0" applyFont="1"/>
    <xf numFmtId="166" fontId="14" fillId="0" borderId="0" xfId="0" applyNumberFormat="1" applyFont="1"/>
    <xf numFmtId="0" fontId="5" fillId="0" borderId="8" xfId="0" applyFont="1" applyFill="1" applyBorder="1" applyAlignment="1">
      <alignment horizontal="center" vertical="top"/>
    </xf>
    <xf numFmtId="0" fontId="4" fillId="0" borderId="0" xfId="0" applyFont="1" applyFill="1"/>
    <xf numFmtId="0" fontId="4" fillId="0" borderId="0" xfId="0" applyFont="1" applyFill="1" applyBorder="1"/>
    <xf numFmtId="0" fontId="3" fillId="0" borderId="6" xfId="0" applyNumberFormat="1" applyFont="1" applyBorder="1" applyAlignment="1">
      <alignment horizontal="left" vertical="top" wrapText="1"/>
    </xf>
    <xf numFmtId="0" fontId="3" fillId="0" borderId="6" xfId="4" applyNumberFormat="1" applyFont="1" applyBorder="1" applyAlignment="1">
      <alignment wrapText="1"/>
    </xf>
    <xf numFmtId="164" fontId="3" fillId="0" borderId="6" xfId="4" applyNumberFormat="1" applyFont="1" applyBorder="1" applyAlignment="1">
      <alignment horizontal="right" wrapText="1"/>
    </xf>
    <xf numFmtId="164" fontId="3" fillId="0" borderId="12" xfId="4" applyNumberFormat="1" applyFont="1" applyBorder="1" applyAlignment="1">
      <alignment horizontal="right" wrapText="1"/>
    </xf>
    <xf numFmtId="3" fontId="3" fillId="0" borderId="12" xfId="4" applyNumberFormat="1" applyFont="1" applyBorder="1" applyAlignment="1">
      <alignment horizontal="right" wrapText="1"/>
    </xf>
    <xf numFmtId="165" fontId="3" fillId="0" borderId="12" xfId="4" applyNumberFormat="1" applyFont="1" applyBorder="1" applyAlignment="1">
      <alignment horizontal="right" wrapText="1"/>
    </xf>
    <xf numFmtId="3" fontId="3" fillId="0" borderId="2" xfId="4" applyNumberFormat="1" applyFont="1" applyBorder="1" applyAlignment="1">
      <alignment horizontal="right" wrapText="1"/>
    </xf>
    <xf numFmtId="0" fontId="11" fillId="0" borderId="0" xfId="6" applyAlignment="1">
      <alignment wrapText="1"/>
    </xf>
    <xf numFmtId="0" fontId="4" fillId="0" borderId="1" xfId="4" applyFont="1" applyFill="1" applyBorder="1" applyAlignment="1">
      <alignment wrapText="1"/>
    </xf>
    <xf numFmtId="8" fontId="4" fillId="0" borderId="1" xfId="4" applyNumberFormat="1" applyFont="1" applyBorder="1" applyAlignment="1">
      <alignment wrapText="1"/>
    </xf>
    <xf numFmtId="0" fontId="4" fillId="0" borderId="1" xfId="4" applyFont="1" applyBorder="1" applyAlignment="1">
      <alignment wrapText="1"/>
    </xf>
    <xf numFmtId="165" fontId="4" fillId="0" borderId="1" xfId="4" applyNumberFormat="1" applyFont="1" applyBorder="1" applyAlignment="1">
      <alignment horizontal="right" wrapText="1"/>
    </xf>
    <xf numFmtId="0" fontId="4" fillId="0" borderId="1" xfId="4" applyFont="1" applyFill="1" applyBorder="1" applyAlignment="1">
      <alignment horizontal="left" wrapText="1"/>
    </xf>
    <xf numFmtId="9" fontId="4" fillId="0" borderId="1" xfId="4" applyNumberFormat="1" applyFont="1" applyBorder="1" applyAlignment="1">
      <alignment wrapText="1"/>
    </xf>
    <xf numFmtId="9" fontId="4" fillId="0" borderId="1" xfId="7" applyFont="1" applyBorder="1" applyAlignment="1">
      <alignment wrapText="1"/>
    </xf>
    <xf numFmtId="0" fontId="15" fillId="0" borderId="4" xfId="4" applyFont="1" applyFill="1" applyBorder="1" applyAlignment="1">
      <alignment horizontal="center" wrapText="1"/>
    </xf>
    <xf numFmtId="0" fontId="15" fillId="0" borderId="5" xfId="4" applyFont="1" applyFill="1" applyBorder="1" applyAlignment="1">
      <alignment horizontal="center" wrapText="1"/>
    </xf>
    <xf numFmtId="0" fontId="15" fillId="0" borderId="2" xfId="4" applyFont="1" applyFill="1" applyBorder="1" applyAlignment="1">
      <alignment horizontal="center" wrapText="1"/>
    </xf>
    <xf numFmtId="165" fontId="4" fillId="0" borderId="2" xfId="4" applyNumberFormat="1" applyFont="1" applyBorder="1" applyAlignment="1">
      <alignment horizontal="right" wrapText="1"/>
    </xf>
    <xf numFmtId="0" fontId="15" fillId="0" borderId="7" xfId="4" applyFont="1" applyFill="1" applyBorder="1" applyAlignment="1">
      <alignment horizontal="center" wrapText="1"/>
    </xf>
    <xf numFmtId="0" fontId="15" fillId="0" borderId="8" xfId="4" applyFont="1" applyFill="1" applyBorder="1" applyAlignment="1">
      <alignment horizontal="center" wrapText="1"/>
    </xf>
    <xf numFmtId="0" fontId="15" fillId="0" borderId="9" xfId="4" applyFont="1" applyFill="1" applyBorder="1" applyAlignment="1">
      <alignment horizontal="center" wrapText="1"/>
    </xf>
    <xf numFmtId="0" fontId="4" fillId="0" borderId="1" xfId="4" applyFont="1" applyFill="1" applyBorder="1" applyAlignment="1">
      <alignment horizontal="left"/>
    </xf>
    <xf numFmtId="167" fontId="11" fillId="0" borderId="0" xfId="6" applyNumberFormat="1" applyAlignment="1">
      <alignment wrapText="1"/>
    </xf>
    <xf numFmtId="0" fontId="4" fillId="0" borderId="0" xfId="4" applyFont="1" applyFill="1" applyBorder="1" applyAlignment="1">
      <alignment horizontal="left"/>
    </xf>
    <xf numFmtId="6" fontId="4" fillId="0" borderId="1" xfId="4" applyNumberFormat="1" applyFont="1" applyBorder="1" applyAlignment="1">
      <alignment wrapText="1"/>
    </xf>
    <xf numFmtId="8" fontId="4" fillId="0" borderId="1" xfId="4" applyNumberFormat="1" applyFont="1" applyBorder="1" applyAlignment="1">
      <alignment horizontal="center" wrapText="1"/>
    </xf>
    <xf numFmtId="44" fontId="3" fillId="0" borderId="0" xfId="5" applyFont="1" applyAlignment="1">
      <alignment wrapText="1"/>
    </xf>
    <xf numFmtId="0" fontId="3" fillId="0" borderId="0" xfId="6" applyFont="1" applyAlignment="1">
      <alignment wrapText="1"/>
    </xf>
    <xf numFmtId="168" fontId="3" fillId="0" borderId="0" xfId="10" applyNumberFormat="1" applyFont="1" applyAlignment="1">
      <alignment wrapText="1"/>
    </xf>
    <xf numFmtId="168" fontId="4" fillId="0" borderId="1" xfId="10" applyNumberFormat="1" applyFont="1" applyBorder="1" applyAlignment="1">
      <alignment horizontal="right" wrapText="1"/>
    </xf>
    <xf numFmtId="0" fontId="4" fillId="0" borderId="6" xfId="4" applyFont="1" applyFill="1" applyBorder="1" applyAlignment="1">
      <alignment horizontal="left" wrapText="1"/>
    </xf>
    <xf numFmtId="0" fontId="4" fillId="0" borderId="7" xfId="4" applyFont="1" applyFill="1" applyBorder="1" applyAlignment="1">
      <alignment horizontal="left" wrapText="1"/>
    </xf>
    <xf numFmtId="0" fontId="4" fillId="0" borderId="4" xfId="4" applyFont="1" applyFill="1" applyBorder="1" applyAlignment="1">
      <alignment horizontal="left"/>
    </xf>
    <xf numFmtId="0" fontId="4" fillId="0" borderId="4" xfId="4" applyFont="1" applyFill="1" applyBorder="1" applyAlignment="1">
      <alignment horizontal="left" wrapText="1"/>
    </xf>
    <xf numFmtId="0" fontId="15" fillId="3" borderId="3" xfId="4" applyFont="1" applyFill="1" applyBorder="1" applyAlignment="1">
      <alignment horizontal="center" wrapText="1"/>
    </xf>
    <xf numFmtId="0" fontId="15" fillId="3" borderId="1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168" fontId="15" fillId="3" borderId="7" xfId="8" applyNumberFormat="1" applyFont="1" applyFill="1" applyBorder="1" applyAlignment="1">
      <alignment horizontal="center" wrapText="1"/>
    </xf>
    <xf numFmtId="167" fontId="15" fillId="3" borderId="1" xfId="9" applyNumberFormat="1" applyFont="1" applyFill="1" applyBorder="1" applyAlignment="1">
      <alignment horizontal="center" wrapText="1"/>
    </xf>
    <xf numFmtId="167" fontId="15" fillId="3" borderId="2" xfId="9" applyNumberFormat="1" applyFont="1" applyFill="1" applyBorder="1" applyAlignment="1">
      <alignment horizontal="center" wrapText="1"/>
    </xf>
    <xf numFmtId="0" fontId="8" fillId="4" borderId="1" xfId="0" applyNumberFormat="1" applyFont="1" applyFill="1" applyBorder="1" applyAlignment="1">
      <alignment vertical="top" wrapText="1"/>
    </xf>
    <xf numFmtId="3" fontId="8" fillId="4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right"/>
    </xf>
    <xf numFmtId="166" fontId="3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right"/>
    </xf>
    <xf numFmtId="3" fontId="8" fillId="4" borderId="1" xfId="0" applyNumberFormat="1" applyFont="1" applyFill="1" applyBorder="1"/>
    <xf numFmtId="0" fontId="3" fillId="4" borderId="1" xfId="1" applyFill="1" applyBorder="1" applyAlignment="1">
      <alignment horizontal="center" wrapText="1"/>
    </xf>
    <xf numFmtId="168" fontId="0" fillId="4" borderId="1" xfId="3" applyNumberFormat="1" applyFont="1" applyFill="1" applyBorder="1" applyAlignment="1">
      <alignment horizontal="right"/>
    </xf>
    <xf numFmtId="0" fontId="0" fillId="4" borderId="1" xfId="3" applyNumberFormat="1" applyFont="1" applyFill="1" applyBorder="1" applyAlignment="1">
      <alignment horizontal="right"/>
    </xf>
    <xf numFmtId="0" fontId="3" fillId="4" borderId="1" xfId="1" applyFill="1" applyBorder="1" applyAlignment="1">
      <alignment horizontal="left" wrapText="1"/>
    </xf>
    <xf numFmtId="1" fontId="3" fillId="4" borderId="1" xfId="1" applyNumberFormat="1" applyFill="1" applyBorder="1" applyAlignment="1">
      <alignment horizontal="right"/>
    </xf>
    <xf numFmtId="165" fontId="3" fillId="4" borderId="1" xfId="1" applyNumberFormat="1" applyFill="1" applyBorder="1" applyAlignment="1">
      <alignment horizontal="right"/>
    </xf>
    <xf numFmtId="0" fontId="3" fillId="4" borderId="1" xfId="0" applyFont="1" applyFill="1" applyBorder="1" applyAlignment="1">
      <alignment horizontal="center" wrapText="1"/>
    </xf>
    <xf numFmtId="9" fontId="3" fillId="4" borderId="1" xfId="0" applyNumberFormat="1" applyFont="1" applyFill="1" applyBorder="1" applyAlignment="1">
      <alignment horizontal="center" wrapText="1"/>
    </xf>
    <xf numFmtId="165" fontId="4" fillId="0" borderId="2" xfId="4" applyNumberFormat="1" applyFont="1" applyFill="1" applyBorder="1" applyAlignment="1">
      <alignment horizontal="right" wrapText="1"/>
    </xf>
    <xf numFmtId="165" fontId="11" fillId="0" borderId="0" xfId="6" applyNumberFormat="1" applyAlignment="1">
      <alignment wrapText="1"/>
    </xf>
    <xf numFmtId="0" fontId="11" fillId="0" borderId="0" xfId="6" applyFill="1" applyAlignment="1">
      <alignment wrapText="1"/>
    </xf>
    <xf numFmtId="0" fontId="4" fillId="0" borderId="10" xfId="4" applyFont="1" applyFill="1" applyBorder="1" applyAlignment="1">
      <alignment horizontal="left" wrapText="1"/>
    </xf>
    <xf numFmtId="0" fontId="15" fillId="0" borderId="15" xfId="4" applyFont="1" applyFill="1" applyBorder="1" applyAlignment="1">
      <alignment horizontal="center" wrapText="1"/>
    </xf>
    <xf numFmtId="0" fontId="15" fillId="0" borderId="0" xfId="4" applyFont="1" applyFill="1" applyBorder="1" applyAlignment="1">
      <alignment horizontal="center" wrapText="1"/>
    </xf>
    <xf numFmtId="0" fontId="11" fillId="0" borderId="11" xfId="6" applyFill="1" applyBorder="1" applyAlignment="1">
      <alignment wrapText="1"/>
    </xf>
    <xf numFmtId="0" fontId="15" fillId="0" borderId="11" xfId="4" applyFont="1" applyFill="1" applyBorder="1" applyAlignment="1">
      <alignment horizontal="center" wrapText="1"/>
    </xf>
    <xf numFmtId="0" fontId="15" fillId="0" borderId="14" xfId="4" applyFont="1" applyFill="1" applyBorder="1" applyAlignment="1">
      <alignment horizontal="center" wrapText="1"/>
    </xf>
    <xf numFmtId="0" fontId="15" fillId="3" borderId="4" xfId="4" applyFont="1" applyFill="1" applyBorder="1" applyAlignment="1">
      <alignment horizontal="center" wrapText="1"/>
    </xf>
    <xf numFmtId="0" fontId="15" fillId="3" borderId="5" xfId="4" applyFont="1" applyFill="1" applyBorder="1" applyAlignment="1">
      <alignment horizontal="center" wrapText="1"/>
    </xf>
    <xf numFmtId="168" fontId="15" fillId="3" borderId="2" xfId="8" applyNumberFormat="1" applyFont="1" applyFill="1" applyBorder="1" applyAlignment="1">
      <alignment horizontal="center" wrapText="1"/>
    </xf>
    <xf numFmtId="0" fontId="15" fillId="3" borderId="16" xfId="4" applyFont="1" applyFill="1" applyBorder="1" applyAlignment="1">
      <alignment horizontal="center" wrapText="1"/>
    </xf>
    <xf numFmtId="0" fontId="5" fillId="0" borderId="8" xfId="4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vertical="top" wrapText="1"/>
    </xf>
    <xf numFmtId="0" fontId="0" fillId="0" borderId="0" xfId="0" applyAlignment="1"/>
    <xf numFmtId="167" fontId="5" fillId="0" borderId="8" xfId="5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3" fillId="4" borderId="3" xfId="0" applyNumberFormat="1" applyFont="1" applyFill="1" applyBorder="1" applyAlignment="1">
      <alignment horizontal="left" vertical="top" wrapText="1"/>
    </xf>
    <xf numFmtId="3" fontId="3" fillId="4" borderId="3" xfId="0" applyNumberFormat="1" applyFont="1" applyFill="1" applyBorder="1" applyAlignment="1">
      <alignment horizontal="right"/>
    </xf>
    <xf numFmtId="166" fontId="3" fillId="4" borderId="3" xfId="0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horizontal="left" vertical="top" wrapText="1"/>
    </xf>
    <xf numFmtId="165" fontId="5" fillId="0" borderId="8" xfId="0" applyNumberFormat="1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165" fontId="8" fillId="0" borderId="1" xfId="0" applyNumberFormat="1" applyFont="1" applyBorder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>
      <alignment horizontal="center"/>
    </xf>
    <xf numFmtId="165" fontId="8" fillId="0" borderId="6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3" fillId="4" borderId="3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165" fontId="4" fillId="0" borderId="0" xfId="0" applyNumberFormat="1" applyFont="1"/>
    <xf numFmtId="165" fontId="5" fillId="0" borderId="9" xfId="0" applyNumberFormat="1" applyFont="1" applyFill="1" applyBorder="1" applyAlignment="1">
      <alignment vertical="top"/>
    </xf>
    <xf numFmtId="165" fontId="8" fillId="2" borderId="2" xfId="0" applyNumberFormat="1" applyFont="1" applyFill="1" applyBorder="1" applyAlignment="1">
      <alignment horizontal="center"/>
    </xf>
    <xf numFmtId="165" fontId="3" fillId="0" borderId="2" xfId="4" applyNumberFormat="1" applyFont="1" applyBorder="1" applyAlignment="1">
      <alignment horizontal="right" wrapText="1"/>
    </xf>
    <xf numFmtId="165" fontId="8" fillId="0" borderId="2" xfId="0" applyNumberFormat="1" applyFont="1" applyBorder="1" applyAlignment="1">
      <alignment horizontal="right"/>
    </xf>
    <xf numFmtId="165" fontId="8" fillId="4" borderId="1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/>
    <xf numFmtId="8" fontId="3" fillId="4" borderId="1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left" wrapText="1"/>
    </xf>
    <xf numFmtId="167" fontId="3" fillId="4" borderId="1" xfId="5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wrapText="1"/>
    </xf>
    <xf numFmtId="167" fontId="3" fillId="4" borderId="1" xfId="2" applyNumberFormat="1" applyFont="1" applyFill="1" applyBorder="1" applyAlignment="1">
      <alignment horizontal="center" wrapText="1"/>
    </xf>
    <xf numFmtId="0" fontId="3" fillId="4" borderId="1" xfId="1" applyFont="1" applyFill="1" applyBorder="1" applyAlignment="1">
      <alignment wrapText="1"/>
    </xf>
    <xf numFmtId="168" fontId="3" fillId="4" borderId="1" xfId="3" applyNumberFormat="1" applyFont="1" applyFill="1" applyBorder="1" applyAlignment="1">
      <alignment horizontal="right"/>
    </xf>
    <xf numFmtId="167" fontId="3" fillId="4" borderId="1" xfId="2" applyNumberFormat="1" applyFont="1" applyFill="1" applyBorder="1" applyAlignment="1">
      <alignment horizontal="right"/>
    </xf>
    <xf numFmtId="0" fontId="3" fillId="4" borderId="1" xfId="3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>
      <alignment vertical="top" wrapText="1"/>
    </xf>
    <xf numFmtId="3" fontId="8" fillId="0" borderId="0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wrapText="1"/>
    </xf>
    <xf numFmtId="3" fontId="3" fillId="0" borderId="3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167" fontId="3" fillId="0" borderId="3" xfId="5" applyNumberFormat="1" applyFont="1" applyBorder="1" applyAlignment="1">
      <alignment horizontal="right"/>
    </xf>
    <xf numFmtId="0" fontId="8" fillId="0" borderId="3" xfId="0" applyFont="1" applyBorder="1" applyAlignment="1">
      <alignment vertical="top" wrapText="1"/>
    </xf>
    <xf numFmtId="0" fontId="8" fillId="0" borderId="0" xfId="0" applyFont="1" applyBorder="1"/>
    <xf numFmtId="0" fontId="8" fillId="0" borderId="3" xfId="0" applyFont="1" applyBorder="1" applyAlignment="1">
      <alignment wrapText="1"/>
    </xf>
    <xf numFmtId="0" fontId="8" fillId="0" borderId="3" xfId="0" applyFont="1" applyFill="1" applyBorder="1" applyAlignment="1">
      <alignment wrapText="1"/>
    </xf>
    <xf numFmtId="3" fontId="8" fillId="0" borderId="0" xfId="0" applyNumberFormat="1" applyFont="1" applyFill="1" applyBorder="1"/>
    <xf numFmtId="0" fontId="8" fillId="0" borderId="1" xfId="0" applyFont="1" applyFill="1" applyBorder="1" applyAlignment="1">
      <alignment horizontal="left" wrapText="1"/>
    </xf>
    <xf numFmtId="0" fontId="8" fillId="0" borderId="1" xfId="0" applyNumberFormat="1" applyFont="1" applyBorder="1" applyAlignment="1">
      <alignment horizontal="center" wrapText="1"/>
    </xf>
    <xf numFmtId="8" fontId="8" fillId="0" borderId="1" xfId="0" applyNumberFormat="1" applyFont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166" fontId="9" fillId="0" borderId="1" xfId="0" applyNumberFormat="1" applyFont="1" applyBorder="1" applyAlignment="1">
      <alignment horizontal="center" wrapText="1"/>
    </xf>
    <xf numFmtId="8" fontId="7" fillId="0" borderId="1" xfId="0" applyNumberFormat="1" applyFont="1" applyBorder="1" applyAlignment="1">
      <alignment horizontal="center" wrapText="1"/>
    </xf>
    <xf numFmtId="0" fontId="2" fillId="0" borderId="0" xfId="11"/>
    <xf numFmtId="166" fontId="2" fillId="0" borderId="0" xfId="11" applyNumberFormat="1"/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wrapText="1"/>
    </xf>
    <xf numFmtId="0" fontId="3" fillId="4" borderId="1" xfId="1" applyFill="1" applyBorder="1" applyAlignment="1">
      <alignment horizontal="center" wrapText="1"/>
    </xf>
    <xf numFmtId="44" fontId="3" fillId="0" borderId="2" xfId="5" applyFont="1" applyBorder="1" applyAlignment="1">
      <alignment horizontal="right"/>
    </xf>
    <xf numFmtId="44" fontId="3" fillId="0" borderId="13" xfId="5" applyFont="1" applyBorder="1" applyAlignment="1">
      <alignment horizontal="right"/>
    </xf>
    <xf numFmtId="0" fontId="0" fillId="0" borderId="1" xfId="3" applyNumberFormat="1" applyFont="1" applyFill="1" applyBorder="1"/>
    <xf numFmtId="0" fontId="0" fillId="0" borderId="13" xfId="3" applyNumberFormat="1" applyFont="1" applyFill="1" applyBorder="1"/>
    <xf numFmtId="44" fontId="3" fillId="0" borderId="2" xfId="5" applyFont="1" applyFill="1" applyBorder="1" applyAlignment="1">
      <alignment horizontal="right"/>
    </xf>
    <xf numFmtId="167" fontId="0" fillId="0" borderId="1" xfId="5" applyNumberFormat="1" applyFont="1" applyFill="1" applyBorder="1"/>
    <xf numFmtId="0" fontId="3" fillId="0" borderId="6" xfId="1" applyBorder="1" applyAlignment="1">
      <alignment wrapText="1"/>
    </xf>
    <xf numFmtId="0" fontId="0" fillId="0" borderId="6" xfId="3" applyNumberFormat="1" applyFont="1" applyBorder="1" applyAlignment="1">
      <alignment horizontal="right"/>
    </xf>
    <xf numFmtId="167" fontId="3" fillId="0" borderId="13" xfId="2" applyNumberFormat="1" applyFont="1" applyBorder="1" applyAlignment="1">
      <alignment horizontal="right"/>
    </xf>
    <xf numFmtId="0" fontId="0" fillId="0" borderId="6" xfId="3" applyNumberFormat="1" applyFont="1" applyFill="1" applyBorder="1" applyAlignment="1">
      <alignment horizontal="right"/>
    </xf>
    <xf numFmtId="167" fontId="3" fillId="0" borderId="2" xfId="2" applyNumberFormat="1" applyFont="1" applyFill="1" applyBorder="1" applyAlignment="1">
      <alignment horizontal="right"/>
    </xf>
    <xf numFmtId="44" fontId="3" fillId="0" borderId="13" xfId="5" applyFont="1" applyFill="1" applyBorder="1" applyAlignment="1">
      <alignment horizontal="right"/>
    </xf>
    <xf numFmtId="167" fontId="0" fillId="0" borderId="13" xfId="5" applyNumberFormat="1" applyFont="1" applyFill="1" applyBorder="1"/>
    <xf numFmtId="0" fontId="0" fillId="0" borderId="0" xfId="3" applyNumberFormat="1" applyFont="1" applyFill="1"/>
    <xf numFmtId="168" fontId="0" fillId="0" borderId="0" xfId="3" applyNumberFormat="1" applyFont="1" applyFill="1"/>
    <xf numFmtId="0" fontId="0" fillId="0" borderId="6" xfId="3" applyNumberFormat="1" applyFont="1" applyFill="1" applyBorder="1"/>
    <xf numFmtId="44" fontId="3" fillId="0" borderId="12" xfId="5" applyFont="1" applyFill="1" applyBorder="1" applyAlignment="1">
      <alignment horizontal="right"/>
    </xf>
    <xf numFmtId="167" fontId="0" fillId="0" borderId="6" xfId="5" applyNumberFormat="1" applyFont="1" applyFill="1" applyBorder="1"/>
    <xf numFmtId="167" fontId="3" fillId="4" borderId="1" xfId="5" applyNumberFormat="1" applyFont="1" applyFill="1" applyBorder="1" applyAlignment="1">
      <alignment horizontal="center" wrapText="1"/>
    </xf>
    <xf numFmtId="167" fontId="3" fillId="0" borderId="1" xfId="5" applyNumberFormat="1" applyFont="1" applyBorder="1"/>
    <xf numFmtId="167" fontId="0" fillId="0" borderId="1" xfId="5" applyNumberFormat="1" applyFont="1" applyBorder="1"/>
    <xf numFmtId="167" fontId="0" fillId="0" borderId="13" xfId="5" applyNumberFormat="1" applyFont="1" applyBorder="1"/>
    <xf numFmtId="167" fontId="0" fillId="0" borderId="0" xfId="5" applyNumberFormat="1" applyFont="1"/>
    <xf numFmtId="167" fontId="0" fillId="4" borderId="1" xfId="5" applyNumberFormat="1" applyFont="1" applyFill="1" applyBorder="1" applyAlignment="1">
      <alignment horizontal="right"/>
    </xf>
    <xf numFmtId="167" fontId="3" fillId="0" borderId="0" xfId="5" applyNumberFormat="1" applyFont="1"/>
    <xf numFmtId="3" fontId="8" fillId="0" borderId="4" xfId="0" applyNumberFormat="1" applyFont="1" applyFill="1" applyBorder="1"/>
    <xf numFmtId="0" fontId="1" fillId="4" borderId="1" xfId="11" applyFont="1" applyFill="1" applyBorder="1" applyAlignment="1">
      <alignment horizontal="center" wrapText="1"/>
    </xf>
    <xf numFmtId="165" fontId="2" fillId="4" borderId="1" xfId="11" applyNumberFormat="1" applyFill="1" applyBorder="1" applyAlignment="1"/>
    <xf numFmtId="165" fontId="8" fillId="0" borderId="2" xfId="0" applyNumberFormat="1" applyFont="1" applyFill="1" applyBorder="1"/>
    <xf numFmtId="165" fontId="8" fillId="0" borderId="1" xfId="0" applyNumberFormat="1" applyFont="1" applyFill="1" applyBorder="1"/>
    <xf numFmtId="165" fontId="2" fillId="0" borderId="1" xfId="11" applyNumberFormat="1" applyBorder="1" applyAlignment="1"/>
    <xf numFmtId="0" fontId="2" fillId="0" borderId="1" xfId="11" applyBorder="1" applyAlignment="1">
      <alignment wrapText="1"/>
    </xf>
    <xf numFmtId="0" fontId="2" fillId="0" borderId="1" xfId="11" applyBorder="1" applyAlignment="1"/>
    <xf numFmtId="168" fontId="2" fillId="4" borderId="1" xfId="10" applyNumberFormat="1" applyFont="1" applyFill="1" applyBorder="1" applyAlignment="1"/>
    <xf numFmtId="0" fontId="1" fillId="4" borderId="1" xfId="11" applyFont="1" applyFill="1" applyBorder="1" applyAlignment="1">
      <alignment horizontal="center"/>
    </xf>
    <xf numFmtId="0" fontId="1" fillId="0" borderId="1" xfId="11" applyFont="1" applyBorder="1" applyAlignment="1">
      <alignment wrapText="1"/>
    </xf>
    <xf numFmtId="0" fontId="8" fillId="4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2" fillId="0" borderId="1" xfId="11" applyBorder="1" applyAlignment="1">
      <alignment horizontal="right"/>
    </xf>
    <xf numFmtId="167" fontId="2" fillId="0" borderId="1" xfId="5" applyNumberFormat="1" applyFont="1" applyBorder="1" applyAlignment="1"/>
    <xf numFmtId="167" fontId="2" fillId="4" borderId="1" xfId="5" applyNumberFormat="1" applyFont="1" applyFill="1" applyBorder="1" applyAlignment="1"/>
    <xf numFmtId="3" fontId="8" fillId="0" borderId="16" xfId="0" applyNumberFormat="1" applyFont="1" applyFill="1" applyBorder="1" applyAlignment="1">
      <alignment wrapText="1"/>
    </xf>
    <xf numFmtId="3" fontId="8" fillId="2" borderId="16" xfId="0" applyNumberFormat="1" applyFont="1" applyFill="1" applyBorder="1" applyAlignment="1">
      <alignment wrapText="1"/>
    </xf>
    <xf numFmtId="0" fontId="2" fillId="2" borderId="6" xfId="11" applyFill="1" applyBorder="1"/>
    <xf numFmtId="3" fontId="8" fillId="2" borderId="3" xfId="0" applyNumberFormat="1" applyFont="1" applyFill="1" applyBorder="1" applyAlignment="1">
      <alignment wrapText="1"/>
    </xf>
    <xf numFmtId="0" fontId="2" fillId="2" borderId="0" xfId="11" applyFill="1" applyAlignment="1"/>
    <xf numFmtId="0" fontId="5" fillId="0" borderId="0" xfId="0" applyFont="1" applyFill="1" applyBorder="1" applyAlignment="1"/>
    <xf numFmtId="0" fontId="2" fillId="4" borderId="1" xfId="11" applyFill="1" applyBorder="1" applyAlignment="1">
      <alignment horizontal="center" wrapText="1"/>
    </xf>
    <xf numFmtId="0" fontId="16" fillId="0" borderId="1" xfId="11" applyFont="1" applyBorder="1" applyAlignment="1">
      <alignment horizontal="left" vertical="center" wrapText="1"/>
    </xf>
    <xf numFmtId="0" fontId="2" fillId="0" borderId="1" xfId="11" applyBorder="1" applyAlignment="1">
      <alignment horizontal="left" vertical="center" wrapText="1"/>
    </xf>
    <xf numFmtId="0" fontId="1" fillId="0" borderId="1" xfId="11" applyFont="1" applyBorder="1" applyAlignment="1">
      <alignment horizontal="left" vertical="center" wrapText="1"/>
    </xf>
    <xf numFmtId="167" fontId="0" fillId="2" borderId="1" xfId="2" applyNumberFormat="1" applyFont="1" applyFill="1" applyBorder="1" applyAlignment="1">
      <alignment horizontal="right"/>
    </xf>
    <xf numFmtId="0" fontId="0" fillId="0" borderId="1" xfId="3" applyNumberFormat="1" applyFont="1" applyFill="1" applyBorder="1" applyAlignment="1">
      <alignment horizontal="right"/>
    </xf>
    <xf numFmtId="165" fontId="2" fillId="0" borderId="0" xfId="11" applyNumberFormat="1"/>
    <xf numFmtId="165" fontId="8" fillId="0" borderId="1" xfId="0" applyNumberFormat="1" applyFont="1" applyBorder="1"/>
    <xf numFmtId="165" fontId="8" fillId="4" borderId="1" xfId="0" quotePrefix="1" applyNumberFormat="1" applyFont="1" applyFill="1" applyBorder="1" applyAlignment="1">
      <alignment horizontal="right"/>
    </xf>
    <xf numFmtId="167" fontId="2" fillId="4" borderId="0" xfId="11" applyNumberFormat="1" applyFill="1"/>
    <xf numFmtId="0" fontId="1" fillId="4" borderId="0" xfId="11" applyFont="1" applyFill="1" applyAlignment="1">
      <alignment horizontal="right"/>
    </xf>
    <xf numFmtId="167" fontId="2" fillId="4" borderId="0" xfId="5" applyNumberFormat="1" applyFont="1" applyFill="1"/>
    <xf numFmtId="0" fontId="1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7" fontId="7" fillId="0" borderId="1" xfId="5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right"/>
    </xf>
    <xf numFmtId="167" fontId="8" fillId="0" borderId="1" xfId="5" applyNumberFormat="1" applyFont="1" applyFill="1" applyBorder="1"/>
    <xf numFmtId="169" fontId="4" fillId="0" borderId="0" xfId="0" applyNumberFormat="1" applyFont="1"/>
    <xf numFmtId="165" fontId="3" fillId="0" borderId="0" xfId="0" applyNumberFormat="1" applyFont="1"/>
    <xf numFmtId="170" fontId="7" fillId="0" borderId="1" xfId="0" applyNumberFormat="1" applyFont="1" applyBorder="1" applyAlignment="1">
      <alignment horizontal="center" vertical="center" wrapText="1"/>
    </xf>
    <xf numFmtId="170" fontId="7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right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167" fontId="7" fillId="4" borderId="1" xfId="5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3" fillId="4" borderId="4" xfId="0" applyNumberFormat="1" applyFont="1" applyFill="1" applyBorder="1" applyAlignment="1">
      <alignment horizontal="center" vertical="top"/>
    </xf>
    <xf numFmtId="0" fontId="3" fillId="4" borderId="5" xfId="0" applyNumberFormat="1" applyFont="1" applyFill="1" applyBorder="1" applyAlignment="1">
      <alignment horizontal="center" vertical="top"/>
    </xf>
    <xf numFmtId="0" fontId="3" fillId="4" borderId="2" xfId="0" applyNumberFormat="1" applyFont="1" applyFill="1" applyBorder="1" applyAlignment="1">
      <alignment horizontal="center" vertical="top"/>
    </xf>
    <xf numFmtId="0" fontId="3" fillId="4" borderId="6" xfId="0" applyNumberFormat="1" applyFont="1" applyFill="1" applyBorder="1" applyAlignment="1">
      <alignment horizontal="center" wrapText="1"/>
    </xf>
    <xf numFmtId="0" fontId="3" fillId="4" borderId="3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/>
    </xf>
    <xf numFmtId="0" fontId="3" fillId="4" borderId="3" xfId="0" applyNumberFormat="1" applyFont="1" applyFill="1" applyBorder="1" applyAlignment="1">
      <alignment horizontal="center"/>
    </xf>
    <xf numFmtId="0" fontId="3" fillId="4" borderId="7" xfId="0" applyNumberFormat="1" applyFont="1" applyFill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3" fillId="4" borderId="9" xfId="0" applyNumberFormat="1" applyFont="1" applyFill="1" applyBorder="1" applyAlignment="1">
      <alignment horizontal="center"/>
    </xf>
    <xf numFmtId="4" fontId="3" fillId="4" borderId="6" xfId="0" applyNumberFormat="1" applyFont="1" applyFill="1" applyBorder="1" applyAlignment="1">
      <alignment horizontal="center" wrapText="1"/>
    </xf>
    <xf numFmtId="4" fontId="3" fillId="4" borderId="3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/>
    </xf>
    <xf numFmtId="0" fontId="3" fillId="4" borderId="16" xfId="0" applyNumberFormat="1" applyFont="1" applyFill="1" applyBorder="1" applyAlignment="1">
      <alignment horizontal="center" wrapText="1"/>
    </xf>
    <xf numFmtId="167" fontId="3" fillId="4" borderId="6" xfId="5" applyNumberFormat="1" applyFont="1" applyFill="1" applyBorder="1" applyAlignment="1">
      <alignment horizontal="center" wrapText="1"/>
    </xf>
    <xf numFmtId="167" fontId="3" fillId="4" borderId="3" xfId="5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1" fillId="4" borderId="1" xfId="1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4" borderId="10" xfId="1" applyFont="1" applyFill="1" applyBorder="1" applyAlignment="1">
      <alignment horizontal="center"/>
    </xf>
    <xf numFmtId="0" fontId="3" fillId="4" borderId="11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 wrapText="1"/>
    </xf>
    <xf numFmtId="0" fontId="3" fillId="4" borderId="10" xfId="1" applyFill="1" applyBorder="1" applyAlignment="1">
      <alignment horizontal="center"/>
    </xf>
    <xf numFmtId="0" fontId="3" fillId="4" borderId="11" xfId="1" applyFill="1" applyBorder="1" applyAlignment="1">
      <alignment horizontal="center"/>
    </xf>
    <xf numFmtId="0" fontId="3" fillId="4" borderId="12" xfId="1" applyFill="1" applyBorder="1" applyAlignment="1">
      <alignment horizontal="center"/>
    </xf>
    <xf numFmtId="0" fontId="3" fillId="4" borderId="1" xfId="1" applyFill="1" applyBorder="1" applyAlignment="1">
      <alignment horizontal="center" wrapText="1"/>
    </xf>
    <xf numFmtId="0" fontId="3" fillId="0" borderId="0" xfId="1" applyAlignment="1">
      <alignment horizontal="center"/>
    </xf>
    <xf numFmtId="0" fontId="15" fillId="3" borderId="4" xfId="4" applyFont="1" applyFill="1" applyBorder="1" applyAlignment="1">
      <alignment horizontal="right" wrapText="1"/>
    </xf>
    <xf numFmtId="0" fontId="15" fillId="3" borderId="5" xfId="4" applyFont="1" applyFill="1" applyBorder="1" applyAlignment="1">
      <alignment horizontal="right" wrapText="1"/>
    </xf>
    <xf numFmtId="0" fontId="5" fillId="0" borderId="0" xfId="4" applyFont="1" applyFill="1" applyBorder="1" applyAlignment="1">
      <alignment horizontal="center" wrapText="1"/>
    </xf>
    <xf numFmtId="0" fontId="15" fillId="3" borderId="16" xfId="4" applyFont="1" applyFill="1" applyBorder="1" applyAlignment="1">
      <alignment horizontal="center" wrapText="1"/>
    </xf>
    <xf numFmtId="0" fontId="15" fillId="3" borderId="3" xfId="4" applyFont="1" applyFill="1" applyBorder="1" applyAlignment="1">
      <alignment horizontal="center" wrapText="1"/>
    </xf>
    <xf numFmtId="0" fontId="5" fillId="3" borderId="3" xfId="4" applyFont="1" applyFill="1" applyBorder="1" applyAlignment="1">
      <alignment horizontal="center" wrapText="1"/>
    </xf>
    <xf numFmtId="0" fontId="15" fillId="3" borderId="2" xfId="4" applyFont="1" applyFill="1" applyBorder="1" applyAlignment="1">
      <alignment horizontal="right" wrapText="1"/>
    </xf>
    <xf numFmtId="0" fontId="15" fillId="3" borderId="4" xfId="4" applyFont="1" applyFill="1" applyBorder="1" applyAlignment="1">
      <alignment horizontal="left" wrapText="1"/>
    </xf>
    <xf numFmtId="0" fontId="15" fillId="3" borderId="5" xfId="4" applyFont="1" applyFill="1" applyBorder="1" applyAlignment="1">
      <alignment horizontal="left" wrapText="1"/>
    </xf>
    <xf numFmtId="0" fontId="15" fillId="3" borderId="2" xfId="4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right" wrapText="1"/>
    </xf>
    <xf numFmtId="0" fontId="7" fillId="4" borderId="4" xfId="0" applyFont="1" applyFill="1" applyBorder="1" applyAlignment="1">
      <alignment horizontal="right" wrapText="1"/>
    </xf>
    <xf numFmtId="0" fontId="18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</cellXfs>
  <cellStyles count="12">
    <cellStyle name="Comma" xfId="10" builtinId="3"/>
    <cellStyle name="Comma 2" xfId="3"/>
    <cellStyle name="Comma 3" xfId="8"/>
    <cellStyle name="Currency" xfId="5" builtinId="4"/>
    <cellStyle name="Currency 2" xfId="2"/>
    <cellStyle name="Currency 3" xfId="9"/>
    <cellStyle name="Normal" xfId="0" builtinId="0"/>
    <cellStyle name="Normal 2" xfId="1"/>
    <cellStyle name="Normal 3" xfId="6"/>
    <cellStyle name="Normal 4" xfId="11"/>
    <cellStyle name="Normal_1722 Marine SI tables" xfId="4"/>
    <cellStyle name="Percent 2" xfId="7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lerical@%20$29.93/h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lerical@%20$29.93/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lerical@%20$29.93/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3"/>
  <sheetViews>
    <sheetView tabSelected="1" zoomScale="95" zoomScaleNormal="95" workbookViewId="0">
      <selection activeCell="A2" sqref="A2:O2"/>
    </sheetView>
  </sheetViews>
  <sheetFormatPr defaultRowHeight="11.25" x14ac:dyDescent="0.2"/>
  <cols>
    <col min="1" max="1" width="23.5703125" style="4" customWidth="1"/>
    <col min="2" max="2" width="10" style="4" customWidth="1"/>
    <col min="3" max="3" width="11" style="4" bestFit="1" customWidth="1"/>
    <col min="4" max="4" width="10" style="4" customWidth="1"/>
    <col min="5" max="5" width="9.140625" style="4"/>
    <col min="6" max="6" width="14.7109375" style="4" customWidth="1"/>
    <col min="7" max="8" width="9.140625" style="4"/>
    <col min="9" max="9" width="12.85546875" style="225" bestFit="1" customWidth="1"/>
    <col min="10" max="10" width="7.85546875" style="4" bestFit="1" customWidth="1"/>
    <col min="11" max="11" width="13.5703125" style="225" customWidth="1"/>
    <col min="12" max="12" width="14.140625" style="4" bestFit="1" customWidth="1"/>
    <col min="13" max="13" width="13.7109375" style="4" bestFit="1" customWidth="1"/>
    <col min="14" max="14" width="9.140625" style="4"/>
    <col min="15" max="15" width="13.85546875" style="225" bestFit="1" customWidth="1"/>
    <col min="16" max="16384" width="9.140625" style="4"/>
  </cols>
  <sheetData>
    <row r="2" spans="1:15" ht="12.75" x14ac:dyDescent="0.2">
      <c r="A2" s="351" t="s">
        <v>179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</row>
    <row r="3" spans="1:15" ht="12.75" x14ac:dyDescent="0.2">
      <c r="A3" s="351" t="s">
        <v>194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</row>
    <row r="4" spans="1:15" ht="12.75" x14ac:dyDescent="0.2">
      <c r="A4" s="52"/>
      <c r="B4" s="53"/>
      <c r="C4" s="53"/>
      <c r="D4" s="53"/>
      <c r="E4" s="53"/>
      <c r="F4" s="53"/>
      <c r="G4" s="53"/>
      <c r="H4" s="53"/>
      <c r="I4" s="215"/>
      <c r="J4" s="53"/>
      <c r="K4" s="215"/>
      <c r="L4" s="53"/>
      <c r="M4" s="53"/>
      <c r="N4" s="53"/>
      <c r="O4" s="226"/>
    </row>
    <row r="5" spans="1:15" ht="12.75" x14ac:dyDescent="0.2">
      <c r="A5" s="355" t="s">
        <v>1</v>
      </c>
      <c r="B5" s="350" t="s">
        <v>189</v>
      </c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2" t="s">
        <v>74</v>
      </c>
      <c r="N5" s="353"/>
      <c r="O5" s="354"/>
    </row>
    <row r="6" spans="1:15" ht="38.25" x14ac:dyDescent="0.2">
      <c r="A6" s="356"/>
      <c r="B6" s="204" t="s">
        <v>130</v>
      </c>
      <c r="C6" s="204" t="s">
        <v>131</v>
      </c>
      <c r="D6" s="204" t="s">
        <v>132</v>
      </c>
      <c r="E6" s="204" t="s">
        <v>133</v>
      </c>
      <c r="F6" s="204" t="s">
        <v>134</v>
      </c>
      <c r="G6" s="185" t="s">
        <v>135</v>
      </c>
      <c r="H6" s="204" t="s">
        <v>12</v>
      </c>
      <c r="I6" s="216" t="s">
        <v>13</v>
      </c>
      <c r="J6" s="204" t="s">
        <v>14</v>
      </c>
      <c r="K6" s="216" t="s">
        <v>66</v>
      </c>
      <c r="L6" s="204" t="s">
        <v>67</v>
      </c>
      <c r="M6" s="204" t="s">
        <v>68</v>
      </c>
      <c r="N6" s="206" t="s">
        <v>4</v>
      </c>
      <c r="O6" s="216" t="s">
        <v>5</v>
      </c>
    </row>
    <row r="7" spans="1:15" s="126" customFormat="1" ht="12.75" x14ac:dyDescent="0.2">
      <c r="A7" s="207"/>
      <c r="B7" s="208"/>
      <c r="C7" s="208"/>
      <c r="D7" s="208"/>
      <c r="E7" s="208"/>
      <c r="F7" s="208"/>
      <c r="G7" s="209"/>
      <c r="H7" s="208"/>
      <c r="I7" s="217"/>
      <c r="J7" s="208"/>
      <c r="K7" s="217"/>
      <c r="L7" s="208"/>
      <c r="M7" s="208"/>
      <c r="N7" s="210"/>
      <c r="O7" s="217"/>
    </row>
    <row r="8" spans="1:15" ht="25.5" x14ac:dyDescent="0.2">
      <c r="A8" s="34" t="s">
        <v>85</v>
      </c>
      <c r="B8" s="18">
        <v>16</v>
      </c>
      <c r="C8" s="18">
        <v>9</v>
      </c>
      <c r="D8" s="18">
        <v>10</v>
      </c>
      <c r="E8" s="18">
        <v>4</v>
      </c>
      <c r="F8" s="18">
        <v>0</v>
      </c>
      <c r="G8" s="18">
        <v>1</v>
      </c>
      <c r="H8" s="18">
        <f>B8+C8+D8+E8+F8+G8</f>
        <v>40</v>
      </c>
      <c r="I8" s="218">
        <f>(B8*82.45)+(C8*123.48)+(D8*161.91)+(E8*52.67)+(F8*39.1)+(G8*39.06)</f>
        <v>4299.3600000000006</v>
      </c>
      <c r="J8" s="19">
        <v>0</v>
      </c>
      <c r="K8" s="218">
        <v>0</v>
      </c>
      <c r="L8" s="22">
        <v>1</v>
      </c>
      <c r="M8" s="21">
        <v>95</v>
      </c>
      <c r="N8" s="18">
        <f>H8*L8*M8</f>
        <v>3800</v>
      </c>
      <c r="O8" s="218">
        <f>(I8+J8+K8)*L8*M8</f>
        <v>408439.20000000007</v>
      </c>
    </row>
    <row r="9" spans="1:15" ht="25.5" x14ac:dyDescent="0.2">
      <c r="A9" s="33" t="s">
        <v>82</v>
      </c>
      <c r="B9" s="18">
        <v>5</v>
      </c>
      <c r="C9" s="18">
        <v>1</v>
      </c>
      <c r="D9" s="18">
        <v>0</v>
      </c>
      <c r="E9" s="18">
        <v>0</v>
      </c>
      <c r="F9" s="18">
        <v>0</v>
      </c>
      <c r="G9" s="18">
        <v>1</v>
      </c>
      <c r="H9" s="18">
        <f t="shared" ref="H9:H18" si="0">B9+C9+D9+E9+F9+G9</f>
        <v>7</v>
      </c>
      <c r="I9" s="218">
        <f t="shared" ref="I9:I27" si="1">(B9*82.45)+(C9*123.48)+(D9*161.91)+(E9*52.67)+(F9*39.1)+(G9*39.06)</f>
        <v>574.79</v>
      </c>
      <c r="J9" s="19">
        <v>0</v>
      </c>
      <c r="K9" s="218">
        <v>0</v>
      </c>
      <c r="L9" s="22">
        <v>1</v>
      </c>
      <c r="M9" s="21">
        <v>95</v>
      </c>
      <c r="N9" s="18">
        <f t="shared" ref="N9:N24" si="2">H9*L9*M9</f>
        <v>665</v>
      </c>
      <c r="O9" s="218">
        <f>(I9+J9+K9)*L9*M9</f>
        <v>54605.049999999996</v>
      </c>
    </row>
    <row r="10" spans="1:15" ht="25.5" x14ac:dyDescent="0.2">
      <c r="A10" s="33" t="s">
        <v>15</v>
      </c>
      <c r="B10" s="18">
        <v>30</v>
      </c>
      <c r="C10" s="18">
        <v>5</v>
      </c>
      <c r="D10" s="18">
        <v>0</v>
      </c>
      <c r="E10" s="18">
        <v>38</v>
      </c>
      <c r="F10" s="18">
        <v>2</v>
      </c>
      <c r="G10" s="18">
        <v>3</v>
      </c>
      <c r="H10" s="18">
        <f t="shared" si="0"/>
        <v>78</v>
      </c>
      <c r="I10" s="218">
        <f t="shared" si="1"/>
        <v>5287.7400000000007</v>
      </c>
      <c r="J10" s="19">
        <v>0</v>
      </c>
      <c r="K10" s="218">
        <v>0</v>
      </c>
      <c r="L10" s="22">
        <v>5.8</v>
      </c>
      <c r="M10" s="21">
        <v>63</v>
      </c>
      <c r="N10" s="18">
        <f t="shared" si="2"/>
        <v>28501.199999999997</v>
      </c>
      <c r="O10" s="218">
        <f>(I10+J10+K10)*L10*M10</f>
        <v>1932140.1960000002</v>
      </c>
    </row>
    <row r="11" spans="1:15" ht="38.25" x14ac:dyDescent="0.2">
      <c r="A11" s="33" t="s">
        <v>83</v>
      </c>
      <c r="B11" s="18">
        <v>10</v>
      </c>
      <c r="C11" s="18">
        <v>14</v>
      </c>
      <c r="D11" s="18">
        <v>0</v>
      </c>
      <c r="E11" s="18">
        <v>22</v>
      </c>
      <c r="F11" s="18">
        <v>2</v>
      </c>
      <c r="G11" s="18">
        <v>14</v>
      </c>
      <c r="H11" s="18">
        <f t="shared" si="0"/>
        <v>62</v>
      </c>
      <c r="I11" s="218">
        <f t="shared" si="1"/>
        <v>4337</v>
      </c>
      <c r="J11" s="19">
        <v>0</v>
      </c>
      <c r="K11" s="218">
        <v>150</v>
      </c>
      <c r="L11" s="94">
        <f>251/M11</f>
        <v>2.642105263157895</v>
      </c>
      <c r="M11" s="21">
        <v>95</v>
      </c>
      <c r="N11" s="18">
        <f t="shared" si="2"/>
        <v>15562</v>
      </c>
      <c r="O11" s="218">
        <f t="shared" ref="O11:O27" si="3">(I11+J11+K11)*L11*M11</f>
        <v>1126237.0000000002</v>
      </c>
    </row>
    <row r="12" spans="1:15" ht="12.75" x14ac:dyDescent="0.2">
      <c r="A12" s="33" t="s">
        <v>84</v>
      </c>
      <c r="B12" s="347"/>
      <c r="C12" s="348"/>
      <c r="D12" s="348"/>
      <c r="E12" s="348"/>
      <c r="F12" s="348"/>
      <c r="G12" s="348"/>
      <c r="H12" s="348"/>
      <c r="I12" s="348"/>
      <c r="J12" s="349"/>
      <c r="K12" s="219">
        <v>75343</v>
      </c>
      <c r="L12" s="22">
        <v>1</v>
      </c>
      <c r="M12" s="21">
        <v>43</v>
      </c>
      <c r="N12" s="18">
        <f t="shared" si="2"/>
        <v>0</v>
      </c>
      <c r="O12" s="218">
        <f t="shared" si="3"/>
        <v>3239749</v>
      </c>
    </row>
    <row r="13" spans="1:15" ht="25.5" x14ac:dyDescent="0.2">
      <c r="A13" s="33" t="s">
        <v>92</v>
      </c>
      <c r="B13" s="91"/>
      <c r="C13" s="93"/>
      <c r="D13" s="93"/>
      <c r="E13" s="93"/>
      <c r="F13" s="93"/>
      <c r="G13" s="93"/>
      <c r="H13" s="93"/>
      <c r="I13" s="220"/>
      <c r="J13" s="93"/>
      <c r="K13" s="220"/>
      <c r="L13" s="92"/>
      <c r="M13" s="92"/>
      <c r="N13" s="93"/>
      <c r="O13" s="227"/>
    </row>
    <row r="14" spans="1:15" ht="12.75" x14ac:dyDescent="0.2">
      <c r="A14" s="58" t="s">
        <v>93</v>
      </c>
      <c r="B14" s="347"/>
      <c r="C14" s="348"/>
      <c r="D14" s="348"/>
      <c r="E14" s="348"/>
      <c r="F14" s="348"/>
      <c r="G14" s="348"/>
      <c r="H14" s="348"/>
      <c r="I14" s="348"/>
      <c r="J14" s="349"/>
      <c r="K14" s="219">
        <f>44467/3</f>
        <v>14822.333333333334</v>
      </c>
      <c r="L14" s="22">
        <v>4</v>
      </c>
      <c r="M14" s="21">
        <v>52</v>
      </c>
      <c r="N14" s="18">
        <f t="shared" si="2"/>
        <v>0</v>
      </c>
      <c r="O14" s="218">
        <f t="shared" si="3"/>
        <v>3083045.3333333335</v>
      </c>
    </row>
    <row r="15" spans="1:15" ht="30.75" customHeight="1" x14ac:dyDescent="0.2">
      <c r="A15" s="58" t="s">
        <v>94</v>
      </c>
      <c r="B15" s="347"/>
      <c r="C15" s="348"/>
      <c r="D15" s="348"/>
      <c r="E15" s="348"/>
      <c r="F15" s="348"/>
      <c r="G15" s="348"/>
      <c r="H15" s="348"/>
      <c r="I15" s="348"/>
      <c r="J15" s="349"/>
      <c r="K15" s="219">
        <f>50000/3</f>
        <v>16666.666666666668</v>
      </c>
      <c r="L15" s="22">
        <v>2.5</v>
      </c>
      <c r="M15" s="21">
        <v>24</v>
      </c>
      <c r="N15" s="18">
        <f t="shared" ref="N15" si="4">H15*L15*M15</f>
        <v>0</v>
      </c>
      <c r="O15" s="218">
        <f t="shared" ref="O15" si="5">(I15+J15+K15)*L15*M15</f>
        <v>1000000.0000000001</v>
      </c>
    </row>
    <row r="16" spans="1:15" ht="25.5" x14ac:dyDescent="0.2">
      <c r="A16" s="33" t="s">
        <v>21</v>
      </c>
      <c r="B16" s="18">
        <v>5</v>
      </c>
      <c r="C16" s="18">
        <v>6</v>
      </c>
      <c r="D16" s="18">
        <v>1</v>
      </c>
      <c r="E16" s="18">
        <v>0</v>
      </c>
      <c r="F16" s="18">
        <v>0</v>
      </c>
      <c r="G16" s="18">
        <v>1</v>
      </c>
      <c r="H16" s="18">
        <f t="shared" si="0"/>
        <v>13</v>
      </c>
      <c r="I16" s="218">
        <f t="shared" si="1"/>
        <v>1354.1000000000001</v>
      </c>
      <c r="J16" s="19">
        <v>0</v>
      </c>
      <c r="K16" s="218">
        <v>0</v>
      </c>
      <c r="L16" s="94">
        <f>251/M16</f>
        <v>2.642105263157895</v>
      </c>
      <c r="M16" s="21">
        <v>95</v>
      </c>
      <c r="N16" s="18">
        <f t="shared" si="2"/>
        <v>3263.0000000000005</v>
      </c>
      <c r="O16" s="218">
        <f t="shared" si="3"/>
        <v>339879.10000000009</v>
      </c>
    </row>
    <row r="17" spans="1:16" ht="38.25" x14ac:dyDescent="0.2">
      <c r="A17" s="33" t="s">
        <v>22</v>
      </c>
      <c r="B17" s="18">
        <v>5</v>
      </c>
      <c r="C17" s="18">
        <v>0.5</v>
      </c>
      <c r="D17" s="18">
        <v>0</v>
      </c>
      <c r="E17" s="18">
        <v>0</v>
      </c>
      <c r="F17" s="18">
        <v>0</v>
      </c>
      <c r="G17" s="18">
        <v>4</v>
      </c>
      <c r="H17" s="18">
        <f t="shared" si="0"/>
        <v>9.5</v>
      </c>
      <c r="I17" s="218">
        <f t="shared" si="1"/>
        <v>630.23</v>
      </c>
      <c r="J17" s="19">
        <v>0</v>
      </c>
      <c r="K17" s="218">
        <v>4</v>
      </c>
      <c r="L17" s="94">
        <f>251/M17</f>
        <v>2.642105263157895</v>
      </c>
      <c r="M17" s="21">
        <v>95</v>
      </c>
      <c r="N17" s="18">
        <f t="shared" si="2"/>
        <v>2384.5</v>
      </c>
      <c r="O17" s="218">
        <f t="shared" si="3"/>
        <v>159191.73000000001</v>
      </c>
    </row>
    <row r="18" spans="1:16" ht="25.5" x14ac:dyDescent="0.2">
      <c r="A18" s="33" t="s">
        <v>16</v>
      </c>
      <c r="B18" s="18">
        <v>1</v>
      </c>
      <c r="C18" s="18">
        <v>0</v>
      </c>
      <c r="D18" s="18">
        <v>0</v>
      </c>
      <c r="E18" s="18">
        <v>0</v>
      </c>
      <c r="F18" s="18">
        <v>0</v>
      </c>
      <c r="G18" s="18">
        <v>2</v>
      </c>
      <c r="H18" s="18">
        <f t="shared" si="0"/>
        <v>3</v>
      </c>
      <c r="I18" s="218">
        <f t="shared" si="1"/>
        <v>160.57</v>
      </c>
      <c r="J18" s="19">
        <v>0</v>
      </c>
      <c r="K18" s="218">
        <v>5</v>
      </c>
      <c r="L18" s="22">
        <f>404/95</f>
        <v>4.2526315789473683</v>
      </c>
      <c r="M18" s="21">
        <v>95</v>
      </c>
      <c r="N18" s="18">
        <f t="shared" si="2"/>
        <v>1212</v>
      </c>
      <c r="O18" s="218">
        <f t="shared" si="3"/>
        <v>66890.28</v>
      </c>
    </row>
    <row r="19" spans="1:16" ht="12.75" x14ac:dyDescent="0.2">
      <c r="A19" s="33" t="s">
        <v>88</v>
      </c>
      <c r="B19" s="57"/>
      <c r="C19" s="48"/>
      <c r="D19" s="48"/>
      <c r="E19" s="48"/>
      <c r="F19" s="48"/>
      <c r="G19" s="48"/>
      <c r="H19" s="48"/>
      <c r="I19" s="222"/>
      <c r="J19" s="27"/>
      <c r="K19" s="218"/>
      <c r="L19" s="22"/>
      <c r="M19" s="21"/>
      <c r="N19" s="18"/>
      <c r="O19" s="218"/>
    </row>
    <row r="20" spans="1:16" ht="12.75" x14ac:dyDescent="0.2">
      <c r="A20" s="95" t="s">
        <v>114</v>
      </c>
      <c r="B20" s="347"/>
      <c r="C20" s="348"/>
      <c r="D20" s="348"/>
      <c r="E20" s="348"/>
      <c r="F20" s="348"/>
      <c r="G20" s="348"/>
      <c r="H20" s="348"/>
      <c r="I20" s="348"/>
      <c r="J20" s="349"/>
      <c r="K20" s="218">
        <v>47664</v>
      </c>
      <c r="L20" s="22">
        <f>68/12</f>
        <v>5.666666666666667</v>
      </c>
      <c r="M20" s="21">
        <v>12</v>
      </c>
      <c r="N20" s="18">
        <f t="shared" si="2"/>
        <v>0</v>
      </c>
      <c r="O20" s="218">
        <f t="shared" si="3"/>
        <v>3241152</v>
      </c>
    </row>
    <row r="21" spans="1:16" ht="12.75" x14ac:dyDescent="0.2">
      <c r="A21" s="96" t="s">
        <v>91</v>
      </c>
      <c r="B21" s="347"/>
      <c r="C21" s="348"/>
      <c r="D21" s="348"/>
      <c r="E21" s="348"/>
      <c r="F21" s="348"/>
      <c r="G21" s="348"/>
      <c r="H21" s="348"/>
      <c r="I21" s="348"/>
      <c r="J21" s="349"/>
      <c r="K21" s="219">
        <v>563</v>
      </c>
      <c r="L21" s="22">
        <v>1</v>
      </c>
      <c r="M21" s="21">
        <v>3</v>
      </c>
      <c r="N21" s="18">
        <f t="shared" si="2"/>
        <v>0</v>
      </c>
      <c r="O21" s="218">
        <f t="shared" si="3"/>
        <v>1689</v>
      </c>
    </row>
    <row r="22" spans="1:16" ht="12.75" x14ac:dyDescent="0.2">
      <c r="A22" s="58" t="s">
        <v>89</v>
      </c>
      <c r="B22" s="347"/>
      <c r="C22" s="348"/>
      <c r="D22" s="348"/>
      <c r="E22" s="348"/>
      <c r="F22" s="348"/>
      <c r="G22" s="348"/>
      <c r="H22" s="348"/>
      <c r="I22" s="348"/>
      <c r="J22" s="349"/>
      <c r="K22" s="218">
        <v>2973</v>
      </c>
      <c r="L22" s="22">
        <f>402/42</f>
        <v>9.5714285714285712</v>
      </c>
      <c r="M22" s="21">
        <v>42</v>
      </c>
      <c r="N22" s="18">
        <f t="shared" si="2"/>
        <v>0</v>
      </c>
      <c r="O22" s="218">
        <f t="shared" si="3"/>
        <v>1195146</v>
      </c>
    </row>
    <row r="23" spans="1:16" ht="12.75" x14ac:dyDescent="0.2">
      <c r="A23" s="58" t="s">
        <v>90</v>
      </c>
      <c r="B23" s="347"/>
      <c r="C23" s="348"/>
      <c r="D23" s="348"/>
      <c r="E23" s="348"/>
      <c r="F23" s="348"/>
      <c r="G23" s="348"/>
      <c r="H23" s="348"/>
      <c r="I23" s="348"/>
      <c r="J23" s="349"/>
      <c r="K23" s="218">
        <v>563</v>
      </c>
      <c r="L23" s="22">
        <f>185/41</f>
        <v>4.5121951219512191</v>
      </c>
      <c r="M23" s="21">
        <v>41</v>
      </c>
      <c r="N23" s="18">
        <f t="shared" ref="N23" si="6">H23*L23*M23</f>
        <v>0</v>
      </c>
      <c r="O23" s="218">
        <f t="shared" ref="O23" si="7">(I23+J23+K23)*L23*M23</f>
        <v>104154.99999999999</v>
      </c>
    </row>
    <row r="24" spans="1:16" ht="25.5" x14ac:dyDescent="0.2">
      <c r="A24" s="33" t="s">
        <v>6</v>
      </c>
      <c r="B24" s="18">
        <v>7</v>
      </c>
      <c r="C24" s="18">
        <v>5</v>
      </c>
      <c r="D24" s="18">
        <v>1</v>
      </c>
      <c r="E24" s="18">
        <v>3</v>
      </c>
      <c r="F24" s="18">
        <v>0</v>
      </c>
      <c r="G24" s="18">
        <v>2</v>
      </c>
      <c r="H24" s="18">
        <f>B24+C24+D24+E24+F24+G24</f>
        <v>18</v>
      </c>
      <c r="I24" s="218">
        <f t="shared" si="1"/>
        <v>1592.5900000000001</v>
      </c>
      <c r="J24" s="19">
        <v>0</v>
      </c>
      <c r="K24" s="218">
        <v>6</v>
      </c>
      <c r="L24" s="22">
        <f>306/95</f>
        <v>3.2210526315789472</v>
      </c>
      <c r="M24" s="21">
        <v>95</v>
      </c>
      <c r="N24" s="18">
        <f t="shared" si="2"/>
        <v>5507.9999999999991</v>
      </c>
      <c r="O24" s="218">
        <f t="shared" si="3"/>
        <v>489168.54000000004</v>
      </c>
    </row>
    <row r="25" spans="1:16" ht="38.25" x14ac:dyDescent="0.2">
      <c r="A25" s="128" t="s">
        <v>143</v>
      </c>
      <c r="B25" s="44">
        <v>15</v>
      </c>
      <c r="C25" s="44">
        <v>5</v>
      </c>
      <c r="D25" s="44">
        <v>2</v>
      </c>
      <c r="E25" s="44"/>
      <c r="F25" s="44">
        <v>0</v>
      </c>
      <c r="G25" s="44">
        <v>0</v>
      </c>
      <c r="H25" s="18">
        <f>B25+C25+D25+E25+F25+G25</f>
        <v>22</v>
      </c>
      <c r="I25" s="218">
        <f t="shared" ref="I25" si="8">(B25*82.45)+(C25*123.48)+(D25*161.91)+(E25*52.67)+(F25*39.1)+(G25*39.06)</f>
        <v>2177.9700000000003</v>
      </c>
      <c r="J25" s="19">
        <v>0</v>
      </c>
      <c r="K25" s="218">
        <v>10</v>
      </c>
      <c r="L25" s="97">
        <v>2</v>
      </c>
      <c r="M25" s="98">
        <v>10</v>
      </c>
      <c r="N25" s="18">
        <f t="shared" ref="N25:N26" si="9">H25*L25*M25</f>
        <v>440</v>
      </c>
      <c r="O25" s="218">
        <f t="shared" ref="O25:O26" si="10">(I25+J25+K25)*L25*M25</f>
        <v>43759.400000000009</v>
      </c>
    </row>
    <row r="26" spans="1:16" s="90" customFormat="1" ht="25.5" x14ac:dyDescent="0.2">
      <c r="A26" s="129" t="s">
        <v>144</v>
      </c>
      <c r="B26" s="130">
        <v>12</v>
      </c>
      <c r="C26" s="131">
        <v>2</v>
      </c>
      <c r="D26" s="131">
        <v>1</v>
      </c>
      <c r="E26" s="131">
        <v>0</v>
      </c>
      <c r="F26" s="131">
        <v>0</v>
      </c>
      <c r="G26" s="131">
        <v>2</v>
      </c>
      <c r="H26" s="18">
        <f>B26+C26+D26+E26+F26+G26</f>
        <v>17</v>
      </c>
      <c r="I26" s="218">
        <f t="shared" ref="I26" si="11">(B26*82.45)+(C26*123.48)+(D26*161.91)+(E26*52.67)+(F26*39.1)+(G26*39.06)</f>
        <v>1476.3900000000003</v>
      </c>
      <c r="J26" s="132">
        <v>0</v>
      </c>
      <c r="K26" s="133">
        <v>3</v>
      </c>
      <c r="L26" s="94">
        <v>1</v>
      </c>
      <c r="M26" s="110">
        <v>354</v>
      </c>
      <c r="N26" s="134">
        <f t="shared" si="9"/>
        <v>6018</v>
      </c>
      <c r="O26" s="228">
        <f t="shared" si="10"/>
        <v>523704.06000000011</v>
      </c>
    </row>
    <row r="27" spans="1:16" ht="25.5" x14ac:dyDescent="0.2">
      <c r="A27" s="43" t="s">
        <v>7</v>
      </c>
      <c r="B27" s="44">
        <v>3</v>
      </c>
      <c r="C27" s="332">
        <v>0.5</v>
      </c>
      <c r="D27" s="332">
        <v>0.5</v>
      </c>
      <c r="E27" s="44">
        <v>0</v>
      </c>
      <c r="F27" s="44">
        <v>0</v>
      </c>
      <c r="G27" s="44">
        <v>7</v>
      </c>
      <c r="H27" s="44">
        <f>B27+C27+D27+E27+F27+G27</f>
        <v>11</v>
      </c>
      <c r="I27" s="221">
        <f t="shared" si="1"/>
        <v>663.46500000000003</v>
      </c>
      <c r="J27" s="45">
        <v>0</v>
      </c>
      <c r="K27" s="221">
        <v>5</v>
      </c>
      <c r="L27" s="97">
        <f>622/95</f>
        <v>6.5473684210526315</v>
      </c>
      <c r="M27" s="98">
        <v>95</v>
      </c>
      <c r="N27" s="44">
        <f>H27*L27*M27</f>
        <v>6842.0000000000009</v>
      </c>
      <c r="O27" s="221">
        <f t="shared" si="3"/>
        <v>415785.23000000004</v>
      </c>
      <c r="P27" s="334"/>
    </row>
    <row r="28" spans="1:16" s="46" customFormat="1" ht="12.75" x14ac:dyDescent="0.2">
      <c r="A28" s="47"/>
      <c r="B28" s="48"/>
      <c r="C28" s="48"/>
      <c r="D28" s="48"/>
      <c r="E28" s="48"/>
      <c r="F28" s="48"/>
      <c r="G28" s="48"/>
      <c r="H28" s="48"/>
      <c r="I28" s="222"/>
      <c r="J28" s="49"/>
      <c r="K28" s="222"/>
      <c r="L28" s="50"/>
      <c r="M28" s="51"/>
      <c r="N28" s="48"/>
      <c r="O28" s="229"/>
    </row>
    <row r="29" spans="1:16" ht="12.75" x14ac:dyDescent="0.2">
      <c r="A29" s="211" t="s">
        <v>8</v>
      </c>
      <c r="B29" s="212">
        <f t="shared" ref="B29:I29" si="12">SUM(B8:B27)</f>
        <v>109</v>
      </c>
      <c r="C29" s="212">
        <f t="shared" si="12"/>
        <v>48</v>
      </c>
      <c r="D29" s="212">
        <f t="shared" si="12"/>
        <v>15.5</v>
      </c>
      <c r="E29" s="212">
        <f t="shared" si="12"/>
        <v>67</v>
      </c>
      <c r="F29" s="212">
        <f t="shared" si="12"/>
        <v>4</v>
      </c>
      <c r="G29" s="212">
        <f t="shared" si="12"/>
        <v>37</v>
      </c>
      <c r="H29" s="212">
        <f t="shared" si="12"/>
        <v>280.5</v>
      </c>
      <c r="I29" s="223">
        <f t="shared" si="12"/>
        <v>22554.205000000002</v>
      </c>
      <c r="J29" s="213">
        <f>SUM(J8:J27)</f>
        <v>0</v>
      </c>
      <c r="K29" s="223" t="s">
        <v>9</v>
      </c>
      <c r="L29" s="212" t="s">
        <v>9</v>
      </c>
      <c r="M29" s="212" t="s">
        <v>11</v>
      </c>
      <c r="N29" s="212" t="s">
        <v>11</v>
      </c>
      <c r="O29" s="223" t="s">
        <v>11</v>
      </c>
    </row>
    <row r="30" spans="1:16" ht="12.75" x14ac:dyDescent="0.2">
      <c r="A30" s="214" t="s">
        <v>10</v>
      </c>
      <c r="B30" s="172" t="s">
        <v>11</v>
      </c>
      <c r="C30" s="172" t="s">
        <v>11</v>
      </c>
      <c r="D30" s="172" t="s">
        <v>11</v>
      </c>
      <c r="E30" s="172" t="s">
        <v>11</v>
      </c>
      <c r="F30" s="172" t="s">
        <v>11</v>
      </c>
      <c r="G30" s="172" t="s">
        <v>11</v>
      </c>
      <c r="H30" s="172" t="s">
        <v>11</v>
      </c>
      <c r="I30" s="224">
        <f>SUMPRODUCT(I8:I27,L8:L27,M8:M27)</f>
        <v>5512917.7860000022</v>
      </c>
      <c r="J30" s="175">
        <v>0</v>
      </c>
      <c r="K30" s="224">
        <f>SUMPRODUCT(K8:K27,L8:L27,M8:M27)</f>
        <v>11911818.333333334</v>
      </c>
      <c r="L30" s="172" t="s">
        <v>9</v>
      </c>
      <c r="M30" s="212">
        <v>95</v>
      </c>
      <c r="N30" s="172">
        <f>SUM(N8:N27)</f>
        <v>74195.7</v>
      </c>
      <c r="O30" s="224">
        <f>+SUM(O8:O27)</f>
        <v>17424736.119333334</v>
      </c>
    </row>
    <row r="31" spans="1:16" x14ac:dyDescent="0.2">
      <c r="A31" s="2" t="s">
        <v>69</v>
      </c>
      <c r="B31" s="2"/>
      <c r="D31" s="8"/>
      <c r="E31" s="8"/>
      <c r="F31" s="8"/>
      <c r="G31" s="8"/>
      <c r="H31" s="8"/>
      <c r="I31" s="17"/>
      <c r="J31" s="8"/>
      <c r="K31" s="17"/>
      <c r="L31" s="8"/>
      <c r="M31" s="8"/>
      <c r="N31" s="8"/>
      <c r="O31" s="17"/>
    </row>
    <row r="32" spans="1:16" ht="12.75" x14ac:dyDescent="0.2">
      <c r="A32" s="2" t="s">
        <v>71</v>
      </c>
      <c r="B32" s="2"/>
      <c r="C32" s="1"/>
      <c r="D32" s="8"/>
      <c r="E32" s="8"/>
      <c r="F32" s="8"/>
      <c r="G32" s="8"/>
      <c r="H32" s="8"/>
      <c r="I32" s="17"/>
      <c r="J32" s="8"/>
      <c r="K32" s="17"/>
      <c r="L32" s="8"/>
      <c r="M32" s="8"/>
      <c r="N32" s="8"/>
      <c r="O32" s="17"/>
    </row>
    <row r="33" spans="1:15" x14ac:dyDescent="0.2">
      <c r="A33" s="3" t="s">
        <v>70</v>
      </c>
      <c r="B33" s="8"/>
      <c r="C33" s="8"/>
      <c r="D33" s="8"/>
      <c r="E33" s="8"/>
      <c r="F33" s="8"/>
      <c r="G33" s="8"/>
      <c r="H33" s="8"/>
      <c r="I33" s="17"/>
      <c r="J33" s="8"/>
      <c r="K33" s="17"/>
      <c r="L33" s="8"/>
      <c r="M33" s="8"/>
      <c r="N33" s="8"/>
      <c r="O33" s="17"/>
    </row>
  </sheetData>
  <mergeCells count="12">
    <mergeCell ref="A2:O2"/>
    <mergeCell ref="M5:O5"/>
    <mergeCell ref="B14:J14"/>
    <mergeCell ref="B15:J15"/>
    <mergeCell ref="B12:J12"/>
    <mergeCell ref="A3:O3"/>
    <mergeCell ref="A5:A6"/>
    <mergeCell ref="B20:J20"/>
    <mergeCell ref="B21:J21"/>
    <mergeCell ref="B22:J22"/>
    <mergeCell ref="B23:J23"/>
    <mergeCell ref="B5:L5"/>
  </mergeCells>
  <phoneticPr fontId="0" type="noConversion"/>
  <printOptions horizontalCentered="1" verticalCentered="1"/>
  <pageMargins left="0.75" right="0.75" top="1" bottom="1" header="0.5" footer="0.5"/>
  <pageSetup scale="68" orientation="landscape" verticalDpi="300" r:id="rId1"/>
  <headerFooter alignWithMargins="0"/>
  <ignoredErrors>
    <ignoredError sqref="I30 K30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2"/>
  <sheetViews>
    <sheetView workbookViewId="0"/>
  </sheetViews>
  <sheetFormatPr defaultColWidth="9.140625" defaultRowHeight="12.75" x14ac:dyDescent="0.2"/>
  <cols>
    <col min="1" max="1" width="15.42578125" style="60" customWidth="1"/>
    <col min="2" max="2" width="10.85546875" style="60" customWidth="1"/>
    <col min="3" max="3" width="9.42578125" style="60" bestFit="1" customWidth="1"/>
    <col min="4" max="4" width="7.85546875" style="60" customWidth="1"/>
    <col min="5" max="6" width="9.42578125" style="60" bestFit="1" customWidth="1"/>
    <col min="7" max="7" width="10.28515625" style="60" bestFit="1" customWidth="1"/>
    <col min="8" max="8" width="9.42578125" style="60" bestFit="1" customWidth="1"/>
    <col min="9" max="9" width="10.28515625" style="291" bestFit="1" customWidth="1"/>
    <col min="10" max="11" width="9.42578125" style="60" bestFit="1" customWidth="1"/>
    <col min="12" max="12" width="12.28515625" style="60" bestFit="1" customWidth="1"/>
    <col min="13" max="256" width="9.140625" style="60"/>
    <col min="257" max="257" width="15.42578125" style="60" customWidth="1"/>
    <col min="258" max="258" width="10.85546875" style="60" customWidth="1"/>
    <col min="259" max="259" width="9.42578125" style="60" bestFit="1" customWidth="1"/>
    <col min="260" max="260" width="7.85546875" style="60" customWidth="1"/>
    <col min="261" max="262" width="9.42578125" style="60" bestFit="1" customWidth="1"/>
    <col min="263" max="263" width="10.28515625" style="60" bestFit="1" customWidth="1"/>
    <col min="264" max="267" width="9.42578125" style="60" bestFit="1" customWidth="1"/>
    <col min="268" max="268" width="11.5703125" style="60" bestFit="1" customWidth="1"/>
    <col min="269" max="512" width="9.140625" style="60"/>
    <col min="513" max="513" width="15.42578125" style="60" customWidth="1"/>
    <col min="514" max="514" width="10.85546875" style="60" customWidth="1"/>
    <col min="515" max="515" width="9.42578125" style="60" bestFit="1" customWidth="1"/>
    <col min="516" max="516" width="7.85546875" style="60" customWidth="1"/>
    <col min="517" max="518" width="9.42578125" style="60" bestFit="1" customWidth="1"/>
    <col min="519" max="519" width="10.28515625" style="60" bestFit="1" customWidth="1"/>
    <col min="520" max="523" width="9.42578125" style="60" bestFit="1" customWidth="1"/>
    <col min="524" max="524" width="11.5703125" style="60" bestFit="1" customWidth="1"/>
    <col min="525" max="768" width="9.140625" style="60"/>
    <col min="769" max="769" width="15.42578125" style="60" customWidth="1"/>
    <col min="770" max="770" width="10.85546875" style="60" customWidth="1"/>
    <col min="771" max="771" width="9.42578125" style="60" bestFit="1" customWidth="1"/>
    <col min="772" max="772" width="7.85546875" style="60" customWidth="1"/>
    <col min="773" max="774" width="9.42578125" style="60" bestFit="1" customWidth="1"/>
    <col min="775" max="775" width="10.28515625" style="60" bestFit="1" customWidth="1"/>
    <col min="776" max="779" width="9.42578125" style="60" bestFit="1" customWidth="1"/>
    <col min="780" max="780" width="11.5703125" style="60" bestFit="1" customWidth="1"/>
    <col min="781" max="1024" width="9.140625" style="60"/>
    <col min="1025" max="1025" width="15.42578125" style="60" customWidth="1"/>
    <col min="1026" max="1026" width="10.85546875" style="60" customWidth="1"/>
    <col min="1027" max="1027" width="9.42578125" style="60" bestFit="1" customWidth="1"/>
    <col min="1028" max="1028" width="7.85546875" style="60" customWidth="1"/>
    <col min="1029" max="1030" width="9.42578125" style="60" bestFit="1" customWidth="1"/>
    <col min="1031" max="1031" width="10.28515625" style="60" bestFit="1" customWidth="1"/>
    <col min="1032" max="1035" width="9.42578125" style="60" bestFit="1" customWidth="1"/>
    <col min="1036" max="1036" width="11.5703125" style="60" bestFit="1" customWidth="1"/>
    <col min="1037" max="1280" width="9.140625" style="60"/>
    <col min="1281" max="1281" width="15.42578125" style="60" customWidth="1"/>
    <col min="1282" max="1282" width="10.85546875" style="60" customWidth="1"/>
    <col min="1283" max="1283" width="9.42578125" style="60" bestFit="1" customWidth="1"/>
    <col min="1284" max="1284" width="7.85546875" style="60" customWidth="1"/>
    <col min="1285" max="1286" width="9.42578125" style="60" bestFit="1" customWidth="1"/>
    <col min="1287" max="1287" width="10.28515625" style="60" bestFit="1" customWidth="1"/>
    <col min="1288" max="1291" width="9.42578125" style="60" bestFit="1" customWidth="1"/>
    <col min="1292" max="1292" width="11.5703125" style="60" bestFit="1" customWidth="1"/>
    <col min="1293" max="1536" width="9.140625" style="60"/>
    <col min="1537" max="1537" width="15.42578125" style="60" customWidth="1"/>
    <col min="1538" max="1538" width="10.85546875" style="60" customWidth="1"/>
    <col min="1539" max="1539" width="9.42578125" style="60" bestFit="1" customWidth="1"/>
    <col min="1540" max="1540" width="7.85546875" style="60" customWidth="1"/>
    <col min="1541" max="1542" width="9.42578125" style="60" bestFit="1" customWidth="1"/>
    <col min="1543" max="1543" width="10.28515625" style="60" bestFit="1" customWidth="1"/>
    <col min="1544" max="1547" width="9.42578125" style="60" bestFit="1" customWidth="1"/>
    <col min="1548" max="1548" width="11.5703125" style="60" bestFit="1" customWidth="1"/>
    <col min="1549" max="1792" width="9.140625" style="60"/>
    <col min="1793" max="1793" width="15.42578125" style="60" customWidth="1"/>
    <col min="1794" max="1794" width="10.85546875" style="60" customWidth="1"/>
    <col min="1795" max="1795" width="9.42578125" style="60" bestFit="1" customWidth="1"/>
    <col min="1796" max="1796" width="7.85546875" style="60" customWidth="1"/>
    <col min="1797" max="1798" width="9.42578125" style="60" bestFit="1" customWidth="1"/>
    <col min="1799" max="1799" width="10.28515625" style="60" bestFit="1" customWidth="1"/>
    <col min="1800" max="1803" width="9.42578125" style="60" bestFit="1" customWidth="1"/>
    <col min="1804" max="1804" width="11.5703125" style="60" bestFit="1" customWidth="1"/>
    <col min="1805" max="2048" width="9.140625" style="60"/>
    <col min="2049" max="2049" width="15.42578125" style="60" customWidth="1"/>
    <col min="2050" max="2050" width="10.85546875" style="60" customWidth="1"/>
    <col min="2051" max="2051" width="9.42578125" style="60" bestFit="1" customWidth="1"/>
    <col min="2052" max="2052" width="7.85546875" style="60" customWidth="1"/>
    <col min="2053" max="2054" width="9.42578125" style="60" bestFit="1" customWidth="1"/>
    <col min="2055" max="2055" width="10.28515625" style="60" bestFit="1" customWidth="1"/>
    <col min="2056" max="2059" width="9.42578125" style="60" bestFit="1" customWidth="1"/>
    <col min="2060" max="2060" width="11.5703125" style="60" bestFit="1" customWidth="1"/>
    <col min="2061" max="2304" width="9.140625" style="60"/>
    <col min="2305" max="2305" width="15.42578125" style="60" customWidth="1"/>
    <col min="2306" max="2306" width="10.85546875" style="60" customWidth="1"/>
    <col min="2307" max="2307" width="9.42578125" style="60" bestFit="1" customWidth="1"/>
    <col min="2308" max="2308" width="7.85546875" style="60" customWidth="1"/>
    <col min="2309" max="2310" width="9.42578125" style="60" bestFit="1" customWidth="1"/>
    <col min="2311" max="2311" width="10.28515625" style="60" bestFit="1" customWidth="1"/>
    <col min="2312" max="2315" width="9.42578125" style="60" bestFit="1" customWidth="1"/>
    <col min="2316" max="2316" width="11.5703125" style="60" bestFit="1" customWidth="1"/>
    <col min="2317" max="2560" width="9.140625" style="60"/>
    <col min="2561" max="2561" width="15.42578125" style="60" customWidth="1"/>
    <col min="2562" max="2562" width="10.85546875" style="60" customWidth="1"/>
    <col min="2563" max="2563" width="9.42578125" style="60" bestFit="1" customWidth="1"/>
    <col min="2564" max="2564" width="7.85546875" style="60" customWidth="1"/>
    <col min="2565" max="2566" width="9.42578125" style="60" bestFit="1" customWidth="1"/>
    <col min="2567" max="2567" width="10.28515625" style="60" bestFit="1" customWidth="1"/>
    <col min="2568" max="2571" width="9.42578125" style="60" bestFit="1" customWidth="1"/>
    <col min="2572" max="2572" width="11.5703125" style="60" bestFit="1" customWidth="1"/>
    <col min="2573" max="2816" width="9.140625" style="60"/>
    <col min="2817" max="2817" width="15.42578125" style="60" customWidth="1"/>
    <col min="2818" max="2818" width="10.85546875" style="60" customWidth="1"/>
    <col min="2819" max="2819" width="9.42578125" style="60" bestFit="1" customWidth="1"/>
    <col min="2820" max="2820" width="7.85546875" style="60" customWidth="1"/>
    <col min="2821" max="2822" width="9.42578125" style="60" bestFit="1" customWidth="1"/>
    <col min="2823" max="2823" width="10.28515625" style="60" bestFit="1" customWidth="1"/>
    <col min="2824" max="2827" width="9.42578125" style="60" bestFit="1" customWidth="1"/>
    <col min="2828" max="2828" width="11.5703125" style="60" bestFit="1" customWidth="1"/>
    <col min="2829" max="3072" width="9.140625" style="60"/>
    <col min="3073" max="3073" width="15.42578125" style="60" customWidth="1"/>
    <col min="3074" max="3074" width="10.85546875" style="60" customWidth="1"/>
    <col min="3075" max="3075" width="9.42578125" style="60" bestFit="1" customWidth="1"/>
    <col min="3076" max="3076" width="7.85546875" style="60" customWidth="1"/>
    <col min="3077" max="3078" width="9.42578125" style="60" bestFit="1" customWidth="1"/>
    <col min="3079" max="3079" width="10.28515625" style="60" bestFit="1" customWidth="1"/>
    <col min="3080" max="3083" width="9.42578125" style="60" bestFit="1" customWidth="1"/>
    <col min="3084" max="3084" width="11.5703125" style="60" bestFit="1" customWidth="1"/>
    <col min="3085" max="3328" width="9.140625" style="60"/>
    <col min="3329" max="3329" width="15.42578125" style="60" customWidth="1"/>
    <col min="3330" max="3330" width="10.85546875" style="60" customWidth="1"/>
    <col min="3331" max="3331" width="9.42578125" style="60" bestFit="1" customWidth="1"/>
    <col min="3332" max="3332" width="7.85546875" style="60" customWidth="1"/>
    <col min="3333" max="3334" width="9.42578125" style="60" bestFit="1" customWidth="1"/>
    <col min="3335" max="3335" width="10.28515625" style="60" bestFit="1" customWidth="1"/>
    <col min="3336" max="3339" width="9.42578125" style="60" bestFit="1" customWidth="1"/>
    <col min="3340" max="3340" width="11.5703125" style="60" bestFit="1" customWidth="1"/>
    <col min="3341" max="3584" width="9.140625" style="60"/>
    <col min="3585" max="3585" width="15.42578125" style="60" customWidth="1"/>
    <col min="3586" max="3586" width="10.85546875" style="60" customWidth="1"/>
    <col min="3587" max="3587" width="9.42578125" style="60" bestFit="1" customWidth="1"/>
    <col min="3588" max="3588" width="7.85546875" style="60" customWidth="1"/>
    <col min="3589" max="3590" width="9.42578125" style="60" bestFit="1" customWidth="1"/>
    <col min="3591" max="3591" width="10.28515625" style="60" bestFit="1" customWidth="1"/>
    <col min="3592" max="3595" width="9.42578125" style="60" bestFit="1" customWidth="1"/>
    <col min="3596" max="3596" width="11.5703125" style="60" bestFit="1" customWidth="1"/>
    <col min="3597" max="3840" width="9.140625" style="60"/>
    <col min="3841" max="3841" width="15.42578125" style="60" customWidth="1"/>
    <col min="3842" max="3842" width="10.85546875" style="60" customWidth="1"/>
    <col min="3843" max="3843" width="9.42578125" style="60" bestFit="1" customWidth="1"/>
    <col min="3844" max="3844" width="7.85546875" style="60" customWidth="1"/>
    <col min="3845" max="3846" width="9.42578125" style="60" bestFit="1" customWidth="1"/>
    <col min="3847" max="3847" width="10.28515625" style="60" bestFit="1" customWidth="1"/>
    <col min="3848" max="3851" width="9.42578125" style="60" bestFit="1" customWidth="1"/>
    <col min="3852" max="3852" width="11.5703125" style="60" bestFit="1" customWidth="1"/>
    <col min="3853" max="4096" width="9.140625" style="60"/>
    <col min="4097" max="4097" width="15.42578125" style="60" customWidth="1"/>
    <col min="4098" max="4098" width="10.85546875" style="60" customWidth="1"/>
    <col min="4099" max="4099" width="9.42578125" style="60" bestFit="1" customWidth="1"/>
    <col min="4100" max="4100" width="7.85546875" style="60" customWidth="1"/>
    <col min="4101" max="4102" width="9.42578125" style="60" bestFit="1" customWidth="1"/>
    <col min="4103" max="4103" width="10.28515625" style="60" bestFit="1" customWidth="1"/>
    <col min="4104" max="4107" width="9.42578125" style="60" bestFit="1" customWidth="1"/>
    <col min="4108" max="4108" width="11.5703125" style="60" bestFit="1" customWidth="1"/>
    <col min="4109" max="4352" width="9.140625" style="60"/>
    <col min="4353" max="4353" width="15.42578125" style="60" customWidth="1"/>
    <col min="4354" max="4354" width="10.85546875" style="60" customWidth="1"/>
    <col min="4355" max="4355" width="9.42578125" style="60" bestFit="1" customWidth="1"/>
    <col min="4356" max="4356" width="7.85546875" style="60" customWidth="1"/>
    <col min="4357" max="4358" width="9.42578125" style="60" bestFit="1" customWidth="1"/>
    <col min="4359" max="4359" width="10.28515625" style="60" bestFit="1" customWidth="1"/>
    <col min="4360" max="4363" width="9.42578125" style="60" bestFit="1" customWidth="1"/>
    <col min="4364" max="4364" width="11.5703125" style="60" bestFit="1" customWidth="1"/>
    <col min="4365" max="4608" width="9.140625" style="60"/>
    <col min="4609" max="4609" width="15.42578125" style="60" customWidth="1"/>
    <col min="4610" max="4610" width="10.85546875" style="60" customWidth="1"/>
    <col min="4611" max="4611" width="9.42578125" style="60" bestFit="1" customWidth="1"/>
    <col min="4612" max="4612" width="7.85546875" style="60" customWidth="1"/>
    <col min="4613" max="4614" width="9.42578125" style="60" bestFit="1" customWidth="1"/>
    <col min="4615" max="4615" width="10.28515625" style="60" bestFit="1" customWidth="1"/>
    <col min="4616" max="4619" width="9.42578125" style="60" bestFit="1" customWidth="1"/>
    <col min="4620" max="4620" width="11.5703125" style="60" bestFit="1" customWidth="1"/>
    <col min="4621" max="4864" width="9.140625" style="60"/>
    <col min="4865" max="4865" width="15.42578125" style="60" customWidth="1"/>
    <col min="4866" max="4866" width="10.85546875" style="60" customWidth="1"/>
    <col min="4867" max="4867" width="9.42578125" style="60" bestFit="1" customWidth="1"/>
    <col min="4868" max="4868" width="7.85546875" style="60" customWidth="1"/>
    <col min="4869" max="4870" width="9.42578125" style="60" bestFit="1" customWidth="1"/>
    <col min="4871" max="4871" width="10.28515625" style="60" bestFit="1" customWidth="1"/>
    <col min="4872" max="4875" width="9.42578125" style="60" bestFit="1" customWidth="1"/>
    <col min="4876" max="4876" width="11.5703125" style="60" bestFit="1" customWidth="1"/>
    <col min="4877" max="5120" width="9.140625" style="60"/>
    <col min="5121" max="5121" width="15.42578125" style="60" customWidth="1"/>
    <col min="5122" max="5122" width="10.85546875" style="60" customWidth="1"/>
    <col min="5123" max="5123" width="9.42578125" style="60" bestFit="1" customWidth="1"/>
    <col min="5124" max="5124" width="7.85546875" style="60" customWidth="1"/>
    <col min="5125" max="5126" width="9.42578125" style="60" bestFit="1" customWidth="1"/>
    <col min="5127" max="5127" width="10.28515625" style="60" bestFit="1" customWidth="1"/>
    <col min="5128" max="5131" width="9.42578125" style="60" bestFit="1" customWidth="1"/>
    <col min="5132" max="5132" width="11.5703125" style="60" bestFit="1" customWidth="1"/>
    <col min="5133" max="5376" width="9.140625" style="60"/>
    <col min="5377" max="5377" width="15.42578125" style="60" customWidth="1"/>
    <col min="5378" max="5378" width="10.85546875" style="60" customWidth="1"/>
    <col min="5379" max="5379" width="9.42578125" style="60" bestFit="1" customWidth="1"/>
    <col min="5380" max="5380" width="7.85546875" style="60" customWidth="1"/>
    <col min="5381" max="5382" width="9.42578125" style="60" bestFit="1" customWidth="1"/>
    <col min="5383" max="5383" width="10.28515625" style="60" bestFit="1" customWidth="1"/>
    <col min="5384" max="5387" width="9.42578125" style="60" bestFit="1" customWidth="1"/>
    <col min="5388" max="5388" width="11.5703125" style="60" bestFit="1" customWidth="1"/>
    <col min="5389" max="5632" width="9.140625" style="60"/>
    <col min="5633" max="5633" width="15.42578125" style="60" customWidth="1"/>
    <col min="5634" max="5634" width="10.85546875" style="60" customWidth="1"/>
    <col min="5635" max="5635" width="9.42578125" style="60" bestFit="1" customWidth="1"/>
    <col min="5636" max="5636" width="7.85546875" style="60" customWidth="1"/>
    <col min="5637" max="5638" width="9.42578125" style="60" bestFit="1" customWidth="1"/>
    <col min="5639" max="5639" width="10.28515625" style="60" bestFit="1" customWidth="1"/>
    <col min="5640" max="5643" width="9.42578125" style="60" bestFit="1" customWidth="1"/>
    <col min="5644" max="5644" width="11.5703125" style="60" bestFit="1" customWidth="1"/>
    <col min="5645" max="5888" width="9.140625" style="60"/>
    <col min="5889" max="5889" width="15.42578125" style="60" customWidth="1"/>
    <col min="5890" max="5890" width="10.85546875" style="60" customWidth="1"/>
    <col min="5891" max="5891" width="9.42578125" style="60" bestFit="1" customWidth="1"/>
    <col min="5892" max="5892" width="7.85546875" style="60" customWidth="1"/>
    <col min="5893" max="5894" width="9.42578125" style="60" bestFit="1" customWidth="1"/>
    <col min="5895" max="5895" width="10.28515625" style="60" bestFit="1" customWidth="1"/>
    <col min="5896" max="5899" width="9.42578125" style="60" bestFit="1" customWidth="1"/>
    <col min="5900" max="5900" width="11.5703125" style="60" bestFit="1" customWidth="1"/>
    <col min="5901" max="6144" width="9.140625" style="60"/>
    <col min="6145" max="6145" width="15.42578125" style="60" customWidth="1"/>
    <col min="6146" max="6146" width="10.85546875" style="60" customWidth="1"/>
    <col min="6147" max="6147" width="9.42578125" style="60" bestFit="1" customWidth="1"/>
    <col min="6148" max="6148" width="7.85546875" style="60" customWidth="1"/>
    <col min="6149" max="6150" width="9.42578125" style="60" bestFit="1" customWidth="1"/>
    <col min="6151" max="6151" width="10.28515625" style="60" bestFit="1" customWidth="1"/>
    <col min="6152" max="6155" width="9.42578125" style="60" bestFit="1" customWidth="1"/>
    <col min="6156" max="6156" width="11.5703125" style="60" bestFit="1" customWidth="1"/>
    <col min="6157" max="6400" width="9.140625" style="60"/>
    <col min="6401" max="6401" width="15.42578125" style="60" customWidth="1"/>
    <col min="6402" max="6402" width="10.85546875" style="60" customWidth="1"/>
    <col min="6403" max="6403" width="9.42578125" style="60" bestFit="1" customWidth="1"/>
    <col min="6404" max="6404" width="7.85546875" style="60" customWidth="1"/>
    <col min="6405" max="6406" width="9.42578125" style="60" bestFit="1" customWidth="1"/>
    <col min="6407" max="6407" width="10.28515625" style="60" bestFit="1" customWidth="1"/>
    <col min="6408" max="6411" width="9.42578125" style="60" bestFit="1" customWidth="1"/>
    <col min="6412" max="6412" width="11.5703125" style="60" bestFit="1" customWidth="1"/>
    <col min="6413" max="6656" width="9.140625" style="60"/>
    <col min="6657" max="6657" width="15.42578125" style="60" customWidth="1"/>
    <col min="6658" max="6658" width="10.85546875" style="60" customWidth="1"/>
    <col min="6659" max="6659" width="9.42578125" style="60" bestFit="1" customWidth="1"/>
    <col min="6660" max="6660" width="7.85546875" style="60" customWidth="1"/>
    <col min="6661" max="6662" width="9.42578125" style="60" bestFit="1" customWidth="1"/>
    <col min="6663" max="6663" width="10.28515625" style="60" bestFit="1" customWidth="1"/>
    <col min="6664" max="6667" width="9.42578125" style="60" bestFit="1" customWidth="1"/>
    <col min="6668" max="6668" width="11.5703125" style="60" bestFit="1" customWidth="1"/>
    <col min="6669" max="6912" width="9.140625" style="60"/>
    <col min="6913" max="6913" width="15.42578125" style="60" customWidth="1"/>
    <col min="6914" max="6914" width="10.85546875" style="60" customWidth="1"/>
    <col min="6915" max="6915" width="9.42578125" style="60" bestFit="1" customWidth="1"/>
    <col min="6916" max="6916" width="7.85546875" style="60" customWidth="1"/>
    <col min="6917" max="6918" width="9.42578125" style="60" bestFit="1" customWidth="1"/>
    <col min="6919" max="6919" width="10.28515625" style="60" bestFit="1" customWidth="1"/>
    <col min="6920" max="6923" width="9.42578125" style="60" bestFit="1" customWidth="1"/>
    <col min="6924" max="6924" width="11.5703125" style="60" bestFit="1" customWidth="1"/>
    <col min="6925" max="7168" width="9.140625" style="60"/>
    <col min="7169" max="7169" width="15.42578125" style="60" customWidth="1"/>
    <col min="7170" max="7170" width="10.85546875" style="60" customWidth="1"/>
    <col min="7171" max="7171" width="9.42578125" style="60" bestFit="1" customWidth="1"/>
    <col min="7172" max="7172" width="7.85546875" style="60" customWidth="1"/>
    <col min="7173" max="7174" width="9.42578125" style="60" bestFit="1" customWidth="1"/>
    <col min="7175" max="7175" width="10.28515625" style="60" bestFit="1" customWidth="1"/>
    <col min="7176" max="7179" width="9.42578125" style="60" bestFit="1" customWidth="1"/>
    <col min="7180" max="7180" width="11.5703125" style="60" bestFit="1" customWidth="1"/>
    <col min="7181" max="7424" width="9.140625" style="60"/>
    <col min="7425" max="7425" width="15.42578125" style="60" customWidth="1"/>
    <col min="7426" max="7426" width="10.85546875" style="60" customWidth="1"/>
    <col min="7427" max="7427" width="9.42578125" style="60" bestFit="1" customWidth="1"/>
    <col min="7428" max="7428" width="7.85546875" style="60" customWidth="1"/>
    <col min="7429" max="7430" width="9.42578125" style="60" bestFit="1" customWidth="1"/>
    <col min="7431" max="7431" width="10.28515625" style="60" bestFit="1" customWidth="1"/>
    <col min="7432" max="7435" width="9.42578125" style="60" bestFit="1" customWidth="1"/>
    <col min="7436" max="7436" width="11.5703125" style="60" bestFit="1" customWidth="1"/>
    <col min="7437" max="7680" width="9.140625" style="60"/>
    <col min="7681" max="7681" width="15.42578125" style="60" customWidth="1"/>
    <col min="7682" max="7682" width="10.85546875" style="60" customWidth="1"/>
    <col min="7683" max="7683" width="9.42578125" style="60" bestFit="1" customWidth="1"/>
    <col min="7684" max="7684" width="7.85546875" style="60" customWidth="1"/>
    <col min="7685" max="7686" width="9.42578125" style="60" bestFit="1" customWidth="1"/>
    <col min="7687" max="7687" width="10.28515625" style="60" bestFit="1" customWidth="1"/>
    <col min="7688" max="7691" width="9.42578125" style="60" bestFit="1" customWidth="1"/>
    <col min="7692" max="7692" width="11.5703125" style="60" bestFit="1" customWidth="1"/>
    <col min="7693" max="7936" width="9.140625" style="60"/>
    <col min="7937" max="7937" width="15.42578125" style="60" customWidth="1"/>
    <col min="7938" max="7938" width="10.85546875" style="60" customWidth="1"/>
    <col min="7939" max="7939" width="9.42578125" style="60" bestFit="1" customWidth="1"/>
    <col min="7940" max="7940" width="7.85546875" style="60" customWidth="1"/>
    <col min="7941" max="7942" width="9.42578125" style="60" bestFit="1" customWidth="1"/>
    <col min="7943" max="7943" width="10.28515625" style="60" bestFit="1" customWidth="1"/>
    <col min="7944" max="7947" width="9.42578125" style="60" bestFit="1" customWidth="1"/>
    <col min="7948" max="7948" width="11.5703125" style="60" bestFit="1" customWidth="1"/>
    <col min="7949" max="8192" width="9.140625" style="60"/>
    <col min="8193" max="8193" width="15.42578125" style="60" customWidth="1"/>
    <col min="8194" max="8194" width="10.85546875" style="60" customWidth="1"/>
    <col min="8195" max="8195" width="9.42578125" style="60" bestFit="1" customWidth="1"/>
    <col min="8196" max="8196" width="7.85546875" style="60" customWidth="1"/>
    <col min="8197" max="8198" width="9.42578125" style="60" bestFit="1" customWidth="1"/>
    <col min="8199" max="8199" width="10.28515625" style="60" bestFit="1" customWidth="1"/>
    <col min="8200" max="8203" width="9.42578125" style="60" bestFit="1" customWidth="1"/>
    <col min="8204" max="8204" width="11.5703125" style="60" bestFit="1" customWidth="1"/>
    <col min="8205" max="8448" width="9.140625" style="60"/>
    <col min="8449" max="8449" width="15.42578125" style="60" customWidth="1"/>
    <col min="8450" max="8450" width="10.85546875" style="60" customWidth="1"/>
    <col min="8451" max="8451" width="9.42578125" style="60" bestFit="1" customWidth="1"/>
    <col min="8452" max="8452" width="7.85546875" style="60" customWidth="1"/>
    <col min="8453" max="8454" width="9.42578125" style="60" bestFit="1" customWidth="1"/>
    <col min="8455" max="8455" width="10.28515625" style="60" bestFit="1" customWidth="1"/>
    <col min="8456" max="8459" width="9.42578125" style="60" bestFit="1" customWidth="1"/>
    <col min="8460" max="8460" width="11.5703125" style="60" bestFit="1" customWidth="1"/>
    <col min="8461" max="8704" width="9.140625" style="60"/>
    <col min="8705" max="8705" width="15.42578125" style="60" customWidth="1"/>
    <col min="8706" max="8706" width="10.85546875" style="60" customWidth="1"/>
    <col min="8707" max="8707" width="9.42578125" style="60" bestFit="1" customWidth="1"/>
    <col min="8708" max="8708" width="7.85546875" style="60" customWidth="1"/>
    <col min="8709" max="8710" width="9.42578125" style="60" bestFit="1" customWidth="1"/>
    <col min="8711" max="8711" width="10.28515625" style="60" bestFit="1" customWidth="1"/>
    <col min="8712" max="8715" width="9.42578125" style="60" bestFit="1" customWidth="1"/>
    <col min="8716" max="8716" width="11.5703125" style="60" bestFit="1" customWidth="1"/>
    <col min="8717" max="8960" width="9.140625" style="60"/>
    <col min="8961" max="8961" width="15.42578125" style="60" customWidth="1"/>
    <col min="8962" max="8962" width="10.85546875" style="60" customWidth="1"/>
    <col min="8963" max="8963" width="9.42578125" style="60" bestFit="1" customWidth="1"/>
    <col min="8964" max="8964" width="7.85546875" style="60" customWidth="1"/>
    <col min="8965" max="8966" width="9.42578125" style="60" bestFit="1" customWidth="1"/>
    <col min="8967" max="8967" width="10.28515625" style="60" bestFit="1" customWidth="1"/>
    <col min="8968" max="8971" width="9.42578125" style="60" bestFit="1" customWidth="1"/>
    <col min="8972" max="8972" width="11.5703125" style="60" bestFit="1" customWidth="1"/>
    <col min="8973" max="9216" width="9.140625" style="60"/>
    <col min="9217" max="9217" width="15.42578125" style="60" customWidth="1"/>
    <col min="9218" max="9218" width="10.85546875" style="60" customWidth="1"/>
    <col min="9219" max="9219" width="9.42578125" style="60" bestFit="1" customWidth="1"/>
    <col min="9220" max="9220" width="7.85546875" style="60" customWidth="1"/>
    <col min="9221" max="9222" width="9.42578125" style="60" bestFit="1" customWidth="1"/>
    <col min="9223" max="9223" width="10.28515625" style="60" bestFit="1" customWidth="1"/>
    <col min="9224" max="9227" width="9.42578125" style="60" bestFit="1" customWidth="1"/>
    <col min="9228" max="9228" width="11.5703125" style="60" bestFit="1" customWidth="1"/>
    <col min="9229" max="9472" width="9.140625" style="60"/>
    <col min="9473" max="9473" width="15.42578125" style="60" customWidth="1"/>
    <col min="9474" max="9474" width="10.85546875" style="60" customWidth="1"/>
    <col min="9475" max="9475" width="9.42578125" style="60" bestFit="1" customWidth="1"/>
    <col min="9476" max="9476" width="7.85546875" style="60" customWidth="1"/>
    <col min="9477" max="9478" width="9.42578125" style="60" bestFit="1" customWidth="1"/>
    <col min="9479" max="9479" width="10.28515625" style="60" bestFit="1" customWidth="1"/>
    <col min="9480" max="9483" width="9.42578125" style="60" bestFit="1" customWidth="1"/>
    <col min="9484" max="9484" width="11.5703125" style="60" bestFit="1" customWidth="1"/>
    <col min="9485" max="9728" width="9.140625" style="60"/>
    <col min="9729" max="9729" width="15.42578125" style="60" customWidth="1"/>
    <col min="9730" max="9730" width="10.85546875" style="60" customWidth="1"/>
    <col min="9731" max="9731" width="9.42578125" style="60" bestFit="1" customWidth="1"/>
    <col min="9732" max="9732" width="7.85546875" style="60" customWidth="1"/>
    <col min="9733" max="9734" width="9.42578125" style="60" bestFit="1" customWidth="1"/>
    <col min="9735" max="9735" width="10.28515625" style="60" bestFit="1" customWidth="1"/>
    <col min="9736" max="9739" width="9.42578125" style="60" bestFit="1" customWidth="1"/>
    <col min="9740" max="9740" width="11.5703125" style="60" bestFit="1" customWidth="1"/>
    <col min="9741" max="9984" width="9.140625" style="60"/>
    <col min="9985" max="9985" width="15.42578125" style="60" customWidth="1"/>
    <col min="9986" max="9986" width="10.85546875" style="60" customWidth="1"/>
    <col min="9987" max="9987" width="9.42578125" style="60" bestFit="1" customWidth="1"/>
    <col min="9988" max="9988" width="7.85546875" style="60" customWidth="1"/>
    <col min="9989" max="9990" width="9.42578125" style="60" bestFit="1" customWidth="1"/>
    <col min="9991" max="9991" width="10.28515625" style="60" bestFit="1" customWidth="1"/>
    <col min="9992" max="9995" width="9.42578125" style="60" bestFit="1" customWidth="1"/>
    <col min="9996" max="9996" width="11.5703125" style="60" bestFit="1" customWidth="1"/>
    <col min="9997" max="10240" width="9.140625" style="60"/>
    <col min="10241" max="10241" width="15.42578125" style="60" customWidth="1"/>
    <col min="10242" max="10242" width="10.85546875" style="60" customWidth="1"/>
    <col min="10243" max="10243" width="9.42578125" style="60" bestFit="1" customWidth="1"/>
    <col min="10244" max="10244" width="7.85546875" style="60" customWidth="1"/>
    <col min="10245" max="10246" width="9.42578125" style="60" bestFit="1" customWidth="1"/>
    <col min="10247" max="10247" width="10.28515625" style="60" bestFit="1" customWidth="1"/>
    <col min="10248" max="10251" width="9.42578125" style="60" bestFit="1" customWidth="1"/>
    <col min="10252" max="10252" width="11.5703125" style="60" bestFit="1" customWidth="1"/>
    <col min="10253" max="10496" width="9.140625" style="60"/>
    <col min="10497" max="10497" width="15.42578125" style="60" customWidth="1"/>
    <col min="10498" max="10498" width="10.85546875" style="60" customWidth="1"/>
    <col min="10499" max="10499" width="9.42578125" style="60" bestFit="1" customWidth="1"/>
    <col min="10500" max="10500" width="7.85546875" style="60" customWidth="1"/>
    <col min="10501" max="10502" width="9.42578125" style="60" bestFit="1" customWidth="1"/>
    <col min="10503" max="10503" width="10.28515625" style="60" bestFit="1" customWidth="1"/>
    <col min="10504" max="10507" width="9.42578125" style="60" bestFit="1" customWidth="1"/>
    <col min="10508" max="10508" width="11.5703125" style="60" bestFit="1" customWidth="1"/>
    <col min="10509" max="10752" width="9.140625" style="60"/>
    <col min="10753" max="10753" width="15.42578125" style="60" customWidth="1"/>
    <col min="10754" max="10754" width="10.85546875" style="60" customWidth="1"/>
    <col min="10755" max="10755" width="9.42578125" style="60" bestFit="1" customWidth="1"/>
    <col min="10756" max="10756" width="7.85546875" style="60" customWidth="1"/>
    <col min="10757" max="10758" width="9.42578125" style="60" bestFit="1" customWidth="1"/>
    <col min="10759" max="10759" width="10.28515625" style="60" bestFit="1" customWidth="1"/>
    <col min="10760" max="10763" width="9.42578125" style="60" bestFit="1" customWidth="1"/>
    <col min="10764" max="10764" width="11.5703125" style="60" bestFit="1" customWidth="1"/>
    <col min="10765" max="11008" width="9.140625" style="60"/>
    <col min="11009" max="11009" width="15.42578125" style="60" customWidth="1"/>
    <col min="11010" max="11010" width="10.85546875" style="60" customWidth="1"/>
    <col min="11011" max="11011" width="9.42578125" style="60" bestFit="1" customWidth="1"/>
    <col min="11012" max="11012" width="7.85546875" style="60" customWidth="1"/>
    <col min="11013" max="11014" width="9.42578125" style="60" bestFit="1" customWidth="1"/>
    <col min="11015" max="11015" width="10.28515625" style="60" bestFit="1" customWidth="1"/>
    <col min="11016" max="11019" width="9.42578125" style="60" bestFit="1" customWidth="1"/>
    <col min="11020" max="11020" width="11.5703125" style="60" bestFit="1" customWidth="1"/>
    <col min="11021" max="11264" width="9.140625" style="60"/>
    <col min="11265" max="11265" width="15.42578125" style="60" customWidth="1"/>
    <col min="11266" max="11266" width="10.85546875" style="60" customWidth="1"/>
    <col min="11267" max="11267" width="9.42578125" style="60" bestFit="1" customWidth="1"/>
    <col min="11268" max="11268" width="7.85546875" style="60" customWidth="1"/>
    <col min="11269" max="11270" width="9.42578125" style="60" bestFit="1" customWidth="1"/>
    <col min="11271" max="11271" width="10.28515625" style="60" bestFit="1" customWidth="1"/>
    <col min="11272" max="11275" width="9.42578125" style="60" bestFit="1" customWidth="1"/>
    <col min="11276" max="11276" width="11.5703125" style="60" bestFit="1" customWidth="1"/>
    <col min="11277" max="11520" width="9.140625" style="60"/>
    <col min="11521" max="11521" width="15.42578125" style="60" customWidth="1"/>
    <col min="11522" max="11522" width="10.85546875" style="60" customWidth="1"/>
    <col min="11523" max="11523" width="9.42578125" style="60" bestFit="1" customWidth="1"/>
    <col min="11524" max="11524" width="7.85546875" style="60" customWidth="1"/>
    <col min="11525" max="11526" width="9.42578125" style="60" bestFit="1" customWidth="1"/>
    <col min="11527" max="11527" width="10.28515625" style="60" bestFit="1" customWidth="1"/>
    <col min="11528" max="11531" width="9.42578125" style="60" bestFit="1" customWidth="1"/>
    <col min="11532" max="11532" width="11.5703125" style="60" bestFit="1" customWidth="1"/>
    <col min="11533" max="11776" width="9.140625" style="60"/>
    <col min="11777" max="11777" width="15.42578125" style="60" customWidth="1"/>
    <col min="11778" max="11778" width="10.85546875" style="60" customWidth="1"/>
    <col min="11779" max="11779" width="9.42578125" style="60" bestFit="1" customWidth="1"/>
    <col min="11780" max="11780" width="7.85546875" style="60" customWidth="1"/>
    <col min="11781" max="11782" width="9.42578125" style="60" bestFit="1" customWidth="1"/>
    <col min="11783" max="11783" width="10.28515625" style="60" bestFit="1" customWidth="1"/>
    <col min="11784" max="11787" width="9.42578125" style="60" bestFit="1" customWidth="1"/>
    <col min="11788" max="11788" width="11.5703125" style="60" bestFit="1" customWidth="1"/>
    <col min="11789" max="12032" width="9.140625" style="60"/>
    <col min="12033" max="12033" width="15.42578125" style="60" customWidth="1"/>
    <col min="12034" max="12034" width="10.85546875" style="60" customWidth="1"/>
    <col min="12035" max="12035" width="9.42578125" style="60" bestFit="1" customWidth="1"/>
    <col min="12036" max="12036" width="7.85546875" style="60" customWidth="1"/>
    <col min="12037" max="12038" width="9.42578125" style="60" bestFit="1" customWidth="1"/>
    <col min="12039" max="12039" width="10.28515625" style="60" bestFit="1" customWidth="1"/>
    <col min="12040" max="12043" width="9.42578125" style="60" bestFit="1" customWidth="1"/>
    <col min="12044" max="12044" width="11.5703125" style="60" bestFit="1" customWidth="1"/>
    <col min="12045" max="12288" width="9.140625" style="60"/>
    <col min="12289" max="12289" width="15.42578125" style="60" customWidth="1"/>
    <col min="12290" max="12290" width="10.85546875" style="60" customWidth="1"/>
    <col min="12291" max="12291" width="9.42578125" style="60" bestFit="1" customWidth="1"/>
    <col min="12292" max="12292" width="7.85546875" style="60" customWidth="1"/>
    <col min="12293" max="12294" width="9.42578125" style="60" bestFit="1" customWidth="1"/>
    <col min="12295" max="12295" width="10.28515625" style="60" bestFit="1" customWidth="1"/>
    <col min="12296" max="12299" width="9.42578125" style="60" bestFit="1" customWidth="1"/>
    <col min="12300" max="12300" width="11.5703125" style="60" bestFit="1" customWidth="1"/>
    <col min="12301" max="12544" width="9.140625" style="60"/>
    <col min="12545" max="12545" width="15.42578125" style="60" customWidth="1"/>
    <col min="12546" max="12546" width="10.85546875" style="60" customWidth="1"/>
    <col min="12547" max="12547" width="9.42578125" style="60" bestFit="1" customWidth="1"/>
    <col min="12548" max="12548" width="7.85546875" style="60" customWidth="1"/>
    <col min="12549" max="12550" width="9.42578125" style="60" bestFit="1" customWidth="1"/>
    <col min="12551" max="12551" width="10.28515625" style="60" bestFit="1" customWidth="1"/>
    <col min="12552" max="12555" width="9.42578125" style="60" bestFit="1" customWidth="1"/>
    <col min="12556" max="12556" width="11.5703125" style="60" bestFit="1" customWidth="1"/>
    <col min="12557" max="12800" width="9.140625" style="60"/>
    <col min="12801" max="12801" width="15.42578125" style="60" customWidth="1"/>
    <col min="12802" max="12802" width="10.85546875" style="60" customWidth="1"/>
    <col min="12803" max="12803" width="9.42578125" style="60" bestFit="1" customWidth="1"/>
    <col min="12804" max="12804" width="7.85546875" style="60" customWidth="1"/>
    <col min="12805" max="12806" width="9.42578125" style="60" bestFit="1" customWidth="1"/>
    <col min="12807" max="12807" width="10.28515625" style="60" bestFit="1" customWidth="1"/>
    <col min="12808" max="12811" width="9.42578125" style="60" bestFit="1" customWidth="1"/>
    <col min="12812" max="12812" width="11.5703125" style="60" bestFit="1" customWidth="1"/>
    <col min="12813" max="13056" width="9.140625" style="60"/>
    <col min="13057" max="13057" width="15.42578125" style="60" customWidth="1"/>
    <col min="13058" max="13058" width="10.85546875" style="60" customWidth="1"/>
    <col min="13059" max="13059" width="9.42578125" style="60" bestFit="1" customWidth="1"/>
    <col min="13060" max="13060" width="7.85546875" style="60" customWidth="1"/>
    <col min="13061" max="13062" width="9.42578125" style="60" bestFit="1" customWidth="1"/>
    <col min="13063" max="13063" width="10.28515625" style="60" bestFit="1" customWidth="1"/>
    <col min="13064" max="13067" width="9.42578125" style="60" bestFit="1" customWidth="1"/>
    <col min="13068" max="13068" width="11.5703125" style="60" bestFit="1" customWidth="1"/>
    <col min="13069" max="13312" width="9.140625" style="60"/>
    <col min="13313" max="13313" width="15.42578125" style="60" customWidth="1"/>
    <col min="13314" max="13314" width="10.85546875" style="60" customWidth="1"/>
    <col min="13315" max="13315" width="9.42578125" style="60" bestFit="1" customWidth="1"/>
    <col min="13316" max="13316" width="7.85546875" style="60" customWidth="1"/>
    <col min="13317" max="13318" width="9.42578125" style="60" bestFit="1" customWidth="1"/>
    <col min="13319" max="13319" width="10.28515625" style="60" bestFit="1" customWidth="1"/>
    <col min="13320" max="13323" width="9.42578125" style="60" bestFit="1" customWidth="1"/>
    <col min="13324" max="13324" width="11.5703125" style="60" bestFit="1" customWidth="1"/>
    <col min="13325" max="13568" width="9.140625" style="60"/>
    <col min="13569" max="13569" width="15.42578125" style="60" customWidth="1"/>
    <col min="13570" max="13570" width="10.85546875" style="60" customWidth="1"/>
    <col min="13571" max="13571" width="9.42578125" style="60" bestFit="1" customWidth="1"/>
    <col min="13572" max="13572" width="7.85546875" style="60" customWidth="1"/>
    <col min="13573" max="13574" width="9.42578125" style="60" bestFit="1" customWidth="1"/>
    <col min="13575" max="13575" width="10.28515625" style="60" bestFit="1" customWidth="1"/>
    <col min="13576" max="13579" width="9.42578125" style="60" bestFit="1" customWidth="1"/>
    <col min="13580" max="13580" width="11.5703125" style="60" bestFit="1" customWidth="1"/>
    <col min="13581" max="13824" width="9.140625" style="60"/>
    <col min="13825" max="13825" width="15.42578125" style="60" customWidth="1"/>
    <col min="13826" max="13826" width="10.85546875" style="60" customWidth="1"/>
    <col min="13827" max="13827" width="9.42578125" style="60" bestFit="1" customWidth="1"/>
    <col min="13828" max="13828" width="7.85546875" style="60" customWidth="1"/>
    <col min="13829" max="13830" width="9.42578125" style="60" bestFit="1" customWidth="1"/>
    <col min="13831" max="13831" width="10.28515625" style="60" bestFit="1" customWidth="1"/>
    <col min="13832" max="13835" width="9.42578125" style="60" bestFit="1" customWidth="1"/>
    <col min="13836" max="13836" width="11.5703125" style="60" bestFit="1" customWidth="1"/>
    <col min="13837" max="14080" width="9.140625" style="60"/>
    <col min="14081" max="14081" width="15.42578125" style="60" customWidth="1"/>
    <col min="14082" max="14082" width="10.85546875" style="60" customWidth="1"/>
    <col min="14083" max="14083" width="9.42578125" style="60" bestFit="1" customWidth="1"/>
    <col min="14084" max="14084" width="7.85546875" style="60" customWidth="1"/>
    <col min="14085" max="14086" width="9.42578125" style="60" bestFit="1" customWidth="1"/>
    <col min="14087" max="14087" width="10.28515625" style="60" bestFit="1" customWidth="1"/>
    <col min="14088" max="14091" width="9.42578125" style="60" bestFit="1" customWidth="1"/>
    <col min="14092" max="14092" width="11.5703125" style="60" bestFit="1" customWidth="1"/>
    <col min="14093" max="14336" width="9.140625" style="60"/>
    <col min="14337" max="14337" width="15.42578125" style="60" customWidth="1"/>
    <col min="14338" max="14338" width="10.85546875" style="60" customWidth="1"/>
    <col min="14339" max="14339" width="9.42578125" style="60" bestFit="1" customWidth="1"/>
    <col min="14340" max="14340" width="7.85546875" style="60" customWidth="1"/>
    <col min="14341" max="14342" width="9.42578125" style="60" bestFit="1" customWidth="1"/>
    <col min="14343" max="14343" width="10.28515625" style="60" bestFit="1" customWidth="1"/>
    <col min="14344" max="14347" width="9.42578125" style="60" bestFit="1" customWidth="1"/>
    <col min="14348" max="14348" width="11.5703125" style="60" bestFit="1" customWidth="1"/>
    <col min="14349" max="14592" width="9.140625" style="60"/>
    <col min="14593" max="14593" width="15.42578125" style="60" customWidth="1"/>
    <col min="14594" max="14594" width="10.85546875" style="60" customWidth="1"/>
    <col min="14595" max="14595" width="9.42578125" style="60" bestFit="1" customWidth="1"/>
    <col min="14596" max="14596" width="7.85546875" style="60" customWidth="1"/>
    <col min="14597" max="14598" width="9.42578125" style="60" bestFit="1" customWidth="1"/>
    <col min="14599" max="14599" width="10.28515625" style="60" bestFit="1" customWidth="1"/>
    <col min="14600" max="14603" width="9.42578125" style="60" bestFit="1" customWidth="1"/>
    <col min="14604" max="14604" width="11.5703125" style="60" bestFit="1" customWidth="1"/>
    <col min="14605" max="14848" width="9.140625" style="60"/>
    <col min="14849" max="14849" width="15.42578125" style="60" customWidth="1"/>
    <col min="14850" max="14850" width="10.85546875" style="60" customWidth="1"/>
    <col min="14851" max="14851" width="9.42578125" style="60" bestFit="1" customWidth="1"/>
    <col min="14852" max="14852" width="7.85546875" style="60" customWidth="1"/>
    <col min="14853" max="14854" width="9.42578125" style="60" bestFit="1" customWidth="1"/>
    <col min="14855" max="14855" width="10.28515625" style="60" bestFit="1" customWidth="1"/>
    <col min="14856" max="14859" width="9.42578125" style="60" bestFit="1" customWidth="1"/>
    <col min="14860" max="14860" width="11.5703125" style="60" bestFit="1" customWidth="1"/>
    <col min="14861" max="15104" width="9.140625" style="60"/>
    <col min="15105" max="15105" width="15.42578125" style="60" customWidth="1"/>
    <col min="15106" max="15106" width="10.85546875" style="60" customWidth="1"/>
    <col min="15107" max="15107" width="9.42578125" style="60" bestFit="1" customWidth="1"/>
    <col min="15108" max="15108" width="7.85546875" style="60" customWidth="1"/>
    <col min="15109" max="15110" width="9.42578125" style="60" bestFit="1" customWidth="1"/>
    <col min="15111" max="15111" width="10.28515625" style="60" bestFit="1" customWidth="1"/>
    <col min="15112" max="15115" width="9.42578125" style="60" bestFit="1" customWidth="1"/>
    <col min="15116" max="15116" width="11.5703125" style="60" bestFit="1" customWidth="1"/>
    <col min="15117" max="15360" width="9.140625" style="60"/>
    <col min="15361" max="15361" width="15.42578125" style="60" customWidth="1"/>
    <col min="15362" max="15362" width="10.85546875" style="60" customWidth="1"/>
    <col min="15363" max="15363" width="9.42578125" style="60" bestFit="1" customWidth="1"/>
    <col min="15364" max="15364" width="7.85546875" style="60" customWidth="1"/>
    <col min="15365" max="15366" width="9.42578125" style="60" bestFit="1" customWidth="1"/>
    <col min="15367" max="15367" width="10.28515625" style="60" bestFit="1" customWidth="1"/>
    <col min="15368" max="15371" width="9.42578125" style="60" bestFit="1" customWidth="1"/>
    <col min="15372" max="15372" width="11.5703125" style="60" bestFit="1" customWidth="1"/>
    <col min="15373" max="15616" width="9.140625" style="60"/>
    <col min="15617" max="15617" width="15.42578125" style="60" customWidth="1"/>
    <col min="15618" max="15618" width="10.85546875" style="60" customWidth="1"/>
    <col min="15619" max="15619" width="9.42578125" style="60" bestFit="1" customWidth="1"/>
    <col min="15620" max="15620" width="7.85546875" style="60" customWidth="1"/>
    <col min="15621" max="15622" width="9.42578125" style="60" bestFit="1" customWidth="1"/>
    <col min="15623" max="15623" width="10.28515625" style="60" bestFit="1" customWidth="1"/>
    <col min="15624" max="15627" width="9.42578125" style="60" bestFit="1" customWidth="1"/>
    <col min="15628" max="15628" width="11.5703125" style="60" bestFit="1" customWidth="1"/>
    <col min="15629" max="15872" width="9.140625" style="60"/>
    <col min="15873" max="15873" width="15.42578125" style="60" customWidth="1"/>
    <col min="15874" max="15874" width="10.85546875" style="60" customWidth="1"/>
    <col min="15875" max="15875" width="9.42578125" style="60" bestFit="1" customWidth="1"/>
    <col min="15876" max="15876" width="7.85546875" style="60" customWidth="1"/>
    <col min="15877" max="15878" width="9.42578125" style="60" bestFit="1" customWidth="1"/>
    <col min="15879" max="15879" width="10.28515625" style="60" bestFit="1" customWidth="1"/>
    <col min="15880" max="15883" width="9.42578125" style="60" bestFit="1" customWidth="1"/>
    <col min="15884" max="15884" width="11.5703125" style="60" bestFit="1" customWidth="1"/>
    <col min="15885" max="16128" width="9.140625" style="60"/>
    <col min="16129" max="16129" width="15.42578125" style="60" customWidth="1"/>
    <col min="16130" max="16130" width="10.85546875" style="60" customWidth="1"/>
    <col min="16131" max="16131" width="9.42578125" style="60" bestFit="1" customWidth="1"/>
    <col min="16132" max="16132" width="7.85546875" style="60" customWidth="1"/>
    <col min="16133" max="16134" width="9.42578125" style="60" bestFit="1" customWidth="1"/>
    <col min="16135" max="16135" width="10.28515625" style="60" bestFit="1" customWidth="1"/>
    <col min="16136" max="16139" width="9.42578125" style="60" bestFit="1" customWidth="1"/>
    <col min="16140" max="16140" width="11.5703125" style="60" bestFit="1" customWidth="1"/>
    <col min="16141" max="16384" width="9.140625" style="60"/>
  </cols>
  <sheetData>
    <row r="2" spans="1:13" x14ac:dyDescent="0.2">
      <c r="A2" s="380" t="s">
        <v>191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1:13" x14ac:dyDescent="0.2">
      <c r="A3" s="380" t="s">
        <v>96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</row>
    <row r="4" spans="1:13" x14ac:dyDescent="0.2">
      <c r="A4" s="380" t="s">
        <v>110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</row>
    <row r="6" spans="1:13" x14ac:dyDescent="0.2">
      <c r="A6" s="388" t="s">
        <v>1</v>
      </c>
      <c r="B6" s="385" t="s">
        <v>189</v>
      </c>
      <c r="C6" s="386"/>
      <c r="D6" s="386"/>
      <c r="E6" s="386"/>
      <c r="F6" s="386"/>
      <c r="G6" s="386"/>
      <c r="H6" s="386"/>
      <c r="I6" s="387"/>
      <c r="J6" s="385" t="s">
        <v>0</v>
      </c>
      <c r="K6" s="386"/>
      <c r="L6" s="387"/>
    </row>
    <row r="7" spans="1:13" ht="38.25" x14ac:dyDescent="0.2">
      <c r="A7" s="388"/>
      <c r="B7" s="204" t="s">
        <v>130</v>
      </c>
      <c r="C7" s="204" t="s">
        <v>131</v>
      </c>
      <c r="D7" s="204" t="s">
        <v>132</v>
      </c>
      <c r="E7" s="185" t="s">
        <v>135</v>
      </c>
      <c r="F7" s="179" t="s">
        <v>98</v>
      </c>
      <c r="G7" s="179" t="s">
        <v>99</v>
      </c>
      <c r="H7" s="179" t="s">
        <v>14</v>
      </c>
      <c r="I7" s="285" t="s">
        <v>3</v>
      </c>
      <c r="J7" s="179" t="s">
        <v>101</v>
      </c>
      <c r="K7" s="179" t="s">
        <v>4</v>
      </c>
      <c r="L7" s="179" t="s">
        <v>42</v>
      </c>
      <c r="M7" s="85"/>
    </row>
    <row r="8" spans="1:13" x14ac:dyDescent="0.2">
      <c r="A8" s="63"/>
      <c r="B8" s="63"/>
      <c r="C8" s="63"/>
      <c r="D8" s="63"/>
      <c r="E8" s="63"/>
      <c r="F8" s="63"/>
      <c r="G8" s="63"/>
      <c r="H8" s="63"/>
      <c r="I8" s="286"/>
      <c r="J8" s="63"/>
      <c r="K8" s="63"/>
      <c r="L8" s="63"/>
    </row>
    <row r="9" spans="1:13" ht="51" x14ac:dyDescent="0.2">
      <c r="A9" s="61" t="s">
        <v>102</v>
      </c>
      <c r="B9" s="86">
        <v>40</v>
      </c>
      <c r="C9" s="86">
        <v>5</v>
      </c>
      <c r="D9" s="86">
        <v>5</v>
      </c>
      <c r="E9" s="86">
        <v>0</v>
      </c>
      <c r="F9" s="86">
        <f>B9+C9+D9+E9</f>
        <v>50</v>
      </c>
      <c r="G9" s="267">
        <f>(B9*82.45)+(C9*123.48)+(D9*161.91)+(E9*39.06)</f>
        <v>4724.95</v>
      </c>
      <c r="H9" s="86">
        <v>0</v>
      </c>
      <c r="I9" s="287">
        <v>17</v>
      </c>
      <c r="J9" s="269">
        <v>30</v>
      </c>
      <c r="K9" s="86">
        <f>F9*J9</f>
        <v>1500</v>
      </c>
      <c r="L9" s="287">
        <f>(G9+H9+I9)*J9</f>
        <v>142258.5</v>
      </c>
    </row>
    <row r="10" spans="1:13" ht="63.75" x14ac:dyDescent="0.2">
      <c r="A10" s="61" t="s">
        <v>111</v>
      </c>
      <c r="B10" s="86">
        <v>20</v>
      </c>
      <c r="C10" s="86">
        <v>7</v>
      </c>
      <c r="D10" s="86">
        <v>0</v>
      </c>
      <c r="E10" s="86">
        <v>35</v>
      </c>
      <c r="F10" s="86">
        <f>B10+C10+D10+E10</f>
        <v>62</v>
      </c>
      <c r="G10" s="267">
        <f>(B10*82.45)+(C10*123.48)+(D10*161.91)+(E10*39.06)</f>
        <v>3880.46</v>
      </c>
      <c r="H10" s="86">
        <v>0</v>
      </c>
      <c r="I10" s="287">
        <v>5</v>
      </c>
      <c r="J10" s="269">
        <v>30</v>
      </c>
      <c r="K10" s="86">
        <f>F10*J10</f>
        <v>1860</v>
      </c>
      <c r="L10" s="287">
        <f>(G10+H10+I10)*J10</f>
        <v>116563.8</v>
      </c>
    </row>
    <row r="11" spans="1:13" ht="25.5" x14ac:dyDescent="0.2">
      <c r="A11" s="61" t="s">
        <v>112</v>
      </c>
      <c r="B11" s="86">
        <v>5</v>
      </c>
      <c r="C11" s="86">
        <v>3</v>
      </c>
      <c r="D11" s="86">
        <v>0</v>
      </c>
      <c r="E11" s="86">
        <v>3</v>
      </c>
      <c r="F11" s="86">
        <f>B11+C11+D11+E11</f>
        <v>11</v>
      </c>
      <c r="G11" s="267">
        <f>(B11*82.45)+(C11*123.48)+(D11*161.91)+(E11*39.06)</f>
        <v>899.87000000000012</v>
      </c>
      <c r="H11" s="86">
        <v>0</v>
      </c>
      <c r="I11" s="287">
        <v>3</v>
      </c>
      <c r="J11" s="269">
        <v>30</v>
      </c>
      <c r="K11" s="86">
        <f>F11*J11</f>
        <v>330</v>
      </c>
      <c r="L11" s="287">
        <f>(G11+H11+I11)*J11</f>
        <v>27086.100000000002</v>
      </c>
    </row>
    <row r="12" spans="1:13" ht="13.5" thickBot="1" x14ac:dyDescent="0.25">
      <c r="A12" s="69" t="s">
        <v>45</v>
      </c>
      <c r="B12" s="87">
        <v>1.5</v>
      </c>
      <c r="C12" s="87">
        <v>0</v>
      </c>
      <c r="D12" s="87">
        <v>0</v>
      </c>
      <c r="E12" s="87">
        <v>2</v>
      </c>
      <c r="F12" s="87">
        <f>B12+C12+D12+E12</f>
        <v>3.5</v>
      </c>
      <c r="G12" s="268">
        <f>(B12*82.45)+(C12*123.48)+(D12*161.91)+(E12*39.06)</f>
        <v>201.79500000000002</v>
      </c>
      <c r="H12" s="87">
        <v>0</v>
      </c>
      <c r="I12" s="288">
        <v>13</v>
      </c>
      <c r="J12" s="270">
        <v>30</v>
      </c>
      <c r="K12" s="87">
        <f>F12*J12</f>
        <v>105</v>
      </c>
      <c r="L12" s="288">
        <f>(G12+H12+I12)*J12</f>
        <v>6443.85</v>
      </c>
      <c r="M12" s="334"/>
    </row>
    <row r="13" spans="1:13" ht="13.5" thickTop="1" x14ac:dyDescent="0.2">
      <c r="A13" s="74"/>
      <c r="B13" s="88"/>
      <c r="C13" s="88"/>
      <c r="D13" s="88"/>
      <c r="E13" s="88"/>
      <c r="F13" s="88"/>
      <c r="G13" s="89"/>
      <c r="H13" s="88"/>
      <c r="I13" s="289"/>
      <c r="J13" s="88"/>
      <c r="K13" s="88"/>
      <c r="L13" s="289"/>
    </row>
    <row r="14" spans="1:13" ht="25.5" x14ac:dyDescent="0.2">
      <c r="A14" s="182" t="s">
        <v>8</v>
      </c>
      <c r="B14" s="181">
        <f t="shared" ref="B14:I14" si="0">SUM(B9:B12)</f>
        <v>66.5</v>
      </c>
      <c r="C14" s="181">
        <f t="shared" si="0"/>
        <v>15</v>
      </c>
      <c r="D14" s="181">
        <f>SUM(D9:D12)</f>
        <v>5</v>
      </c>
      <c r="E14" s="181">
        <f>SUM(E9:E12)</f>
        <v>40</v>
      </c>
      <c r="F14" s="181">
        <f>SUM(F9:F12)</f>
        <v>126.5</v>
      </c>
      <c r="G14" s="180">
        <f t="shared" si="0"/>
        <v>9707.0750000000007</v>
      </c>
      <c r="H14" s="181">
        <f t="shared" si="0"/>
        <v>0</v>
      </c>
      <c r="I14" s="290">
        <f t="shared" si="0"/>
        <v>38</v>
      </c>
      <c r="J14" s="181" t="s">
        <v>11</v>
      </c>
      <c r="K14" s="181" t="s">
        <v>11</v>
      </c>
      <c r="L14" s="181" t="s">
        <v>11</v>
      </c>
    </row>
    <row r="15" spans="1:13" ht="25.5" x14ac:dyDescent="0.2">
      <c r="A15" s="182" t="s">
        <v>10</v>
      </c>
      <c r="B15" s="183" t="s">
        <v>11</v>
      </c>
      <c r="C15" s="183" t="s">
        <v>11</v>
      </c>
      <c r="D15" s="183" t="s">
        <v>11</v>
      </c>
      <c r="E15" s="183" t="s">
        <v>11</v>
      </c>
      <c r="F15" s="183" t="s">
        <v>11</v>
      </c>
      <c r="G15" s="184">
        <f>SUMPRODUCT(G9:G12,J9:J12)</f>
        <v>291212.24999999994</v>
      </c>
      <c r="H15" s="183">
        <v>0</v>
      </c>
      <c r="I15" s="234">
        <f>SUMPRODUCT(I9:I12,J9:J12)</f>
        <v>1140</v>
      </c>
      <c r="J15" s="183">
        <v>30</v>
      </c>
      <c r="K15" s="180">
        <f>SUM(K9:K12)</f>
        <v>3795</v>
      </c>
      <c r="L15" s="184">
        <f>SUM(L9:L12)</f>
        <v>292352.24999999994</v>
      </c>
    </row>
    <row r="17" spans="1:7" x14ac:dyDescent="0.2">
      <c r="A17" s="60" t="s">
        <v>109</v>
      </c>
    </row>
    <row r="20" spans="1:7" ht="15" x14ac:dyDescent="0.2">
      <c r="B20" s="79"/>
      <c r="C20" s="80"/>
      <c r="D20" s="80"/>
      <c r="E20" s="81"/>
      <c r="F20" s="81"/>
      <c r="G20" s="82"/>
    </row>
    <row r="21" spans="1:7" ht="15" x14ac:dyDescent="0.2">
      <c r="B21" s="81"/>
      <c r="C21" s="80"/>
      <c r="D21" s="80"/>
      <c r="E21" s="81"/>
      <c r="F21" s="83"/>
      <c r="G21" s="82"/>
    </row>
    <row r="22" spans="1:7" ht="15" x14ac:dyDescent="0.2">
      <c r="B22" s="81"/>
      <c r="C22" s="80"/>
      <c r="D22" s="80"/>
      <c r="E22" s="81"/>
      <c r="F22" s="84"/>
      <c r="G22" s="82"/>
    </row>
  </sheetData>
  <mergeCells count="6">
    <mergeCell ref="A2:L2"/>
    <mergeCell ref="A3:L3"/>
    <mergeCell ref="A4:L4"/>
    <mergeCell ref="B6:I6"/>
    <mergeCell ref="J6:L6"/>
    <mergeCell ref="A6:A7"/>
  </mergeCells>
  <hyperlinks>
    <hyperlink ref="E7" r:id="rId1" display="Clerical@ $29.93/hr"/>
  </hyperlinks>
  <printOptions horizontalCentered="1" verticalCentered="1"/>
  <pageMargins left="0.75" right="0.75" top="1" bottom="1" header="0.5" footer="0.5"/>
  <pageSetup orientation="landscape" verticalDpi="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workbookViewId="0"/>
  </sheetViews>
  <sheetFormatPr defaultRowHeight="12.75" x14ac:dyDescent="0.2"/>
  <cols>
    <col min="1" max="1" width="25.85546875" customWidth="1"/>
    <col min="2" max="2" width="11.28515625" customWidth="1"/>
    <col min="3" max="3" width="11.5703125" customWidth="1"/>
    <col min="4" max="4" width="10.5703125" customWidth="1"/>
    <col min="5" max="5" width="10" customWidth="1"/>
    <col min="7" max="7" width="11.5703125" customWidth="1"/>
    <col min="11" max="11" width="10.42578125" customWidth="1"/>
    <col min="12" max="12" width="11.140625" customWidth="1"/>
  </cols>
  <sheetData>
    <row r="2" spans="1:13" x14ac:dyDescent="0.2">
      <c r="A2" s="380" t="s">
        <v>192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1:13" x14ac:dyDescent="0.2">
      <c r="A3" s="380" t="s">
        <v>176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</row>
    <row r="4" spans="1:13" x14ac:dyDescent="0.2">
      <c r="A4" s="389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</row>
    <row r="5" spans="1:13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3" x14ac:dyDescent="0.2">
      <c r="A6" s="388" t="s">
        <v>223</v>
      </c>
      <c r="B6" s="385" t="s">
        <v>189</v>
      </c>
      <c r="C6" s="386"/>
      <c r="D6" s="386"/>
      <c r="E6" s="386"/>
      <c r="F6" s="386"/>
      <c r="G6" s="386"/>
      <c r="H6" s="386"/>
      <c r="I6" s="387"/>
      <c r="J6" s="385" t="s">
        <v>0</v>
      </c>
      <c r="K6" s="386"/>
      <c r="L6" s="387"/>
    </row>
    <row r="7" spans="1:13" ht="38.25" x14ac:dyDescent="0.2">
      <c r="A7" s="388"/>
      <c r="B7" s="204" t="s">
        <v>130</v>
      </c>
      <c r="C7" s="204" t="s">
        <v>131</v>
      </c>
      <c r="D7" s="204" t="s">
        <v>132</v>
      </c>
      <c r="E7" s="185" t="s">
        <v>135</v>
      </c>
      <c r="F7" s="179" t="s">
        <v>98</v>
      </c>
      <c r="G7" s="179" t="s">
        <v>99</v>
      </c>
      <c r="H7" s="179" t="s">
        <v>14</v>
      </c>
      <c r="I7" s="179" t="s">
        <v>3</v>
      </c>
      <c r="J7" s="179" t="s">
        <v>101</v>
      </c>
      <c r="K7" s="179" t="s">
        <v>4</v>
      </c>
      <c r="L7" s="179" t="s">
        <v>42</v>
      </c>
    </row>
    <row r="8" spans="1:13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3" ht="25.5" x14ac:dyDescent="0.2">
      <c r="A9" s="61" t="s">
        <v>102</v>
      </c>
      <c r="B9" s="269">
        <v>1.5</v>
      </c>
      <c r="C9" s="269">
        <v>1</v>
      </c>
      <c r="D9" s="269">
        <v>0</v>
      </c>
      <c r="E9" s="269">
        <v>0</v>
      </c>
      <c r="F9" s="269">
        <f>B9+C9+D9+E9</f>
        <v>2.5</v>
      </c>
      <c r="G9" s="271">
        <f>(B9*82.45)+(C9*123.48)+(D9*161.91)+(E9*39.06)</f>
        <v>247.15500000000003</v>
      </c>
      <c r="H9" s="269">
        <v>0</v>
      </c>
      <c r="I9" s="272">
        <v>17</v>
      </c>
      <c r="J9" s="269">
        <v>1000</v>
      </c>
      <c r="K9" s="269">
        <f>F9*J9</f>
        <v>2500</v>
      </c>
      <c r="L9" s="272">
        <f>(G9+H9+I9)*J9</f>
        <v>264155.00000000006</v>
      </c>
    </row>
    <row r="10" spans="1:13" ht="38.25" x14ac:dyDescent="0.2">
      <c r="A10" s="61" t="s">
        <v>219</v>
      </c>
      <c r="B10" s="269">
        <v>5</v>
      </c>
      <c r="C10" s="269">
        <v>3</v>
      </c>
      <c r="D10" s="269">
        <v>2</v>
      </c>
      <c r="E10" s="269">
        <v>4</v>
      </c>
      <c r="F10" s="269">
        <f t="shared" ref="F10:F16" si="0">B10+C10+D10+E10</f>
        <v>14</v>
      </c>
      <c r="G10" s="271">
        <f t="shared" ref="G10:G16" si="1">(B10*82.45)+(C10*123.48)+(D10*161.91)+(E10*39.06)</f>
        <v>1262.75</v>
      </c>
      <c r="H10" s="269">
        <v>0</v>
      </c>
      <c r="I10" s="272">
        <v>20</v>
      </c>
      <c r="J10" s="269">
        <v>20</v>
      </c>
      <c r="K10" s="269">
        <f t="shared" ref="K10:K13" si="2">F10*J10</f>
        <v>280</v>
      </c>
      <c r="L10" s="272">
        <f t="shared" ref="L10:L13" si="3">(G10+H10+I10)*J10</f>
        <v>25655</v>
      </c>
    </row>
    <row r="11" spans="1:13" x14ac:dyDescent="0.2">
      <c r="A11" s="61" t="s">
        <v>218</v>
      </c>
      <c r="B11" s="269">
        <v>1</v>
      </c>
      <c r="C11" s="269">
        <v>0.5</v>
      </c>
      <c r="D11" s="269">
        <v>0.5</v>
      </c>
      <c r="E11" s="269">
        <v>1</v>
      </c>
      <c r="F11" s="269">
        <f t="shared" si="0"/>
        <v>3</v>
      </c>
      <c r="G11" s="271">
        <f t="shared" si="1"/>
        <v>264.20499999999998</v>
      </c>
      <c r="H11" s="269">
        <v>0</v>
      </c>
      <c r="I11" s="272">
        <v>5</v>
      </c>
      <c r="J11" s="269">
        <v>16</v>
      </c>
      <c r="K11" s="269">
        <f t="shared" si="2"/>
        <v>48</v>
      </c>
      <c r="L11" s="272">
        <f t="shared" si="3"/>
        <v>4307.28</v>
      </c>
    </row>
    <row r="12" spans="1:13" ht="38.25" x14ac:dyDescent="0.2">
      <c r="A12" s="61" t="s">
        <v>177</v>
      </c>
      <c r="B12" s="269">
        <v>3</v>
      </c>
      <c r="C12" s="269">
        <v>0</v>
      </c>
      <c r="D12" s="269">
        <v>0</v>
      </c>
      <c r="E12" s="269">
        <v>0</v>
      </c>
      <c r="F12" s="269">
        <f t="shared" si="0"/>
        <v>3</v>
      </c>
      <c r="G12" s="271">
        <f t="shared" si="1"/>
        <v>247.35000000000002</v>
      </c>
      <c r="H12" s="269">
        <v>0</v>
      </c>
      <c r="I12" s="272">
        <v>2</v>
      </c>
      <c r="J12" s="269">
        <v>200</v>
      </c>
      <c r="K12" s="269">
        <f t="shared" si="2"/>
        <v>600</v>
      </c>
      <c r="L12" s="272">
        <f t="shared" si="3"/>
        <v>49870.000000000007</v>
      </c>
    </row>
    <row r="13" spans="1:13" ht="25.5" x14ac:dyDescent="0.2">
      <c r="A13" s="61" t="s">
        <v>178</v>
      </c>
      <c r="B13" s="269">
        <v>10</v>
      </c>
      <c r="C13" s="269">
        <v>0</v>
      </c>
      <c r="D13" s="269">
        <v>0</v>
      </c>
      <c r="E13" s="269">
        <v>10</v>
      </c>
      <c r="F13" s="269">
        <f t="shared" si="0"/>
        <v>20</v>
      </c>
      <c r="G13" s="271">
        <f t="shared" si="1"/>
        <v>1215.0999999999999</v>
      </c>
      <c r="H13" s="269">
        <v>0</v>
      </c>
      <c r="I13" s="272">
        <v>20</v>
      </c>
      <c r="J13" s="269">
        <v>100</v>
      </c>
      <c r="K13" s="269">
        <f t="shared" si="2"/>
        <v>2000</v>
      </c>
      <c r="L13" s="272">
        <f t="shared" si="3"/>
        <v>123509.99999999999</v>
      </c>
    </row>
    <row r="14" spans="1:13" ht="25.5" x14ac:dyDescent="0.2">
      <c r="A14" s="61" t="s">
        <v>224</v>
      </c>
      <c r="B14" s="269">
        <v>5</v>
      </c>
      <c r="C14" s="269">
        <v>3</v>
      </c>
      <c r="D14" s="269">
        <v>0</v>
      </c>
      <c r="E14" s="269">
        <v>3</v>
      </c>
      <c r="F14" s="269">
        <f t="shared" si="0"/>
        <v>11</v>
      </c>
      <c r="G14" s="271">
        <f t="shared" si="1"/>
        <v>899.87000000000012</v>
      </c>
      <c r="H14" s="269">
        <v>0</v>
      </c>
      <c r="I14" s="272">
        <v>3</v>
      </c>
      <c r="J14" s="269">
        <v>403</v>
      </c>
      <c r="K14" s="269">
        <f>F14*J14</f>
        <v>4433</v>
      </c>
      <c r="L14" s="272">
        <f>(G14+H14+I14)*J14</f>
        <v>363856.61000000004</v>
      </c>
    </row>
    <row r="15" spans="1:13" ht="38.25" x14ac:dyDescent="0.2">
      <c r="A15" s="273" t="s">
        <v>225</v>
      </c>
      <c r="B15" s="282">
        <v>1</v>
      </c>
      <c r="C15" s="282">
        <v>0</v>
      </c>
      <c r="D15" s="282">
        <v>0</v>
      </c>
      <c r="E15" s="282">
        <v>0</v>
      </c>
      <c r="F15" s="282">
        <f t="shared" si="0"/>
        <v>1</v>
      </c>
      <c r="G15" s="283">
        <f t="shared" si="1"/>
        <v>82.45</v>
      </c>
      <c r="H15" s="282">
        <v>0</v>
      </c>
      <c r="I15" s="284">
        <v>10</v>
      </c>
      <c r="J15" s="282">
        <v>68</v>
      </c>
      <c r="K15" s="269">
        <f>F15*J15</f>
        <v>68</v>
      </c>
      <c r="L15" s="272">
        <f>(G15+H15+I15)*J15</f>
        <v>6286.6</v>
      </c>
    </row>
    <row r="16" spans="1:13" ht="13.5" thickBot="1" x14ac:dyDescent="0.25">
      <c r="A16" s="69" t="s">
        <v>45</v>
      </c>
      <c r="B16" s="270">
        <v>1.5</v>
      </c>
      <c r="C16" s="270">
        <v>0</v>
      </c>
      <c r="D16" s="270">
        <v>0</v>
      </c>
      <c r="E16" s="270">
        <v>3</v>
      </c>
      <c r="F16" s="270">
        <f t="shared" si="0"/>
        <v>4.5</v>
      </c>
      <c r="G16" s="278">
        <f t="shared" si="1"/>
        <v>240.85500000000002</v>
      </c>
      <c r="H16" s="270">
        <v>0</v>
      </c>
      <c r="I16" s="279">
        <v>13</v>
      </c>
      <c r="J16" s="270">
        <f>J10+J13</f>
        <v>120</v>
      </c>
      <c r="K16" s="270">
        <f>F16*J16</f>
        <v>540</v>
      </c>
      <c r="L16" s="279">
        <f>(G16+H16+I16)*J16</f>
        <v>30462.600000000002</v>
      </c>
      <c r="M16" s="334"/>
    </row>
    <row r="17" spans="1:12" ht="13.5" thickTop="1" x14ac:dyDescent="0.2">
      <c r="A17" s="74"/>
      <c r="B17" s="280"/>
      <c r="C17" s="280"/>
      <c r="D17" s="280"/>
      <c r="E17" s="280"/>
      <c r="F17" s="280"/>
      <c r="G17" s="281"/>
      <c r="H17" s="280"/>
      <c r="I17" s="280"/>
      <c r="J17" s="280"/>
      <c r="K17" s="280"/>
      <c r="L17" s="281"/>
    </row>
    <row r="18" spans="1:12" x14ac:dyDescent="0.2">
      <c r="A18" s="182" t="s">
        <v>8</v>
      </c>
      <c r="B18" s="181">
        <f t="shared" ref="B18:I18" si="4">SUM(B9:B16)</f>
        <v>28</v>
      </c>
      <c r="C18" s="181">
        <f t="shared" si="4"/>
        <v>7.5</v>
      </c>
      <c r="D18" s="181">
        <f t="shared" si="4"/>
        <v>2.5</v>
      </c>
      <c r="E18" s="181">
        <f t="shared" si="4"/>
        <v>21</v>
      </c>
      <c r="F18" s="181">
        <f>SUM(F9:F16)</f>
        <v>59</v>
      </c>
      <c r="G18" s="180">
        <f t="shared" si="4"/>
        <v>4459.7350000000006</v>
      </c>
      <c r="H18" s="181">
        <f t="shared" si="4"/>
        <v>0</v>
      </c>
      <c r="I18" s="181">
        <f t="shared" si="4"/>
        <v>90</v>
      </c>
      <c r="J18" s="181" t="s">
        <v>11</v>
      </c>
      <c r="K18" s="181" t="s">
        <v>11</v>
      </c>
      <c r="L18" s="181" t="s">
        <v>11</v>
      </c>
    </row>
    <row r="19" spans="1:12" x14ac:dyDescent="0.2">
      <c r="A19" s="182" t="s">
        <v>10</v>
      </c>
      <c r="B19" s="183" t="s">
        <v>11</v>
      </c>
      <c r="C19" s="183" t="s">
        <v>11</v>
      </c>
      <c r="D19" s="183" t="s">
        <v>11</v>
      </c>
      <c r="E19" s="183" t="s">
        <v>11</v>
      </c>
      <c r="F19" s="183" t="s">
        <v>11</v>
      </c>
      <c r="G19" s="184">
        <f>SUMPRODUCT(G9:G16,J9:J16)</f>
        <v>844774.09000000008</v>
      </c>
      <c r="H19" s="183">
        <v>0</v>
      </c>
      <c r="I19" s="184">
        <f>SUMPRODUCT(I9:I16,J9:J16)</f>
        <v>23329</v>
      </c>
      <c r="J19" s="183">
        <v>1000</v>
      </c>
      <c r="K19" s="180">
        <f>SUM(K9:K16)</f>
        <v>10469</v>
      </c>
      <c r="L19" s="184">
        <f>SUM(L9:L16)</f>
        <v>868103.09000000008</v>
      </c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 t="s">
        <v>109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4" spans="1:12" x14ac:dyDescent="0.2">
      <c r="B24" t="s">
        <v>204</v>
      </c>
    </row>
  </sheetData>
  <mergeCells count="6">
    <mergeCell ref="A2:L2"/>
    <mergeCell ref="A3:L3"/>
    <mergeCell ref="A4:L4"/>
    <mergeCell ref="A6:A7"/>
    <mergeCell ref="B6:I6"/>
    <mergeCell ref="J6:L6"/>
  </mergeCells>
  <hyperlinks>
    <hyperlink ref="E7" r:id="rId1" display="Clerical@ $29.93/hr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/>
  </sheetViews>
  <sheetFormatPr defaultRowHeight="12.75" x14ac:dyDescent="0.2"/>
  <cols>
    <col min="1" max="1" width="26" style="9" customWidth="1"/>
    <col min="2" max="2" width="8.85546875" style="9" customWidth="1"/>
    <col min="3" max="3" width="11.85546875" style="9" customWidth="1"/>
    <col min="4" max="7" width="9.140625" style="9"/>
    <col min="8" max="11" width="9.140625" style="9" customWidth="1"/>
    <col min="12" max="16384" width="9.140625" style="9"/>
  </cols>
  <sheetData>
    <row r="1" spans="1:4" x14ac:dyDescent="0.2">
      <c r="B1" s="10" t="s">
        <v>245</v>
      </c>
    </row>
    <row r="2" spans="1:4" x14ac:dyDescent="0.2">
      <c r="B2" s="10"/>
    </row>
    <row r="3" spans="1:4" ht="38.25" x14ac:dyDescent="0.2">
      <c r="A3" s="185" t="s">
        <v>48</v>
      </c>
      <c r="B3" s="185" t="s">
        <v>50</v>
      </c>
      <c r="C3" s="185" t="s">
        <v>51</v>
      </c>
      <c r="D3" s="186">
        <v>1.1000000000000001</v>
      </c>
    </row>
    <row r="4" spans="1:4" x14ac:dyDescent="0.2">
      <c r="A4" s="16"/>
      <c r="B4" s="15"/>
      <c r="C4" s="12"/>
      <c r="D4" s="12"/>
    </row>
    <row r="5" spans="1:4" x14ac:dyDescent="0.2">
      <c r="A5" s="256" t="s">
        <v>52</v>
      </c>
      <c r="B5" s="257" t="s">
        <v>53</v>
      </c>
      <c r="C5" s="258">
        <v>39.26</v>
      </c>
      <c r="D5" s="258">
        <f>C5*2.1</f>
        <v>82.445999999999998</v>
      </c>
    </row>
    <row r="6" spans="1:4" x14ac:dyDescent="0.2">
      <c r="A6" s="256" t="s">
        <v>54</v>
      </c>
      <c r="B6" s="257" t="s">
        <v>65</v>
      </c>
      <c r="C6" s="258">
        <v>58.8</v>
      </c>
      <c r="D6" s="258">
        <f t="shared" ref="D6:D11" si="0">C6*2.1</f>
        <v>123.48</v>
      </c>
    </row>
    <row r="7" spans="1:4" x14ac:dyDescent="0.2">
      <c r="A7" s="256" t="s">
        <v>55</v>
      </c>
      <c r="B7" s="259" t="s">
        <v>56</v>
      </c>
      <c r="C7" s="260">
        <v>77.099999999999994</v>
      </c>
      <c r="D7" s="258">
        <f t="shared" si="0"/>
        <v>161.91</v>
      </c>
    </row>
    <row r="8" spans="1:4" ht="25.5" x14ac:dyDescent="0.2">
      <c r="A8" s="256" t="s">
        <v>57</v>
      </c>
      <c r="B8" s="259" t="s">
        <v>58</v>
      </c>
      <c r="C8" s="261">
        <v>18.600000000000001</v>
      </c>
      <c r="D8" s="258">
        <f>C8*2.1</f>
        <v>39.06</v>
      </c>
    </row>
    <row r="9" spans="1:4" ht="25.5" x14ac:dyDescent="0.2">
      <c r="A9" s="256" t="s">
        <v>59</v>
      </c>
      <c r="B9" s="259" t="s">
        <v>60</v>
      </c>
      <c r="C9" s="261">
        <v>25.08</v>
      </c>
      <c r="D9" s="258">
        <f t="shared" si="0"/>
        <v>52.667999999999999</v>
      </c>
    </row>
    <row r="10" spans="1:4" ht="25.5" x14ac:dyDescent="0.2">
      <c r="A10" s="256" t="s">
        <v>61</v>
      </c>
      <c r="B10" s="259" t="s">
        <v>62</v>
      </c>
      <c r="C10" s="261">
        <v>17.96</v>
      </c>
      <c r="D10" s="258">
        <f t="shared" si="0"/>
        <v>37.716000000000001</v>
      </c>
    </row>
    <row r="11" spans="1:4" ht="25.5" x14ac:dyDescent="0.2">
      <c r="A11" s="256" t="s">
        <v>63</v>
      </c>
      <c r="B11" s="259" t="s">
        <v>64</v>
      </c>
      <c r="C11" s="261">
        <v>18.62</v>
      </c>
      <c r="D11" s="258">
        <f t="shared" si="0"/>
        <v>39.102000000000004</v>
      </c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/>
  </sheetViews>
  <sheetFormatPr defaultRowHeight="15" x14ac:dyDescent="0.2"/>
  <cols>
    <col min="1" max="1" width="20.42578125" style="135" customWidth="1"/>
    <col min="2" max="2" width="12.7109375" style="135" customWidth="1"/>
    <col min="3" max="4" width="11.28515625" style="135" bestFit="1" customWidth="1"/>
    <col min="5" max="5" width="9.85546875" style="135" customWidth="1"/>
    <col min="6" max="8" width="9.140625" style="135"/>
    <col min="9" max="9" width="13.85546875" style="135" bestFit="1" customWidth="1"/>
    <col min="10" max="10" width="10.85546875" style="135" bestFit="1" customWidth="1"/>
    <col min="11" max="12" width="9.140625" style="135"/>
    <col min="13" max="13" width="15.28515625" style="135" bestFit="1" customWidth="1"/>
    <col min="14" max="16384" width="9.140625" style="135"/>
  </cols>
  <sheetData>
    <row r="2" spans="1:14" s="189" customFormat="1" x14ac:dyDescent="0.2">
      <c r="A2" s="392" t="s">
        <v>243</v>
      </c>
      <c r="B2" s="392"/>
      <c r="C2" s="392"/>
      <c r="D2" s="392"/>
      <c r="E2" s="392"/>
      <c r="F2" s="392"/>
      <c r="G2" s="392"/>
      <c r="H2" s="392"/>
      <c r="I2" s="392"/>
    </row>
    <row r="3" spans="1:14" s="189" customFormat="1" x14ac:dyDescent="0.2">
      <c r="A3" s="200"/>
      <c r="B3" s="200"/>
      <c r="C3" s="200"/>
      <c r="D3" s="200"/>
      <c r="E3" s="200"/>
      <c r="F3" s="200"/>
      <c r="G3" s="200"/>
      <c r="H3" s="200"/>
      <c r="I3" s="200"/>
    </row>
    <row r="4" spans="1:14" x14ac:dyDescent="0.2">
      <c r="A4" s="393" t="s">
        <v>147</v>
      </c>
      <c r="B4" s="199"/>
      <c r="C4" s="395" t="s">
        <v>148</v>
      </c>
      <c r="D4" s="395"/>
      <c r="E4" s="395"/>
      <c r="F4" s="395"/>
      <c r="G4" s="395"/>
      <c r="H4" s="395"/>
      <c r="I4" s="395"/>
    </row>
    <row r="5" spans="1:14" ht="33.75" x14ac:dyDescent="0.2">
      <c r="A5" s="394"/>
      <c r="B5" s="163" t="s">
        <v>149</v>
      </c>
      <c r="C5" s="164" t="s">
        <v>160</v>
      </c>
      <c r="D5" s="164" t="s">
        <v>150</v>
      </c>
      <c r="E5" s="164" t="s">
        <v>151</v>
      </c>
      <c r="F5" s="164" t="s">
        <v>161</v>
      </c>
      <c r="G5" s="164" t="s">
        <v>152</v>
      </c>
      <c r="H5" s="164" t="s">
        <v>153</v>
      </c>
      <c r="I5" s="164" t="s">
        <v>154</v>
      </c>
      <c r="M5" s="155"/>
      <c r="N5" s="156"/>
    </row>
    <row r="6" spans="1:14" x14ac:dyDescent="0.2">
      <c r="A6" s="136"/>
      <c r="B6" s="136"/>
      <c r="C6" s="137"/>
      <c r="D6" s="138"/>
      <c r="E6" s="138"/>
      <c r="F6" s="138"/>
      <c r="G6" s="138"/>
      <c r="H6" s="138"/>
      <c r="I6" s="139"/>
      <c r="M6" s="157"/>
      <c r="N6" s="156"/>
    </row>
    <row r="7" spans="1:14" x14ac:dyDescent="0.2">
      <c r="A7" s="140" t="s">
        <v>175</v>
      </c>
      <c r="B7" s="140" t="s">
        <v>165</v>
      </c>
      <c r="C7" s="153">
        <v>1531001</v>
      </c>
      <c r="D7" s="153">
        <f>C7*1.6</f>
        <v>2449601.6</v>
      </c>
      <c r="E7" s="138">
        <v>15</v>
      </c>
      <c r="F7" s="138">
        <f t="shared" ref="F7" si="0">80*26</f>
        <v>2080</v>
      </c>
      <c r="G7" s="141">
        <v>0.85</v>
      </c>
      <c r="H7" s="158">
        <f>E7*(F7*G7)</f>
        <v>26520</v>
      </c>
      <c r="I7" s="139">
        <f>D7*G7</f>
        <v>2082161.36</v>
      </c>
      <c r="M7" s="156"/>
      <c r="N7" s="156"/>
    </row>
    <row r="8" spans="1:14" x14ac:dyDescent="0.2">
      <c r="A8" s="140" t="s">
        <v>155</v>
      </c>
      <c r="B8" s="154" t="s">
        <v>11</v>
      </c>
      <c r="C8" s="153">
        <v>54000</v>
      </c>
      <c r="D8" s="154" t="s">
        <v>11</v>
      </c>
      <c r="E8" s="138">
        <v>1</v>
      </c>
      <c r="F8" s="138">
        <f>80*26</f>
        <v>2080</v>
      </c>
      <c r="G8" s="142">
        <v>0.95</v>
      </c>
      <c r="H8" s="158">
        <f>E8*(F8*G8)</f>
        <v>1976</v>
      </c>
      <c r="I8" s="139">
        <f>C8*G8</f>
        <v>51300</v>
      </c>
    </row>
    <row r="9" spans="1:14" x14ac:dyDescent="0.2">
      <c r="A9" s="140" t="s">
        <v>171</v>
      </c>
      <c r="B9" s="140" t="s">
        <v>166</v>
      </c>
      <c r="C9" s="153">
        <v>116901</v>
      </c>
      <c r="D9" s="153">
        <f t="shared" ref="D9:D13" si="1">C9*1.6</f>
        <v>187041.6</v>
      </c>
      <c r="E9" s="136">
        <v>5</v>
      </c>
      <c r="F9" s="138">
        <f t="shared" ref="F9:F13" si="2">80*26</f>
        <v>2080</v>
      </c>
      <c r="G9" s="142">
        <v>0.3</v>
      </c>
      <c r="H9" s="158">
        <f t="shared" ref="H9:H13" si="3">E9*(F9*G9)</f>
        <v>3120</v>
      </c>
      <c r="I9" s="139">
        <f>D9*G9</f>
        <v>56112.480000000003</v>
      </c>
    </row>
    <row r="10" spans="1:14" x14ac:dyDescent="0.2">
      <c r="A10" s="140" t="s">
        <v>173</v>
      </c>
      <c r="B10" s="140" t="s">
        <v>166</v>
      </c>
      <c r="C10" s="153">
        <v>116901</v>
      </c>
      <c r="D10" s="153">
        <f t="shared" si="1"/>
        <v>187041.6</v>
      </c>
      <c r="E10" s="138">
        <v>4</v>
      </c>
      <c r="F10" s="138">
        <f t="shared" si="2"/>
        <v>2080</v>
      </c>
      <c r="G10" s="142">
        <v>0.2</v>
      </c>
      <c r="H10" s="158">
        <f t="shared" si="3"/>
        <v>1664</v>
      </c>
      <c r="I10" s="139">
        <f t="shared" ref="I10:I13" si="4">D10*G10</f>
        <v>37408.32</v>
      </c>
    </row>
    <row r="11" spans="1:14" x14ac:dyDescent="0.2">
      <c r="A11" s="140" t="s">
        <v>168</v>
      </c>
      <c r="B11" s="140" t="s">
        <v>49</v>
      </c>
      <c r="C11" s="153">
        <v>201700</v>
      </c>
      <c r="D11" s="153">
        <f t="shared" si="1"/>
        <v>322720</v>
      </c>
      <c r="E11" s="138">
        <v>1</v>
      </c>
      <c r="F11" s="138">
        <f t="shared" si="2"/>
        <v>2080</v>
      </c>
      <c r="G11" s="142">
        <v>0.25</v>
      </c>
      <c r="H11" s="158">
        <f t="shared" si="3"/>
        <v>520</v>
      </c>
      <c r="I11" s="139">
        <f t="shared" si="4"/>
        <v>80680</v>
      </c>
    </row>
    <row r="12" spans="1:14" x14ac:dyDescent="0.2">
      <c r="A12" s="140" t="s">
        <v>169</v>
      </c>
      <c r="B12" s="140" t="s">
        <v>167</v>
      </c>
      <c r="C12" s="153">
        <v>181500</v>
      </c>
      <c r="D12" s="153">
        <f t="shared" si="1"/>
        <v>290400</v>
      </c>
      <c r="E12" s="138">
        <v>1</v>
      </c>
      <c r="F12" s="138">
        <f t="shared" si="2"/>
        <v>2080</v>
      </c>
      <c r="G12" s="142">
        <v>0.15</v>
      </c>
      <c r="H12" s="158">
        <f t="shared" si="3"/>
        <v>312</v>
      </c>
      <c r="I12" s="139">
        <f t="shared" si="4"/>
        <v>43560</v>
      </c>
    </row>
    <row r="13" spans="1:14" x14ac:dyDescent="0.2">
      <c r="A13" s="140" t="s">
        <v>170</v>
      </c>
      <c r="B13" s="140" t="s">
        <v>172</v>
      </c>
      <c r="C13" s="153">
        <v>71504</v>
      </c>
      <c r="D13" s="153">
        <f t="shared" si="1"/>
        <v>114406.40000000001</v>
      </c>
      <c r="E13" s="138">
        <v>4</v>
      </c>
      <c r="F13" s="138">
        <f t="shared" si="2"/>
        <v>2080</v>
      </c>
      <c r="G13" s="142">
        <v>0.1</v>
      </c>
      <c r="H13" s="158">
        <f t="shared" si="3"/>
        <v>832</v>
      </c>
      <c r="I13" s="139">
        <f t="shared" si="4"/>
        <v>11440.640000000001</v>
      </c>
      <c r="J13" s="188"/>
    </row>
    <row r="14" spans="1:14" ht="15" customHeight="1" x14ac:dyDescent="0.2">
      <c r="A14" s="190"/>
      <c r="B14" s="159"/>
      <c r="C14" s="191"/>
      <c r="D14" s="148"/>
      <c r="E14" s="148"/>
      <c r="F14" s="148"/>
      <c r="G14" s="148"/>
      <c r="H14" s="149"/>
      <c r="I14" s="146"/>
    </row>
    <row r="15" spans="1:14" ht="22.5" customHeight="1" x14ac:dyDescent="0.2">
      <c r="A15" s="193"/>
      <c r="B15" s="194"/>
      <c r="C15" s="390" t="s">
        <v>251</v>
      </c>
      <c r="D15" s="396"/>
      <c r="E15" s="165">
        <f>SUM(E6:E14)</f>
        <v>31</v>
      </c>
      <c r="F15" s="165" t="s">
        <v>11</v>
      </c>
      <c r="G15" s="165" t="s">
        <v>11</v>
      </c>
      <c r="H15" s="166">
        <f>SUM(H6:H14)</f>
        <v>34944</v>
      </c>
      <c r="I15" s="167">
        <f>SUM(I6:I14)</f>
        <v>2362662.8000000003</v>
      </c>
    </row>
    <row r="17" spans="1:9" x14ac:dyDescent="0.2">
      <c r="A17" s="397" t="s">
        <v>156</v>
      </c>
      <c r="B17" s="398"/>
      <c r="C17" s="398"/>
      <c r="D17" s="398"/>
      <c r="E17" s="398"/>
      <c r="F17" s="398"/>
      <c r="G17" s="398"/>
      <c r="H17" s="398"/>
      <c r="I17" s="399"/>
    </row>
    <row r="18" spans="1:9" ht="15.75" customHeight="1" x14ac:dyDescent="0.2">
      <c r="A18" s="150" t="s">
        <v>163</v>
      </c>
      <c r="B18" s="161"/>
      <c r="C18" s="143"/>
      <c r="D18" s="144"/>
      <c r="E18" s="144"/>
      <c r="F18" s="144"/>
      <c r="G18" s="144"/>
      <c r="H18" s="145"/>
      <c r="I18" s="146">
        <v>235000</v>
      </c>
    </row>
    <row r="19" spans="1:9" ht="15.75" customHeight="1" x14ac:dyDescent="0.2">
      <c r="A19" s="150" t="s">
        <v>252</v>
      </c>
      <c r="B19" s="161"/>
      <c r="C19" s="143"/>
      <c r="D19" s="144"/>
      <c r="E19" s="144"/>
      <c r="F19" s="144"/>
      <c r="G19" s="144"/>
      <c r="H19" s="145"/>
      <c r="I19" s="146">
        <v>25000</v>
      </c>
    </row>
    <row r="20" spans="1:9" x14ac:dyDescent="0.2">
      <c r="A20" s="140" t="s">
        <v>164</v>
      </c>
      <c r="B20" s="162"/>
      <c r="C20" s="143"/>
      <c r="D20" s="144"/>
      <c r="E20" s="144"/>
      <c r="F20" s="144"/>
      <c r="G20" s="144"/>
      <c r="H20" s="145"/>
      <c r="I20" s="146">
        <v>64000</v>
      </c>
    </row>
    <row r="21" spans="1:9" x14ac:dyDescent="0.2">
      <c r="A21" s="140" t="s">
        <v>162</v>
      </c>
      <c r="B21" s="162"/>
      <c r="C21" s="143"/>
      <c r="D21" s="144"/>
      <c r="E21" s="144"/>
      <c r="F21" s="144"/>
      <c r="G21" s="144"/>
      <c r="H21" s="145"/>
      <c r="I21" s="146">
        <v>43000</v>
      </c>
    </row>
    <row r="22" spans="1:9" ht="22.5" x14ac:dyDescent="0.2">
      <c r="A22" s="140" t="s">
        <v>157</v>
      </c>
      <c r="B22" s="160"/>
      <c r="C22" s="147"/>
      <c r="D22" s="148"/>
      <c r="E22" s="148"/>
      <c r="F22" s="148"/>
      <c r="G22" s="148"/>
      <c r="H22" s="149"/>
      <c r="I22" s="187">
        <v>50280</v>
      </c>
    </row>
    <row r="23" spans="1:9" ht="22.5" x14ac:dyDescent="0.2">
      <c r="A23" s="140" t="s">
        <v>158</v>
      </c>
      <c r="B23" s="160"/>
      <c r="C23" s="147"/>
      <c r="D23" s="148"/>
      <c r="E23" s="192"/>
      <c r="F23" s="192"/>
      <c r="G23" s="192"/>
      <c r="H23" s="195"/>
      <c r="I23" s="146">
        <f>2300000/3</f>
        <v>766666.66666666663</v>
      </c>
    </row>
    <row r="24" spans="1:9" x14ac:dyDescent="0.2">
      <c r="A24" s="193"/>
      <c r="B24" s="194"/>
      <c r="C24" s="390" t="s">
        <v>174</v>
      </c>
      <c r="D24" s="391"/>
      <c r="E24" s="196"/>
      <c r="F24" s="197"/>
      <c r="G24" s="197"/>
      <c r="H24" s="198"/>
      <c r="I24" s="168">
        <f>SUM(I18:I23)</f>
        <v>1183946.6666666665</v>
      </c>
    </row>
    <row r="25" spans="1:9" x14ac:dyDescent="0.2">
      <c r="I25" s="151"/>
    </row>
    <row r="26" spans="1:9" x14ac:dyDescent="0.2">
      <c r="F26" s="152"/>
      <c r="H26" s="164" t="s">
        <v>159</v>
      </c>
      <c r="I26" s="168">
        <f>I15+I24</f>
        <v>3546609.4666666668</v>
      </c>
    </row>
  </sheetData>
  <mergeCells count="6">
    <mergeCell ref="C24:D24"/>
    <mergeCell ref="A2:I2"/>
    <mergeCell ref="A4:A5"/>
    <mergeCell ref="C4:I4"/>
    <mergeCell ref="C15:D15"/>
    <mergeCell ref="A17:I1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/>
  </sheetViews>
  <sheetFormatPr defaultRowHeight="12.75" x14ac:dyDescent="0.2"/>
  <cols>
    <col min="1" max="1" width="13.7109375" customWidth="1"/>
    <col min="2" max="2" width="11" customWidth="1"/>
    <col min="3" max="3" width="10.42578125" customWidth="1"/>
    <col min="4" max="4" width="14.28515625" customWidth="1"/>
    <col min="5" max="5" width="12.5703125" bestFit="1" customWidth="1"/>
    <col min="6" max="6" width="11.85546875" customWidth="1"/>
  </cols>
  <sheetData>
    <row r="2" spans="1:6" x14ac:dyDescent="0.2">
      <c r="A2" s="400" t="s">
        <v>246</v>
      </c>
      <c r="B2" s="400"/>
      <c r="C2" s="400"/>
      <c r="D2" s="400"/>
      <c r="E2" s="400"/>
      <c r="F2" s="400"/>
    </row>
    <row r="4" spans="1:6" ht="63.75" x14ac:dyDescent="0.2">
      <c r="A4" s="326" t="s">
        <v>205</v>
      </c>
      <c r="B4" s="326" t="s">
        <v>253</v>
      </c>
      <c r="C4" s="326" t="s">
        <v>255</v>
      </c>
      <c r="D4" s="326" t="s">
        <v>256</v>
      </c>
      <c r="E4" s="326" t="s">
        <v>257</v>
      </c>
      <c r="F4" s="326" t="s">
        <v>258</v>
      </c>
    </row>
    <row r="5" spans="1:6" x14ac:dyDescent="0.2">
      <c r="A5" s="327" t="s">
        <v>242</v>
      </c>
      <c r="B5" s="329">
        <f>'Table 2 Cert'!M30</f>
        <v>95</v>
      </c>
      <c r="C5" s="328">
        <f>658</f>
        <v>658</v>
      </c>
      <c r="D5" s="329">
        <v>306</v>
      </c>
      <c r="E5" s="328">
        <f t="shared" ref="E5:E12" si="0">C5+D5</f>
        <v>964</v>
      </c>
      <c r="F5" s="336">
        <f>E5/B5</f>
        <v>10.147368421052631</v>
      </c>
    </row>
    <row r="6" spans="1:6" ht="25.5" x14ac:dyDescent="0.2">
      <c r="A6" s="327" t="s">
        <v>238</v>
      </c>
      <c r="B6" s="329">
        <f>'Table 3 Evap'!M18</f>
        <v>9</v>
      </c>
      <c r="C6" s="328">
        <v>21</v>
      </c>
      <c r="D6" s="329">
        <v>29</v>
      </c>
      <c r="E6" s="328">
        <f t="shared" si="0"/>
        <v>50</v>
      </c>
      <c r="F6" s="336">
        <f t="shared" ref="F6:F15" si="1">E6/B6</f>
        <v>5.5555555555555554</v>
      </c>
    </row>
    <row r="7" spans="1:6" ht="63.75" x14ac:dyDescent="0.2">
      <c r="A7" s="327" t="s">
        <v>213</v>
      </c>
      <c r="B7" s="329">
        <f>'Table 4 Alt Fuel -BegUL'!K22</f>
        <v>1</v>
      </c>
      <c r="C7" s="328">
        <v>2</v>
      </c>
      <c r="D7" s="329">
        <v>0</v>
      </c>
      <c r="E7" s="328">
        <f t="shared" si="0"/>
        <v>2</v>
      </c>
      <c r="F7" s="336">
        <f t="shared" si="1"/>
        <v>2</v>
      </c>
    </row>
    <row r="8" spans="1:6" ht="63.75" x14ac:dyDescent="0.2">
      <c r="A8" s="327" t="s">
        <v>214</v>
      </c>
      <c r="B8" s="329">
        <f>'Table 5 Alt fuel - Int Age'!K23</f>
        <v>1</v>
      </c>
      <c r="C8" s="328">
        <v>2</v>
      </c>
      <c r="D8" s="329">
        <v>0</v>
      </c>
      <c r="E8" s="328">
        <f t="shared" si="0"/>
        <v>2</v>
      </c>
      <c r="F8" s="336">
        <f t="shared" si="1"/>
        <v>2</v>
      </c>
    </row>
    <row r="9" spans="1:6" x14ac:dyDescent="0.2">
      <c r="A9" s="327" t="s">
        <v>215</v>
      </c>
      <c r="B9" s="328">
        <f>'Table 6 ABT'!J15</f>
        <v>9</v>
      </c>
      <c r="C9" s="328">
        <v>9</v>
      </c>
      <c r="D9" s="329">
        <v>9</v>
      </c>
      <c r="E9" s="328">
        <f t="shared" si="0"/>
        <v>18</v>
      </c>
      <c r="F9" s="336">
        <f t="shared" si="1"/>
        <v>2</v>
      </c>
    </row>
    <row r="10" spans="1:6" x14ac:dyDescent="0.2">
      <c r="A10" s="327" t="s">
        <v>113</v>
      </c>
      <c r="B10" s="328">
        <f>'Table 7 PLT'!N20</f>
        <v>26</v>
      </c>
      <c r="C10" s="328">
        <f>4*B10</f>
        <v>104</v>
      </c>
      <c r="D10" s="328">
        <v>0</v>
      </c>
      <c r="E10" s="328">
        <f t="shared" si="0"/>
        <v>104</v>
      </c>
      <c r="F10" s="336">
        <f t="shared" si="1"/>
        <v>4</v>
      </c>
    </row>
    <row r="11" spans="1:6" x14ac:dyDescent="0.2">
      <c r="A11" s="327" t="s">
        <v>239</v>
      </c>
      <c r="B11" s="328">
        <f>'Table 8 In-use'!F14</f>
        <v>6</v>
      </c>
      <c r="C11" s="328">
        <f>1*B11</f>
        <v>6</v>
      </c>
      <c r="D11" s="329">
        <v>0</v>
      </c>
      <c r="E11" s="328">
        <f t="shared" si="0"/>
        <v>6</v>
      </c>
      <c r="F11" s="336">
        <f t="shared" si="1"/>
        <v>1</v>
      </c>
    </row>
    <row r="12" spans="1:6" x14ac:dyDescent="0.2">
      <c r="A12" s="327" t="s">
        <v>240</v>
      </c>
      <c r="B12" s="328">
        <v>2</v>
      </c>
      <c r="C12" s="328">
        <f>1*B12</f>
        <v>2</v>
      </c>
      <c r="D12" s="329">
        <v>0</v>
      </c>
      <c r="E12" s="328">
        <f t="shared" si="0"/>
        <v>2</v>
      </c>
      <c r="F12" s="336">
        <f t="shared" si="1"/>
        <v>1</v>
      </c>
    </row>
    <row r="13" spans="1:6" ht="38.25" x14ac:dyDescent="0.2">
      <c r="A13" s="327" t="s">
        <v>216</v>
      </c>
      <c r="B13" s="328">
        <f>'Table 10 TPEM Equip'!J23</f>
        <v>1432</v>
      </c>
      <c r="C13" s="328">
        <v>867</v>
      </c>
      <c r="D13" s="328">
        <v>1432</v>
      </c>
      <c r="E13" s="328">
        <f>C13+D13</f>
        <v>2299</v>
      </c>
      <c r="F13" s="336">
        <f t="shared" si="1"/>
        <v>1.6054469273743017</v>
      </c>
    </row>
    <row r="14" spans="1:6" ht="25.5" x14ac:dyDescent="0.2">
      <c r="A14" s="327" t="s">
        <v>217</v>
      </c>
      <c r="B14" s="331">
        <f>'Table 11 TPEM Eng'!J15</f>
        <v>30</v>
      </c>
      <c r="C14" s="328">
        <v>0</v>
      </c>
      <c r="D14" s="328">
        <v>30</v>
      </c>
      <c r="E14" s="328">
        <f>C14+D14</f>
        <v>30</v>
      </c>
      <c r="F14" s="336">
        <f t="shared" si="1"/>
        <v>1</v>
      </c>
    </row>
    <row r="15" spans="1:6" ht="38.25" x14ac:dyDescent="0.2">
      <c r="A15" s="327" t="s">
        <v>176</v>
      </c>
      <c r="B15" s="331">
        <f>'Table 12 Special Compliance'!J19</f>
        <v>1000</v>
      </c>
      <c r="C15" s="328">
        <v>287</v>
      </c>
      <c r="D15" s="328">
        <v>116</v>
      </c>
      <c r="E15" s="328">
        <f>C15+D15</f>
        <v>403</v>
      </c>
      <c r="F15" s="336">
        <f t="shared" si="1"/>
        <v>0.40300000000000002</v>
      </c>
    </row>
    <row r="16" spans="1:6" x14ac:dyDescent="0.2">
      <c r="A16" s="338" t="s">
        <v>259</v>
      </c>
      <c r="B16" s="339">
        <f>B5+B7+B13+B15</f>
        <v>2528</v>
      </c>
      <c r="C16" s="340">
        <f>SUM(C5:C15)</f>
        <v>1958</v>
      </c>
      <c r="D16" s="341">
        <f>SUM(D5:D15)</f>
        <v>1922</v>
      </c>
      <c r="E16" s="339">
        <f>SUM(E5:E15)</f>
        <v>3880</v>
      </c>
      <c r="F16" s="341" t="s">
        <v>11</v>
      </c>
    </row>
    <row r="17" spans="1:6" ht="21.75" customHeight="1" x14ac:dyDescent="0.2">
      <c r="A17" s="401" t="s">
        <v>260</v>
      </c>
      <c r="B17" s="401"/>
      <c r="C17" s="401"/>
      <c r="D17" s="401"/>
      <c r="E17" s="402"/>
      <c r="F17" s="337">
        <f>E16/B16</f>
        <v>1.5348101265822784</v>
      </c>
    </row>
  </sheetData>
  <mergeCells count="2">
    <mergeCell ref="A2:F2"/>
    <mergeCell ref="A17:E1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workbookViewId="0"/>
  </sheetViews>
  <sheetFormatPr defaultRowHeight="12.75" x14ac:dyDescent="0.2"/>
  <cols>
    <col min="1" max="1" width="10.5703125" customWidth="1"/>
    <col min="6" max="6" width="12.5703125" bestFit="1" customWidth="1"/>
    <col min="8" max="8" width="12" customWidth="1"/>
    <col min="9" max="9" width="11.7109375" customWidth="1"/>
  </cols>
  <sheetData>
    <row r="2" spans="1:10" x14ac:dyDescent="0.2">
      <c r="A2" s="400" t="s">
        <v>266</v>
      </c>
      <c r="B2" s="400"/>
      <c r="C2" s="400"/>
      <c r="D2" s="400"/>
      <c r="E2" s="400"/>
      <c r="F2" s="400"/>
      <c r="G2" s="400"/>
      <c r="H2" s="400"/>
      <c r="I2" s="400"/>
    </row>
    <row r="4" spans="1:10" ht="51" x14ac:dyDescent="0.2">
      <c r="A4" s="326" t="s">
        <v>205</v>
      </c>
      <c r="B4" s="326" t="s">
        <v>206</v>
      </c>
      <c r="C4" s="326" t="s">
        <v>68</v>
      </c>
      <c r="D4" s="326" t="s">
        <v>207</v>
      </c>
      <c r="E4" s="326" t="s">
        <v>208</v>
      </c>
      <c r="F4" s="326" t="s">
        <v>209</v>
      </c>
      <c r="G4" s="326" t="s">
        <v>210</v>
      </c>
      <c r="H4" s="326" t="s">
        <v>211</v>
      </c>
      <c r="I4" s="326" t="s">
        <v>212</v>
      </c>
    </row>
    <row r="5" spans="1:10" x14ac:dyDescent="0.2">
      <c r="A5" s="342"/>
      <c r="B5" s="343"/>
      <c r="C5" s="343"/>
      <c r="D5" s="343"/>
      <c r="E5" s="343"/>
      <c r="F5" s="343"/>
      <c r="G5" s="343"/>
      <c r="H5" s="343"/>
      <c r="I5" s="344"/>
      <c r="J5" s="40"/>
    </row>
    <row r="6" spans="1:10" x14ac:dyDescent="0.2">
      <c r="A6" s="403" t="s">
        <v>261</v>
      </c>
      <c r="B6" s="404"/>
      <c r="C6" s="404"/>
      <c r="D6" s="404"/>
      <c r="E6" s="404"/>
      <c r="F6" s="404"/>
      <c r="G6" s="404"/>
      <c r="H6" s="404"/>
      <c r="I6" s="405"/>
    </row>
    <row r="7" spans="1:10" x14ac:dyDescent="0.2">
      <c r="A7" s="327" t="s">
        <v>242</v>
      </c>
      <c r="B7" s="328">
        <v>2</v>
      </c>
      <c r="C7" s="329">
        <v>95</v>
      </c>
      <c r="D7" s="328" t="s">
        <v>241</v>
      </c>
      <c r="E7" s="329">
        <v>74195.7</v>
      </c>
      <c r="F7" s="330">
        <v>5512917.7860000022</v>
      </c>
      <c r="G7" s="328">
        <v>0</v>
      </c>
      <c r="H7" s="330">
        <v>11911818.333333334</v>
      </c>
      <c r="I7" s="330">
        <v>17424736.119333334</v>
      </c>
    </row>
    <row r="8" spans="1:10" ht="25.5" x14ac:dyDescent="0.2">
      <c r="A8" s="327" t="s">
        <v>238</v>
      </c>
      <c r="B8" s="328">
        <v>3</v>
      </c>
      <c r="C8" s="329">
        <v>9</v>
      </c>
      <c r="D8" s="328" t="s">
        <v>241</v>
      </c>
      <c r="E8" s="329">
        <v>636.4</v>
      </c>
      <c r="F8" s="330">
        <v>39640.484000000004</v>
      </c>
      <c r="G8" s="328">
        <v>0</v>
      </c>
      <c r="H8" s="330">
        <v>12535.899999999998</v>
      </c>
      <c r="I8" s="330">
        <v>52176.383999999998</v>
      </c>
    </row>
    <row r="9" spans="1:10" x14ac:dyDescent="0.2">
      <c r="A9" s="327" t="s">
        <v>215</v>
      </c>
      <c r="B9" s="328">
        <v>6</v>
      </c>
      <c r="C9" s="328">
        <v>9</v>
      </c>
      <c r="D9" s="328" t="s">
        <v>241</v>
      </c>
      <c r="E9" s="329">
        <v>1629</v>
      </c>
      <c r="F9" s="330">
        <v>113981.53499999997</v>
      </c>
      <c r="G9" s="328">
        <v>0</v>
      </c>
      <c r="H9" s="330">
        <v>990</v>
      </c>
      <c r="I9" s="330">
        <v>114971.53499999997</v>
      </c>
    </row>
    <row r="10" spans="1:10" x14ac:dyDescent="0.2">
      <c r="A10" s="327" t="s">
        <v>113</v>
      </c>
      <c r="B10" s="328">
        <v>7</v>
      </c>
      <c r="C10" s="328">
        <v>26</v>
      </c>
      <c r="D10" s="328" t="s">
        <v>241</v>
      </c>
      <c r="E10" s="328">
        <v>12108</v>
      </c>
      <c r="F10" s="330">
        <v>856384.52</v>
      </c>
      <c r="G10" s="328">
        <v>0</v>
      </c>
      <c r="H10" s="330">
        <v>2852247.333333334</v>
      </c>
      <c r="I10" s="330">
        <v>3708631.853333334</v>
      </c>
    </row>
    <row r="11" spans="1:10" x14ac:dyDescent="0.2">
      <c r="A11" s="327" t="s">
        <v>239</v>
      </c>
      <c r="B11" s="328">
        <v>8</v>
      </c>
      <c r="C11" s="328">
        <v>6</v>
      </c>
      <c r="D11" s="328" t="s">
        <v>241</v>
      </c>
      <c r="E11" s="329">
        <v>360</v>
      </c>
      <c r="F11" s="330">
        <v>55862.068965517239</v>
      </c>
      <c r="G11" s="328">
        <v>0</v>
      </c>
      <c r="H11" s="330">
        <v>1630608.2110344828</v>
      </c>
      <c r="I11" s="330">
        <v>1686470.28</v>
      </c>
    </row>
    <row r="12" spans="1:10" x14ac:dyDescent="0.2">
      <c r="A12" s="327" t="s">
        <v>240</v>
      </c>
      <c r="B12" s="328">
        <v>9</v>
      </c>
      <c r="C12" s="328">
        <v>6</v>
      </c>
      <c r="D12" s="328" t="s">
        <v>241</v>
      </c>
      <c r="E12" s="329">
        <v>276</v>
      </c>
      <c r="F12" s="330">
        <v>21458.299999999996</v>
      </c>
      <c r="G12" s="328">
        <v>0</v>
      </c>
      <c r="H12" s="330">
        <v>15102.333333333334</v>
      </c>
      <c r="I12" s="330">
        <v>36560.633333333331</v>
      </c>
    </row>
    <row r="13" spans="1:10" x14ac:dyDescent="0.2">
      <c r="A13" s="403" t="s">
        <v>262</v>
      </c>
      <c r="B13" s="404"/>
      <c r="C13" s="404"/>
      <c r="D13" s="404"/>
      <c r="E13" s="404"/>
      <c r="F13" s="404"/>
      <c r="G13" s="404"/>
      <c r="H13" s="404"/>
      <c r="I13" s="405"/>
    </row>
    <row r="14" spans="1:10" ht="89.25" x14ac:dyDescent="0.2">
      <c r="A14" s="327" t="s">
        <v>213</v>
      </c>
      <c r="B14" s="328">
        <v>4</v>
      </c>
      <c r="C14" s="329">
        <v>1</v>
      </c>
      <c r="D14" s="328" t="s">
        <v>241</v>
      </c>
      <c r="E14" s="329">
        <v>142</v>
      </c>
      <c r="F14" s="330">
        <v>12717.949999999999</v>
      </c>
      <c r="G14" s="328">
        <v>0</v>
      </c>
      <c r="H14" s="330">
        <v>118979.33333333334</v>
      </c>
      <c r="I14" s="330">
        <v>131697.28333333333</v>
      </c>
    </row>
    <row r="15" spans="1:10" ht="89.25" x14ac:dyDescent="0.2">
      <c r="A15" s="327" t="s">
        <v>214</v>
      </c>
      <c r="B15" s="328">
        <v>5</v>
      </c>
      <c r="C15" s="329">
        <v>1</v>
      </c>
      <c r="D15" s="328" t="s">
        <v>241</v>
      </c>
      <c r="E15" s="329">
        <v>151</v>
      </c>
      <c r="F15" s="330">
        <v>13841.069999999998</v>
      </c>
      <c r="G15" s="328">
        <v>0</v>
      </c>
      <c r="H15" s="330">
        <v>13841.069999999998</v>
      </c>
      <c r="I15" s="330">
        <v>40863.403333333343</v>
      </c>
    </row>
    <row r="16" spans="1:10" x14ac:dyDescent="0.2">
      <c r="A16" s="403" t="s">
        <v>254</v>
      </c>
      <c r="B16" s="404"/>
      <c r="C16" s="404"/>
      <c r="D16" s="404"/>
      <c r="E16" s="404"/>
      <c r="F16" s="404"/>
      <c r="G16" s="404"/>
      <c r="H16" s="404"/>
      <c r="I16" s="405"/>
    </row>
    <row r="17" spans="1:10" ht="51" x14ac:dyDescent="0.2">
      <c r="A17" s="327" t="s">
        <v>216</v>
      </c>
      <c r="B17" s="328">
        <v>10</v>
      </c>
      <c r="C17" s="328">
        <v>1432</v>
      </c>
      <c r="D17" s="328" t="s">
        <v>241</v>
      </c>
      <c r="E17" s="328">
        <v>97271</v>
      </c>
      <c r="F17" s="330">
        <v>8309454.7400000002</v>
      </c>
      <c r="G17" s="328">
        <v>0</v>
      </c>
      <c r="H17" s="330">
        <v>791403</v>
      </c>
      <c r="I17" s="330">
        <v>9100857.7400000021</v>
      </c>
    </row>
    <row r="18" spans="1:10" ht="51" x14ac:dyDescent="0.2">
      <c r="A18" s="327" t="s">
        <v>217</v>
      </c>
      <c r="B18" s="328">
        <v>11</v>
      </c>
      <c r="C18" s="331">
        <v>30</v>
      </c>
      <c r="D18" s="328" t="s">
        <v>241</v>
      </c>
      <c r="E18" s="328">
        <v>3795</v>
      </c>
      <c r="F18" s="330">
        <v>291212.24999999994</v>
      </c>
      <c r="G18" s="328">
        <v>0</v>
      </c>
      <c r="H18" s="330">
        <v>1140</v>
      </c>
      <c r="I18" s="330">
        <v>292352.24999999994</v>
      </c>
    </row>
    <row r="19" spans="1:10" s="40" customFormat="1" x14ac:dyDescent="0.2">
      <c r="A19" s="403" t="s">
        <v>263</v>
      </c>
      <c r="B19" s="404"/>
      <c r="C19" s="404"/>
      <c r="D19" s="404"/>
      <c r="E19" s="404"/>
      <c r="F19" s="404"/>
      <c r="G19" s="404"/>
      <c r="H19" s="404"/>
      <c r="I19" s="405"/>
      <c r="J19"/>
    </row>
    <row r="20" spans="1:10" ht="17.25" customHeight="1" x14ac:dyDescent="0.2">
      <c r="A20" s="327" t="s">
        <v>176</v>
      </c>
      <c r="B20" s="328">
        <v>12</v>
      </c>
      <c r="C20" s="331">
        <v>1000</v>
      </c>
      <c r="D20" s="328" t="s">
        <v>241</v>
      </c>
      <c r="E20" s="328">
        <v>10469</v>
      </c>
      <c r="F20" s="330">
        <v>844774.09000000008</v>
      </c>
      <c r="G20" s="328">
        <v>0</v>
      </c>
      <c r="H20" s="330">
        <v>23329</v>
      </c>
      <c r="I20" s="330">
        <v>868103.09000000008</v>
      </c>
    </row>
    <row r="21" spans="1:10" x14ac:dyDescent="0.2">
      <c r="A21" s="403"/>
      <c r="B21" s="404"/>
      <c r="C21" s="404"/>
      <c r="D21" s="404"/>
      <c r="E21" s="404"/>
      <c r="F21" s="404"/>
      <c r="G21" s="404"/>
      <c r="H21" s="404"/>
      <c r="I21" s="405"/>
    </row>
    <row r="22" spans="1:10" ht="25.5" x14ac:dyDescent="0.2">
      <c r="A22" s="345" t="s">
        <v>264</v>
      </c>
      <c r="B22" s="326" t="s">
        <v>11</v>
      </c>
      <c r="C22" s="341">
        <v>2528</v>
      </c>
      <c r="D22" s="340" t="s">
        <v>241</v>
      </c>
      <c r="E22" s="341">
        <v>201033.09999999998</v>
      </c>
      <c r="F22" s="346">
        <v>16072244.793965518</v>
      </c>
      <c r="G22" s="341">
        <v>0</v>
      </c>
      <c r="H22" s="346">
        <v>17371994.514367819</v>
      </c>
      <c r="I22" s="346">
        <v>33457420.571666673</v>
      </c>
    </row>
    <row r="24" spans="1:10" x14ac:dyDescent="0.2">
      <c r="A24" s="5" t="s">
        <v>265</v>
      </c>
      <c r="E24">
        <f>E22/C22</f>
        <v>79.52258702531644</v>
      </c>
    </row>
    <row r="27" spans="1:10" ht="20.25" customHeight="1" x14ac:dyDescent="0.2"/>
    <row r="30" spans="1:10" ht="20.25" customHeight="1" x14ac:dyDescent="0.2"/>
    <row r="33" ht="20.25" customHeight="1" x14ac:dyDescent="0.2"/>
  </sheetData>
  <mergeCells count="6">
    <mergeCell ref="A21:I21"/>
    <mergeCell ref="A2:I2"/>
    <mergeCell ref="A6:I6"/>
    <mergeCell ref="A13:I13"/>
    <mergeCell ref="A16:I16"/>
    <mergeCell ref="A19:I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Normal="100" workbookViewId="0">
      <selection activeCell="A4" sqref="A4"/>
    </sheetView>
  </sheetViews>
  <sheetFormatPr defaultRowHeight="12.75" x14ac:dyDescent="0.2"/>
  <cols>
    <col min="1" max="1" width="23" customWidth="1"/>
    <col min="3" max="3" width="10.5703125" bestFit="1" customWidth="1"/>
    <col min="4" max="4" width="10.28515625" bestFit="1" customWidth="1"/>
    <col min="6" max="6" width="15.140625" bestFit="1" customWidth="1"/>
    <col min="9" max="9" width="10.28515625" bestFit="1" customWidth="1"/>
    <col min="10" max="10" width="11.42578125" bestFit="1" customWidth="1"/>
    <col min="11" max="11" width="10.28515625" customWidth="1"/>
    <col min="12" max="12" width="15.140625" bestFit="1" customWidth="1"/>
    <col min="13" max="13" width="13.7109375" bestFit="1" customWidth="1"/>
    <col min="15" max="15" width="12.57031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0" customFormat="1" x14ac:dyDescent="0.2">
      <c r="A2" s="357" t="s">
        <v>182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6" s="40" customFormat="1" x14ac:dyDescent="0.2">
      <c r="A3" s="357" t="s">
        <v>193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</row>
    <row r="4" spans="1:16" s="40" customFormat="1" x14ac:dyDescent="0.2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6" s="202" customFormat="1" x14ac:dyDescent="0.2">
      <c r="A5" s="355" t="s">
        <v>1</v>
      </c>
      <c r="B5" s="358" t="s">
        <v>189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9" t="s">
        <v>74</v>
      </c>
      <c r="N5" s="360"/>
      <c r="O5" s="361"/>
    </row>
    <row r="6" spans="1:16" s="202" customFormat="1" ht="38.25" x14ac:dyDescent="0.2">
      <c r="A6" s="356"/>
      <c r="B6" s="204" t="s">
        <v>130</v>
      </c>
      <c r="C6" s="204" t="s">
        <v>131</v>
      </c>
      <c r="D6" s="204" t="s">
        <v>132</v>
      </c>
      <c r="E6" s="204" t="s">
        <v>133</v>
      </c>
      <c r="F6" s="204" t="s">
        <v>139</v>
      </c>
      <c r="G6" s="185" t="s">
        <v>135</v>
      </c>
      <c r="H6" s="204" t="s">
        <v>12</v>
      </c>
      <c r="I6" s="205" t="s">
        <v>13</v>
      </c>
      <c r="J6" s="204" t="s">
        <v>14</v>
      </c>
      <c r="K6" s="205" t="s">
        <v>3</v>
      </c>
      <c r="L6" s="204" t="s">
        <v>72</v>
      </c>
      <c r="M6" s="204" t="s">
        <v>68</v>
      </c>
      <c r="N6" s="206" t="s">
        <v>4</v>
      </c>
      <c r="O6" s="204" t="s">
        <v>5</v>
      </c>
    </row>
    <row r="7" spans="1:16" x14ac:dyDescent="0.2">
      <c r="A7" s="243"/>
      <c r="B7" s="21"/>
      <c r="C7" s="18"/>
      <c r="D7" s="18"/>
      <c r="E7" s="18"/>
      <c r="F7" s="18"/>
      <c r="G7" s="244"/>
      <c r="H7" s="18"/>
      <c r="I7" s="218"/>
      <c r="J7" s="19"/>
      <c r="K7" s="19"/>
      <c r="L7" s="20"/>
      <c r="M7" s="18"/>
      <c r="N7" s="18"/>
      <c r="O7" s="218"/>
    </row>
    <row r="8" spans="1:16" ht="25.5" x14ac:dyDescent="0.2">
      <c r="A8" s="36" t="s">
        <v>85</v>
      </c>
      <c r="B8" s="21">
        <v>5</v>
      </c>
      <c r="C8" s="18">
        <v>0</v>
      </c>
      <c r="D8" s="18">
        <v>2</v>
      </c>
      <c r="E8" s="18">
        <v>4</v>
      </c>
      <c r="F8" s="18">
        <v>0</v>
      </c>
      <c r="G8" s="18">
        <v>0</v>
      </c>
      <c r="H8" s="18">
        <f>B8+C8+D8+E8+F8+G8</f>
        <v>11</v>
      </c>
      <c r="I8" s="218">
        <f>(B8*82.45)+(C8*123.48)+(D8*161.91)+(E8*52.67)+(F8*39.1)+(G8*39.06)</f>
        <v>946.75</v>
      </c>
      <c r="J8" s="19">
        <v>0</v>
      </c>
      <c r="K8" s="19">
        <v>0</v>
      </c>
      <c r="L8" s="20">
        <v>1</v>
      </c>
      <c r="M8" s="18">
        <v>9</v>
      </c>
      <c r="N8" s="18">
        <f>H8*L8*M8</f>
        <v>99</v>
      </c>
      <c r="O8" s="218">
        <f>(I8+J8+K8)*L8*M8</f>
        <v>8520.75</v>
      </c>
    </row>
    <row r="9" spans="1:16" ht="25.5" x14ac:dyDescent="0.2">
      <c r="A9" s="36" t="s">
        <v>82</v>
      </c>
      <c r="B9" s="21">
        <v>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f t="shared" ref="H9:H16" si="0">B9+C9+D9+E9+F9+G9</f>
        <v>1</v>
      </c>
      <c r="I9" s="218">
        <f t="shared" ref="I9:I16" si="1">(B9*82.45)+(C9*123.48)+(D9*161.91)+(E9*52.67)+(F9*39.1)+(G9*39.06)</f>
        <v>82.45</v>
      </c>
      <c r="J9" s="19">
        <v>0</v>
      </c>
      <c r="K9" s="19">
        <v>0</v>
      </c>
      <c r="L9" s="20">
        <v>1</v>
      </c>
      <c r="M9" s="18">
        <v>9</v>
      </c>
      <c r="N9" s="18">
        <f t="shared" ref="N9:N16" si="2">H9*L9*M9</f>
        <v>9</v>
      </c>
      <c r="O9" s="218">
        <f t="shared" ref="O9:O16" si="3">(I9+J9+K9)*L9*M9</f>
        <v>742.05000000000007</v>
      </c>
    </row>
    <row r="10" spans="1:16" ht="38.25" x14ac:dyDescent="0.2">
      <c r="A10" s="201" t="s">
        <v>180</v>
      </c>
      <c r="B10" s="21">
        <v>16</v>
      </c>
      <c r="C10" s="18">
        <v>1</v>
      </c>
      <c r="D10" s="18">
        <v>0</v>
      </c>
      <c r="E10" s="18">
        <v>100</v>
      </c>
      <c r="F10" s="18">
        <v>2</v>
      </c>
      <c r="G10" s="18">
        <v>1</v>
      </c>
      <c r="H10" s="18">
        <f t="shared" si="0"/>
        <v>120</v>
      </c>
      <c r="I10" s="218">
        <f t="shared" si="1"/>
        <v>6826.9400000000005</v>
      </c>
      <c r="J10" s="19">
        <v>0</v>
      </c>
      <c r="K10" s="19">
        <v>200</v>
      </c>
      <c r="L10" s="20">
        <v>1</v>
      </c>
      <c r="M10" s="21">
        <v>3.4</v>
      </c>
      <c r="N10" s="18">
        <f t="shared" si="2"/>
        <v>408</v>
      </c>
      <c r="O10" s="218">
        <f t="shared" si="3"/>
        <v>23891.596000000001</v>
      </c>
    </row>
    <row r="11" spans="1:16" ht="25.5" x14ac:dyDescent="0.2">
      <c r="A11" s="36" t="s">
        <v>21</v>
      </c>
      <c r="B11" s="21">
        <v>1</v>
      </c>
      <c r="C11" s="18">
        <v>1</v>
      </c>
      <c r="D11" s="18">
        <v>0</v>
      </c>
      <c r="E11" s="18">
        <v>0</v>
      </c>
      <c r="F11" s="18">
        <v>0</v>
      </c>
      <c r="G11" s="18">
        <v>0</v>
      </c>
      <c r="H11" s="18">
        <f t="shared" si="0"/>
        <v>2</v>
      </c>
      <c r="I11" s="218">
        <f t="shared" si="1"/>
        <v>205.93</v>
      </c>
      <c r="J11" s="19">
        <v>0</v>
      </c>
      <c r="K11" s="19">
        <v>0</v>
      </c>
      <c r="L11" s="20">
        <v>1</v>
      </c>
      <c r="M11" s="18">
        <v>3.4</v>
      </c>
      <c r="N11" s="18">
        <f t="shared" si="2"/>
        <v>6.8</v>
      </c>
      <c r="O11" s="218">
        <f t="shared" si="3"/>
        <v>700.16200000000003</v>
      </c>
    </row>
    <row r="12" spans="1:16" ht="51" x14ac:dyDescent="0.2">
      <c r="A12" s="36" t="s">
        <v>86</v>
      </c>
      <c r="B12" s="21">
        <v>1</v>
      </c>
      <c r="C12" s="18">
        <v>0.5</v>
      </c>
      <c r="D12" s="18">
        <v>0</v>
      </c>
      <c r="E12" s="18">
        <v>0</v>
      </c>
      <c r="F12" s="18">
        <v>0</v>
      </c>
      <c r="G12" s="18">
        <v>1</v>
      </c>
      <c r="H12" s="18">
        <f t="shared" si="0"/>
        <v>2.5</v>
      </c>
      <c r="I12" s="218">
        <f t="shared" si="1"/>
        <v>183.25</v>
      </c>
      <c r="J12" s="19">
        <v>0</v>
      </c>
      <c r="K12" s="19">
        <v>10</v>
      </c>
      <c r="L12" s="20">
        <v>1</v>
      </c>
      <c r="M12" s="18">
        <v>9</v>
      </c>
      <c r="N12" s="18">
        <f t="shared" si="2"/>
        <v>22.5</v>
      </c>
      <c r="O12" s="218">
        <f t="shared" si="3"/>
        <v>1739.25</v>
      </c>
    </row>
    <row r="13" spans="1:16" ht="38.25" x14ac:dyDescent="0.2">
      <c r="A13" s="36" t="s">
        <v>17</v>
      </c>
      <c r="B13" s="21">
        <v>0</v>
      </c>
      <c r="C13" s="18">
        <v>0</v>
      </c>
      <c r="D13" s="18">
        <v>0</v>
      </c>
      <c r="E13" s="18">
        <v>0</v>
      </c>
      <c r="F13" s="18">
        <v>0</v>
      </c>
      <c r="G13" s="18">
        <v>2</v>
      </c>
      <c r="H13" s="18">
        <f t="shared" si="0"/>
        <v>2</v>
      </c>
      <c r="I13" s="218">
        <f t="shared" si="1"/>
        <v>78.12</v>
      </c>
      <c r="J13" s="19">
        <v>0</v>
      </c>
      <c r="K13" s="19">
        <v>2</v>
      </c>
      <c r="L13" s="22">
        <v>2.2999999999999998</v>
      </c>
      <c r="M13" s="18">
        <v>9</v>
      </c>
      <c r="N13" s="18">
        <f t="shared" si="2"/>
        <v>41.4</v>
      </c>
      <c r="O13" s="218">
        <f t="shared" si="3"/>
        <v>1658.4839999999999</v>
      </c>
    </row>
    <row r="14" spans="1:16" x14ac:dyDescent="0.2">
      <c r="A14" s="36" t="s">
        <v>46</v>
      </c>
      <c r="B14" s="21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f t="shared" si="0"/>
        <v>0</v>
      </c>
      <c r="I14" s="218">
        <f t="shared" si="1"/>
        <v>0</v>
      </c>
      <c r="J14" s="19">
        <v>0</v>
      </c>
      <c r="K14" s="19">
        <v>563</v>
      </c>
      <c r="L14" s="22">
        <v>2.2999999999999998</v>
      </c>
      <c r="M14" s="18">
        <v>9</v>
      </c>
      <c r="N14" s="18">
        <f t="shared" si="2"/>
        <v>0</v>
      </c>
      <c r="O14" s="218">
        <f t="shared" si="3"/>
        <v>11654.099999999999</v>
      </c>
    </row>
    <row r="15" spans="1:16" ht="25.5" x14ac:dyDescent="0.2">
      <c r="A15" s="36" t="s">
        <v>6</v>
      </c>
      <c r="B15" s="21">
        <v>1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f t="shared" si="0"/>
        <v>1</v>
      </c>
      <c r="I15" s="218">
        <f t="shared" si="1"/>
        <v>82.45</v>
      </c>
      <c r="J15" s="19">
        <v>0</v>
      </c>
      <c r="K15" s="19">
        <v>1</v>
      </c>
      <c r="L15" s="20">
        <f>29/2</f>
        <v>14.5</v>
      </c>
      <c r="M15" s="18">
        <v>2</v>
      </c>
      <c r="N15" s="18">
        <f t="shared" si="2"/>
        <v>29</v>
      </c>
      <c r="O15" s="218">
        <f t="shared" si="3"/>
        <v>2420.0500000000002</v>
      </c>
    </row>
    <row r="16" spans="1:16" ht="25.5" x14ac:dyDescent="0.2">
      <c r="A16" s="36" t="s">
        <v>7</v>
      </c>
      <c r="B16" s="21">
        <v>0</v>
      </c>
      <c r="C16" s="18">
        <v>0</v>
      </c>
      <c r="D16" s="18">
        <v>0</v>
      </c>
      <c r="E16" s="18">
        <v>0</v>
      </c>
      <c r="F16" s="18">
        <v>0</v>
      </c>
      <c r="G16" s="18">
        <v>1</v>
      </c>
      <c r="H16" s="18">
        <f t="shared" si="0"/>
        <v>1</v>
      </c>
      <c r="I16" s="218">
        <f t="shared" si="1"/>
        <v>39.06</v>
      </c>
      <c r="J16" s="19">
        <v>0</v>
      </c>
      <c r="K16" s="19">
        <v>2</v>
      </c>
      <c r="L16" s="20">
        <v>2.2999999999999998</v>
      </c>
      <c r="M16" s="18">
        <v>9</v>
      </c>
      <c r="N16" s="18">
        <f t="shared" si="2"/>
        <v>20.7</v>
      </c>
      <c r="O16" s="218">
        <f t="shared" si="3"/>
        <v>849.94200000000001</v>
      </c>
      <c r="P16" s="334"/>
    </row>
    <row r="17" spans="1:15" x14ac:dyDescent="0.2">
      <c r="A17" s="169" t="s">
        <v>8</v>
      </c>
      <c r="B17" s="170">
        <f>SUM(B8:B16)</f>
        <v>25</v>
      </c>
      <c r="C17" s="170">
        <f t="shared" ref="C17:J17" si="4">SUM(C8:C16)</f>
        <v>2.5</v>
      </c>
      <c r="D17" s="170">
        <f t="shared" si="4"/>
        <v>2</v>
      </c>
      <c r="E17" s="170">
        <f t="shared" si="4"/>
        <v>104</v>
      </c>
      <c r="F17" s="170">
        <f t="shared" si="4"/>
        <v>2</v>
      </c>
      <c r="G17" s="170">
        <f t="shared" si="4"/>
        <v>5</v>
      </c>
      <c r="H17" s="170">
        <f t="shared" si="4"/>
        <v>140.5</v>
      </c>
      <c r="I17" s="230">
        <f t="shared" si="4"/>
        <v>8444.9500000000007</v>
      </c>
      <c r="J17" s="171">
        <f t="shared" si="4"/>
        <v>0</v>
      </c>
      <c r="K17" s="171" t="s">
        <v>9</v>
      </c>
      <c r="L17" s="170" t="s">
        <v>9</v>
      </c>
      <c r="M17" s="212" t="s">
        <v>11</v>
      </c>
      <c r="N17" s="170" t="s">
        <v>11</v>
      </c>
      <c r="O17" s="230" t="s">
        <v>11</v>
      </c>
    </row>
    <row r="18" spans="1:15" x14ac:dyDescent="0.2">
      <c r="A18" s="169" t="s">
        <v>10</v>
      </c>
      <c r="B18" s="170" t="s">
        <v>11</v>
      </c>
      <c r="C18" s="170" t="s">
        <v>11</v>
      </c>
      <c r="D18" s="170" t="s">
        <v>11</v>
      </c>
      <c r="E18" s="170" t="s">
        <v>11</v>
      </c>
      <c r="F18" s="170" t="s">
        <v>11</v>
      </c>
      <c r="G18" s="170" t="s">
        <v>11</v>
      </c>
      <c r="H18" s="170" t="s">
        <v>11</v>
      </c>
      <c r="I18" s="230">
        <f>SUMPRODUCT(I8:I16,L8:L16,M8:M16)</f>
        <v>39640.484000000004</v>
      </c>
      <c r="J18" s="171">
        <v>0</v>
      </c>
      <c r="K18" s="171">
        <f>SUMPRODUCT(K8:K16,L8:L16,M8:M16)</f>
        <v>12535.899999999998</v>
      </c>
      <c r="L18" s="170" t="s">
        <v>9</v>
      </c>
      <c r="M18" s="170">
        <v>9</v>
      </c>
      <c r="N18" s="170">
        <f>SUM(N8:N16)</f>
        <v>636.4</v>
      </c>
      <c r="O18" s="230">
        <f>+SUM(O8:O16)</f>
        <v>52176.383999999998</v>
      </c>
    </row>
    <row r="19" spans="1:15" x14ac:dyDescent="0.2">
      <c r="A19" s="37" t="s">
        <v>69</v>
      </c>
      <c r="B19" s="37"/>
      <c r="D19" s="23"/>
      <c r="E19" s="23"/>
      <c r="F19" s="23"/>
      <c r="G19" s="23"/>
      <c r="H19" s="23"/>
      <c r="I19" s="24"/>
      <c r="J19" s="23"/>
      <c r="K19" s="24"/>
      <c r="L19" s="23"/>
      <c r="M19" s="23"/>
      <c r="N19" s="23"/>
      <c r="O19" s="24"/>
    </row>
    <row r="20" spans="1:15" x14ac:dyDescent="0.2">
      <c r="A20" s="37" t="s">
        <v>71</v>
      </c>
      <c r="B20" s="37"/>
      <c r="D20" s="23"/>
      <c r="E20" s="23"/>
      <c r="F20" s="23"/>
      <c r="G20" s="23"/>
      <c r="H20" s="23"/>
      <c r="I20" s="24"/>
      <c r="J20" s="23"/>
      <c r="K20" s="24"/>
      <c r="L20" s="23"/>
      <c r="M20" s="23"/>
      <c r="N20" s="23"/>
      <c r="O20" s="24"/>
    </row>
    <row r="21" spans="1:15" x14ac:dyDescent="0.2">
      <c r="A21" s="39" t="s">
        <v>181</v>
      </c>
      <c r="B21" s="38"/>
      <c r="C21" s="23"/>
      <c r="D21" s="23"/>
      <c r="E21" s="23"/>
      <c r="F21" s="23"/>
      <c r="G21" s="23"/>
      <c r="H21" s="23"/>
      <c r="I21" s="24"/>
      <c r="J21" s="23"/>
      <c r="K21" s="24"/>
      <c r="L21" s="23"/>
      <c r="M21" s="23"/>
      <c r="N21" s="23"/>
      <c r="O21" s="24"/>
    </row>
    <row r="22" spans="1:15" x14ac:dyDescent="0.2">
      <c r="A22" s="39" t="s">
        <v>75</v>
      </c>
      <c r="B22" s="38"/>
      <c r="C22" s="23"/>
      <c r="D22" s="23"/>
      <c r="E22" s="23"/>
      <c r="F22" s="23"/>
      <c r="G22" s="23"/>
      <c r="H22" s="23"/>
      <c r="I22" s="24"/>
      <c r="J22" s="23"/>
      <c r="K22" s="24"/>
      <c r="L22" s="23"/>
      <c r="M22" s="23"/>
      <c r="N22" s="23"/>
      <c r="O22" s="24"/>
    </row>
    <row r="23" spans="1:15" x14ac:dyDescent="0.2">
      <c r="A23" s="54"/>
      <c r="B23" s="40"/>
    </row>
    <row r="24" spans="1:15" x14ac:dyDescent="0.2">
      <c r="A24" s="40"/>
      <c r="B24" s="40"/>
    </row>
    <row r="25" spans="1:15" x14ac:dyDescent="0.2">
      <c r="A25" s="40"/>
      <c r="B25" s="40"/>
    </row>
    <row r="26" spans="1:15" x14ac:dyDescent="0.2">
      <c r="A26" s="40"/>
      <c r="B26" s="40"/>
    </row>
    <row r="27" spans="1:15" x14ac:dyDescent="0.2">
      <c r="A27" s="40"/>
      <c r="B27" s="40"/>
    </row>
    <row r="28" spans="1:15" x14ac:dyDescent="0.2">
      <c r="A28" s="40"/>
      <c r="B28" s="40"/>
    </row>
  </sheetData>
  <mergeCells count="5">
    <mergeCell ref="A2:O2"/>
    <mergeCell ref="B5:L5"/>
    <mergeCell ref="M5:O5"/>
    <mergeCell ref="A5:A6"/>
    <mergeCell ref="A3:O3"/>
  </mergeCells>
  <phoneticPr fontId="4" type="noConversion"/>
  <printOptions horizontalCentered="1" verticalCentered="1"/>
  <pageMargins left="0.75" right="0.75" top="1" bottom="1" header="0.5" footer="0.5"/>
  <pageSetup scale="69" orientation="landscape" r:id="rId1"/>
  <headerFooter alignWithMargins="0"/>
  <ignoredErrors>
    <ignoredError sqref="I18 K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workbookViewId="0">
      <selection activeCell="A3" sqref="A3:M3"/>
    </sheetView>
  </sheetViews>
  <sheetFormatPr defaultRowHeight="11.25" x14ac:dyDescent="0.2"/>
  <cols>
    <col min="1" max="1" width="22" style="103" customWidth="1"/>
    <col min="2" max="2" width="9.85546875" style="103" customWidth="1"/>
    <col min="3" max="3" width="11" style="103" bestFit="1" customWidth="1"/>
    <col min="4" max="4" width="10" style="103" customWidth="1"/>
    <col min="5" max="6" width="9.140625" style="103"/>
    <col min="7" max="7" width="12.85546875" style="103" bestFit="1" customWidth="1"/>
    <col min="8" max="8" width="7.85546875" style="103" bestFit="1" customWidth="1"/>
    <col min="9" max="9" width="13.7109375" style="103" customWidth="1"/>
    <col min="10" max="10" width="14.140625" style="103" bestFit="1" customWidth="1"/>
    <col min="11" max="11" width="9.42578125" style="103" customWidth="1"/>
    <col min="12" max="12" width="9.140625" style="103"/>
    <col min="13" max="13" width="13.85546875" style="103" bestFit="1" customWidth="1"/>
    <col min="14" max="253" width="9.140625" style="103"/>
    <col min="254" max="254" width="22" style="103" customWidth="1"/>
    <col min="255" max="255" width="9.85546875" style="103" customWidth="1"/>
    <col min="256" max="256" width="11" style="103" bestFit="1" customWidth="1"/>
    <col min="257" max="257" width="10" style="103" customWidth="1"/>
    <col min="258" max="259" width="9.140625" style="103"/>
    <col min="260" max="260" width="12.85546875" style="103" bestFit="1" customWidth="1"/>
    <col min="261" max="261" width="7.85546875" style="103" bestFit="1" customWidth="1"/>
    <col min="262" max="263" width="13.7109375" style="103" customWidth="1"/>
    <col min="264" max="264" width="14.140625" style="103" bestFit="1" customWidth="1"/>
    <col min="265" max="265" width="8.85546875" style="103" customWidth="1"/>
    <col min="266" max="266" width="12.85546875" style="103" customWidth="1"/>
    <col min="267" max="267" width="9.42578125" style="103" customWidth="1"/>
    <col min="268" max="268" width="9.140625" style="103"/>
    <col min="269" max="269" width="13.85546875" style="103" bestFit="1" customWidth="1"/>
    <col min="270" max="509" width="9.140625" style="103"/>
    <col min="510" max="510" width="22" style="103" customWidth="1"/>
    <col min="511" max="511" width="9.85546875" style="103" customWidth="1"/>
    <col min="512" max="512" width="11" style="103" bestFit="1" customWidth="1"/>
    <col min="513" max="513" width="10" style="103" customWidth="1"/>
    <col min="514" max="515" width="9.140625" style="103"/>
    <col min="516" max="516" width="12.85546875" style="103" bestFit="1" customWidth="1"/>
    <col min="517" max="517" width="7.85546875" style="103" bestFit="1" customWidth="1"/>
    <col min="518" max="519" width="13.7109375" style="103" customWidth="1"/>
    <col min="520" max="520" width="14.140625" style="103" bestFit="1" customWidth="1"/>
    <col min="521" max="521" width="8.85546875" style="103" customWidth="1"/>
    <col min="522" max="522" width="12.85546875" style="103" customWidth="1"/>
    <col min="523" max="523" width="9.42578125" style="103" customWidth="1"/>
    <col min="524" max="524" width="9.140625" style="103"/>
    <col min="525" max="525" width="13.85546875" style="103" bestFit="1" customWidth="1"/>
    <col min="526" max="765" width="9.140625" style="103"/>
    <col min="766" max="766" width="22" style="103" customWidth="1"/>
    <col min="767" max="767" width="9.85546875" style="103" customWidth="1"/>
    <col min="768" max="768" width="11" style="103" bestFit="1" customWidth="1"/>
    <col min="769" max="769" width="10" style="103" customWidth="1"/>
    <col min="770" max="771" width="9.140625" style="103"/>
    <col min="772" max="772" width="12.85546875" style="103" bestFit="1" customWidth="1"/>
    <col min="773" max="773" width="7.85546875" style="103" bestFit="1" customWidth="1"/>
    <col min="774" max="775" width="13.7109375" style="103" customWidth="1"/>
    <col min="776" max="776" width="14.140625" style="103" bestFit="1" customWidth="1"/>
    <col min="777" max="777" width="8.85546875" style="103" customWidth="1"/>
    <col min="778" max="778" width="12.85546875" style="103" customWidth="1"/>
    <col min="779" max="779" width="9.42578125" style="103" customWidth="1"/>
    <col min="780" max="780" width="9.140625" style="103"/>
    <col min="781" max="781" width="13.85546875" style="103" bestFit="1" customWidth="1"/>
    <col min="782" max="1021" width="9.140625" style="103"/>
    <col min="1022" max="1022" width="22" style="103" customWidth="1"/>
    <col min="1023" max="1023" width="9.85546875" style="103" customWidth="1"/>
    <col min="1024" max="1024" width="11" style="103" bestFit="1" customWidth="1"/>
    <col min="1025" max="1025" width="10" style="103" customWidth="1"/>
    <col min="1026" max="1027" width="9.140625" style="103"/>
    <col min="1028" max="1028" width="12.85546875" style="103" bestFit="1" customWidth="1"/>
    <col min="1029" max="1029" width="7.85546875" style="103" bestFit="1" customWidth="1"/>
    <col min="1030" max="1031" width="13.7109375" style="103" customWidth="1"/>
    <col min="1032" max="1032" width="14.140625" style="103" bestFit="1" customWidth="1"/>
    <col min="1033" max="1033" width="8.85546875" style="103" customWidth="1"/>
    <col min="1034" max="1034" width="12.85546875" style="103" customWidth="1"/>
    <col min="1035" max="1035" width="9.42578125" style="103" customWidth="1"/>
    <col min="1036" max="1036" width="9.140625" style="103"/>
    <col min="1037" max="1037" width="13.85546875" style="103" bestFit="1" customWidth="1"/>
    <col min="1038" max="1277" width="9.140625" style="103"/>
    <col min="1278" max="1278" width="22" style="103" customWidth="1"/>
    <col min="1279" max="1279" width="9.85546875" style="103" customWidth="1"/>
    <col min="1280" max="1280" width="11" style="103" bestFit="1" customWidth="1"/>
    <col min="1281" max="1281" width="10" style="103" customWidth="1"/>
    <col min="1282" max="1283" width="9.140625" style="103"/>
    <col min="1284" max="1284" width="12.85546875" style="103" bestFit="1" customWidth="1"/>
    <col min="1285" max="1285" width="7.85546875" style="103" bestFit="1" customWidth="1"/>
    <col min="1286" max="1287" width="13.7109375" style="103" customWidth="1"/>
    <col min="1288" max="1288" width="14.140625" style="103" bestFit="1" customWidth="1"/>
    <col min="1289" max="1289" width="8.85546875" style="103" customWidth="1"/>
    <col min="1290" max="1290" width="12.85546875" style="103" customWidth="1"/>
    <col min="1291" max="1291" width="9.42578125" style="103" customWidth="1"/>
    <col min="1292" max="1292" width="9.140625" style="103"/>
    <col min="1293" max="1293" width="13.85546875" style="103" bestFit="1" customWidth="1"/>
    <col min="1294" max="1533" width="9.140625" style="103"/>
    <col min="1534" max="1534" width="22" style="103" customWidth="1"/>
    <col min="1535" max="1535" width="9.85546875" style="103" customWidth="1"/>
    <col min="1536" max="1536" width="11" style="103" bestFit="1" customWidth="1"/>
    <col min="1537" max="1537" width="10" style="103" customWidth="1"/>
    <col min="1538" max="1539" width="9.140625" style="103"/>
    <col min="1540" max="1540" width="12.85546875" style="103" bestFit="1" customWidth="1"/>
    <col min="1541" max="1541" width="7.85546875" style="103" bestFit="1" customWidth="1"/>
    <col min="1542" max="1543" width="13.7109375" style="103" customWidth="1"/>
    <col min="1544" max="1544" width="14.140625" style="103" bestFit="1" customWidth="1"/>
    <col min="1545" max="1545" width="8.85546875" style="103" customWidth="1"/>
    <col min="1546" max="1546" width="12.85546875" style="103" customWidth="1"/>
    <col min="1547" max="1547" width="9.42578125" style="103" customWidth="1"/>
    <col min="1548" max="1548" width="9.140625" style="103"/>
    <col min="1549" max="1549" width="13.85546875" style="103" bestFit="1" customWidth="1"/>
    <col min="1550" max="1789" width="9.140625" style="103"/>
    <col min="1790" max="1790" width="22" style="103" customWidth="1"/>
    <col min="1791" max="1791" width="9.85546875" style="103" customWidth="1"/>
    <col min="1792" max="1792" width="11" style="103" bestFit="1" customWidth="1"/>
    <col min="1793" max="1793" width="10" style="103" customWidth="1"/>
    <col min="1794" max="1795" width="9.140625" style="103"/>
    <col min="1796" max="1796" width="12.85546875" style="103" bestFit="1" customWidth="1"/>
    <col min="1797" max="1797" width="7.85546875" style="103" bestFit="1" customWidth="1"/>
    <col min="1798" max="1799" width="13.7109375" style="103" customWidth="1"/>
    <col min="1800" max="1800" width="14.140625" style="103" bestFit="1" customWidth="1"/>
    <col min="1801" max="1801" width="8.85546875" style="103" customWidth="1"/>
    <col min="1802" max="1802" width="12.85546875" style="103" customWidth="1"/>
    <col min="1803" max="1803" width="9.42578125" style="103" customWidth="1"/>
    <col min="1804" max="1804" width="9.140625" style="103"/>
    <col min="1805" max="1805" width="13.85546875" style="103" bestFit="1" customWidth="1"/>
    <col min="1806" max="2045" width="9.140625" style="103"/>
    <col min="2046" max="2046" width="22" style="103" customWidth="1"/>
    <col min="2047" max="2047" width="9.85546875" style="103" customWidth="1"/>
    <col min="2048" max="2048" width="11" style="103" bestFit="1" customWidth="1"/>
    <col min="2049" max="2049" width="10" style="103" customWidth="1"/>
    <col min="2050" max="2051" width="9.140625" style="103"/>
    <col min="2052" max="2052" width="12.85546875" style="103" bestFit="1" customWidth="1"/>
    <col min="2053" max="2053" width="7.85546875" style="103" bestFit="1" customWidth="1"/>
    <col min="2054" max="2055" width="13.7109375" style="103" customWidth="1"/>
    <col min="2056" max="2056" width="14.140625" style="103" bestFit="1" customWidth="1"/>
    <col min="2057" max="2057" width="8.85546875" style="103" customWidth="1"/>
    <col min="2058" max="2058" width="12.85546875" style="103" customWidth="1"/>
    <col min="2059" max="2059" width="9.42578125" style="103" customWidth="1"/>
    <col min="2060" max="2060" width="9.140625" style="103"/>
    <col min="2061" max="2061" width="13.85546875" style="103" bestFit="1" customWidth="1"/>
    <col min="2062" max="2301" width="9.140625" style="103"/>
    <col min="2302" max="2302" width="22" style="103" customWidth="1"/>
    <col min="2303" max="2303" width="9.85546875" style="103" customWidth="1"/>
    <col min="2304" max="2304" width="11" style="103" bestFit="1" customWidth="1"/>
    <col min="2305" max="2305" width="10" style="103" customWidth="1"/>
    <col min="2306" max="2307" width="9.140625" style="103"/>
    <col min="2308" max="2308" width="12.85546875" style="103" bestFit="1" customWidth="1"/>
    <col min="2309" max="2309" width="7.85546875" style="103" bestFit="1" customWidth="1"/>
    <col min="2310" max="2311" width="13.7109375" style="103" customWidth="1"/>
    <col min="2312" max="2312" width="14.140625" style="103" bestFit="1" customWidth="1"/>
    <col min="2313" max="2313" width="8.85546875" style="103" customWidth="1"/>
    <col min="2314" max="2314" width="12.85546875" style="103" customWidth="1"/>
    <col min="2315" max="2315" width="9.42578125" style="103" customWidth="1"/>
    <col min="2316" max="2316" width="9.140625" style="103"/>
    <col min="2317" max="2317" width="13.85546875" style="103" bestFit="1" customWidth="1"/>
    <col min="2318" max="2557" width="9.140625" style="103"/>
    <col min="2558" max="2558" width="22" style="103" customWidth="1"/>
    <col min="2559" max="2559" width="9.85546875" style="103" customWidth="1"/>
    <col min="2560" max="2560" width="11" style="103" bestFit="1" customWidth="1"/>
    <col min="2561" max="2561" width="10" style="103" customWidth="1"/>
    <col min="2562" max="2563" width="9.140625" style="103"/>
    <col min="2564" max="2564" width="12.85546875" style="103" bestFit="1" customWidth="1"/>
    <col min="2565" max="2565" width="7.85546875" style="103" bestFit="1" customWidth="1"/>
    <col min="2566" max="2567" width="13.7109375" style="103" customWidth="1"/>
    <col min="2568" max="2568" width="14.140625" style="103" bestFit="1" customWidth="1"/>
    <col min="2569" max="2569" width="8.85546875" style="103" customWidth="1"/>
    <col min="2570" max="2570" width="12.85546875" style="103" customWidth="1"/>
    <col min="2571" max="2571" width="9.42578125" style="103" customWidth="1"/>
    <col min="2572" max="2572" width="9.140625" style="103"/>
    <col min="2573" max="2573" width="13.85546875" style="103" bestFit="1" customWidth="1"/>
    <col min="2574" max="2813" width="9.140625" style="103"/>
    <col min="2814" max="2814" width="22" style="103" customWidth="1"/>
    <col min="2815" max="2815" width="9.85546875" style="103" customWidth="1"/>
    <col min="2816" max="2816" width="11" style="103" bestFit="1" customWidth="1"/>
    <col min="2817" max="2817" width="10" style="103" customWidth="1"/>
    <col min="2818" max="2819" width="9.140625" style="103"/>
    <col min="2820" max="2820" width="12.85546875" style="103" bestFit="1" customWidth="1"/>
    <col min="2821" max="2821" width="7.85546875" style="103" bestFit="1" customWidth="1"/>
    <col min="2822" max="2823" width="13.7109375" style="103" customWidth="1"/>
    <col min="2824" max="2824" width="14.140625" style="103" bestFit="1" customWidth="1"/>
    <col min="2825" max="2825" width="8.85546875" style="103" customWidth="1"/>
    <col min="2826" max="2826" width="12.85546875" style="103" customWidth="1"/>
    <col min="2827" max="2827" width="9.42578125" style="103" customWidth="1"/>
    <col min="2828" max="2828" width="9.140625" style="103"/>
    <col min="2829" max="2829" width="13.85546875" style="103" bestFit="1" customWidth="1"/>
    <col min="2830" max="3069" width="9.140625" style="103"/>
    <col min="3070" max="3070" width="22" style="103" customWidth="1"/>
    <col min="3071" max="3071" width="9.85546875" style="103" customWidth="1"/>
    <col min="3072" max="3072" width="11" style="103" bestFit="1" customWidth="1"/>
    <col min="3073" max="3073" width="10" style="103" customWidth="1"/>
    <col min="3074" max="3075" width="9.140625" style="103"/>
    <col min="3076" max="3076" width="12.85546875" style="103" bestFit="1" customWidth="1"/>
    <col min="3077" max="3077" width="7.85546875" style="103" bestFit="1" customWidth="1"/>
    <col min="3078" max="3079" width="13.7109375" style="103" customWidth="1"/>
    <col min="3080" max="3080" width="14.140625" style="103" bestFit="1" customWidth="1"/>
    <col min="3081" max="3081" width="8.85546875" style="103" customWidth="1"/>
    <col min="3082" max="3082" width="12.85546875" style="103" customWidth="1"/>
    <col min="3083" max="3083" width="9.42578125" style="103" customWidth="1"/>
    <col min="3084" max="3084" width="9.140625" style="103"/>
    <col min="3085" max="3085" width="13.85546875" style="103" bestFit="1" customWidth="1"/>
    <col min="3086" max="3325" width="9.140625" style="103"/>
    <col min="3326" max="3326" width="22" style="103" customWidth="1"/>
    <col min="3327" max="3327" width="9.85546875" style="103" customWidth="1"/>
    <col min="3328" max="3328" width="11" style="103" bestFit="1" customWidth="1"/>
    <col min="3329" max="3329" width="10" style="103" customWidth="1"/>
    <col min="3330" max="3331" width="9.140625" style="103"/>
    <col min="3332" max="3332" width="12.85546875" style="103" bestFit="1" customWidth="1"/>
    <col min="3333" max="3333" width="7.85546875" style="103" bestFit="1" customWidth="1"/>
    <col min="3334" max="3335" width="13.7109375" style="103" customWidth="1"/>
    <col min="3336" max="3336" width="14.140625" style="103" bestFit="1" customWidth="1"/>
    <col min="3337" max="3337" width="8.85546875" style="103" customWidth="1"/>
    <col min="3338" max="3338" width="12.85546875" style="103" customWidth="1"/>
    <col min="3339" max="3339" width="9.42578125" style="103" customWidth="1"/>
    <col min="3340" max="3340" width="9.140625" style="103"/>
    <col min="3341" max="3341" width="13.85546875" style="103" bestFit="1" customWidth="1"/>
    <col min="3342" max="3581" width="9.140625" style="103"/>
    <col min="3582" max="3582" width="22" style="103" customWidth="1"/>
    <col min="3583" max="3583" width="9.85546875" style="103" customWidth="1"/>
    <col min="3584" max="3584" width="11" style="103" bestFit="1" customWidth="1"/>
    <col min="3585" max="3585" width="10" style="103" customWidth="1"/>
    <col min="3586" max="3587" width="9.140625" style="103"/>
    <col min="3588" max="3588" width="12.85546875" style="103" bestFit="1" customWidth="1"/>
    <col min="3589" max="3589" width="7.85546875" style="103" bestFit="1" customWidth="1"/>
    <col min="3590" max="3591" width="13.7109375" style="103" customWidth="1"/>
    <col min="3592" max="3592" width="14.140625" style="103" bestFit="1" customWidth="1"/>
    <col min="3593" max="3593" width="8.85546875" style="103" customWidth="1"/>
    <col min="3594" max="3594" width="12.85546875" style="103" customWidth="1"/>
    <col min="3595" max="3595" width="9.42578125" style="103" customWidth="1"/>
    <col min="3596" max="3596" width="9.140625" style="103"/>
    <col min="3597" max="3597" width="13.85546875" style="103" bestFit="1" customWidth="1"/>
    <col min="3598" max="3837" width="9.140625" style="103"/>
    <col min="3838" max="3838" width="22" style="103" customWidth="1"/>
    <col min="3839" max="3839" width="9.85546875" style="103" customWidth="1"/>
    <col min="3840" max="3840" width="11" style="103" bestFit="1" customWidth="1"/>
    <col min="3841" max="3841" width="10" style="103" customWidth="1"/>
    <col min="3842" max="3843" width="9.140625" style="103"/>
    <col min="3844" max="3844" width="12.85546875" style="103" bestFit="1" customWidth="1"/>
    <col min="3845" max="3845" width="7.85546875" style="103" bestFit="1" customWidth="1"/>
    <col min="3846" max="3847" width="13.7109375" style="103" customWidth="1"/>
    <col min="3848" max="3848" width="14.140625" style="103" bestFit="1" customWidth="1"/>
    <col min="3849" max="3849" width="8.85546875" style="103" customWidth="1"/>
    <col min="3850" max="3850" width="12.85546875" style="103" customWidth="1"/>
    <col min="3851" max="3851" width="9.42578125" style="103" customWidth="1"/>
    <col min="3852" max="3852" width="9.140625" style="103"/>
    <col min="3853" max="3853" width="13.85546875" style="103" bestFit="1" customWidth="1"/>
    <col min="3854" max="4093" width="9.140625" style="103"/>
    <col min="4094" max="4094" width="22" style="103" customWidth="1"/>
    <col min="4095" max="4095" width="9.85546875" style="103" customWidth="1"/>
    <col min="4096" max="4096" width="11" style="103" bestFit="1" customWidth="1"/>
    <col min="4097" max="4097" width="10" style="103" customWidth="1"/>
    <col min="4098" max="4099" width="9.140625" style="103"/>
    <col min="4100" max="4100" width="12.85546875" style="103" bestFit="1" customWidth="1"/>
    <col min="4101" max="4101" width="7.85546875" style="103" bestFit="1" customWidth="1"/>
    <col min="4102" max="4103" width="13.7109375" style="103" customWidth="1"/>
    <col min="4104" max="4104" width="14.140625" style="103" bestFit="1" customWidth="1"/>
    <col min="4105" max="4105" width="8.85546875" style="103" customWidth="1"/>
    <col min="4106" max="4106" width="12.85546875" style="103" customWidth="1"/>
    <col min="4107" max="4107" width="9.42578125" style="103" customWidth="1"/>
    <col min="4108" max="4108" width="9.140625" style="103"/>
    <col min="4109" max="4109" width="13.85546875" style="103" bestFit="1" customWidth="1"/>
    <col min="4110" max="4349" width="9.140625" style="103"/>
    <col min="4350" max="4350" width="22" style="103" customWidth="1"/>
    <col min="4351" max="4351" width="9.85546875" style="103" customWidth="1"/>
    <col min="4352" max="4352" width="11" style="103" bestFit="1" customWidth="1"/>
    <col min="4353" max="4353" width="10" style="103" customWidth="1"/>
    <col min="4354" max="4355" width="9.140625" style="103"/>
    <col min="4356" max="4356" width="12.85546875" style="103" bestFit="1" customWidth="1"/>
    <col min="4357" max="4357" width="7.85546875" style="103" bestFit="1" customWidth="1"/>
    <col min="4358" max="4359" width="13.7109375" style="103" customWidth="1"/>
    <col min="4360" max="4360" width="14.140625" style="103" bestFit="1" customWidth="1"/>
    <col min="4361" max="4361" width="8.85546875" style="103" customWidth="1"/>
    <col min="4362" max="4362" width="12.85546875" style="103" customWidth="1"/>
    <col min="4363" max="4363" width="9.42578125" style="103" customWidth="1"/>
    <col min="4364" max="4364" width="9.140625" style="103"/>
    <col min="4365" max="4365" width="13.85546875" style="103" bestFit="1" customWidth="1"/>
    <col min="4366" max="4605" width="9.140625" style="103"/>
    <col min="4606" max="4606" width="22" style="103" customWidth="1"/>
    <col min="4607" max="4607" width="9.85546875" style="103" customWidth="1"/>
    <col min="4608" max="4608" width="11" style="103" bestFit="1" customWidth="1"/>
    <col min="4609" max="4609" width="10" style="103" customWidth="1"/>
    <col min="4610" max="4611" width="9.140625" style="103"/>
    <col min="4612" max="4612" width="12.85546875" style="103" bestFit="1" customWidth="1"/>
    <col min="4613" max="4613" width="7.85546875" style="103" bestFit="1" customWidth="1"/>
    <col min="4614" max="4615" width="13.7109375" style="103" customWidth="1"/>
    <col min="4616" max="4616" width="14.140625" style="103" bestFit="1" customWidth="1"/>
    <col min="4617" max="4617" width="8.85546875" style="103" customWidth="1"/>
    <col min="4618" max="4618" width="12.85546875" style="103" customWidth="1"/>
    <col min="4619" max="4619" width="9.42578125" style="103" customWidth="1"/>
    <col min="4620" max="4620" width="9.140625" style="103"/>
    <col min="4621" max="4621" width="13.85546875" style="103" bestFit="1" customWidth="1"/>
    <col min="4622" max="4861" width="9.140625" style="103"/>
    <col min="4862" max="4862" width="22" style="103" customWidth="1"/>
    <col min="4863" max="4863" width="9.85546875" style="103" customWidth="1"/>
    <col min="4864" max="4864" width="11" style="103" bestFit="1" customWidth="1"/>
    <col min="4865" max="4865" width="10" style="103" customWidth="1"/>
    <col min="4866" max="4867" width="9.140625" style="103"/>
    <col min="4868" max="4868" width="12.85546875" style="103" bestFit="1" customWidth="1"/>
    <col min="4869" max="4869" width="7.85546875" style="103" bestFit="1" customWidth="1"/>
    <col min="4870" max="4871" width="13.7109375" style="103" customWidth="1"/>
    <col min="4872" max="4872" width="14.140625" style="103" bestFit="1" customWidth="1"/>
    <col min="4873" max="4873" width="8.85546875" style="103" customWidth="1"/>
    <col min="4874" max="4874" width="12.85546875" style="103" customWidth="1"/>
    <col min="4875" max="4875" width="9.42578125" style="103" customWidth="1"/>
    <col min="4876" max="4876" width="9.140625" style="103"/>
    <col min="4877" max="4877" width="13.85546875" style="103" bestFit="1" customWidth="1"/>
    <col min="4878" max="5117" width="9.140625" style="103"/>
    <col min="5118" max="5118" width="22" style="103" customWidth="1"/>
    <col min="5119" max="5119" width="9.85546875" style="103" customWidth="1"/>
    <col min="5120" max="5120" width="11" style="103" bestFit="1" customWidth="1"/>
    <col min="5121" max="5121" width="10" style="103" customWidth="1"/>
    <col min="5122" max="5123" width="9.140625" style="103"/>
    <col min="5124" max="5124" width="12.85546875" style="103" bestFit="1" customWidth="1"/>
    <col min="5125" max="5125" width="7.85546875" style="103" bestFit="1" customWidth="1"/>
    <col min="5126" max="5127" width="13.7109375" style="103" customWidth="1"/>
    <col min="5128" max="5128" width="14.140625" style="103" bestFit="1" customWidth="1"/>
    <col min="5129" max="5129" width="8.85546875" style="103" customWidth="1"/>
    <col min="5130" max="5130" width="12.85546875" style="103" customWidth="1"/>
    <col min="5131" max="5131" width="9.42578125" style="103" customWidth="1"/>
    <col min="5132" max="5132" width="9.140625" style="103"/>
    <col min="5133" max="5133" width="13.85546875" style="103" bestFit="1" customWidth="1"/>
    <col min="5134" max="5373" width="9.140625" style="103"/>
    <col min="5374" max="5374" width="22" style="103" customWidth="1"/>
    <col min="5375" max="5375" width="9.85546875" style="103" customWidth="1"/>
    <col min="5376" max="5376" width="11" style="103" bestFit="1" customWidth="1"/>
    <col min="5377" max="5377" width="10" style="103" customWidth="1"/>
    <col min="5378" max="5379" width="9.140625" style="103"/>
    <col min="5380" max="5380" width="12.85546875" style="103" bestFit="1" customWidth="1"/>
    <col min="5381" max="5381" width="7.85546875" style="103" bestFit="1" customWidth="1"/>
    <col min="5382" max="5383" width="13.7109375" style="103" customWidth="1"/>
    <col min="5384" max="5384" width="14.140625" style="103" bestFit="1" customWidth="1"/>
    <col min="5385" max="5385" width="8.85546875" style="103" customWidth="1"/>
    <col min="5386" max="5386" width="12.85546875" style="103" customWidth="1"/>
    <col min="5387" max="5387" width="9.42578125" style="103" customWidth="1"/>
    <col min="5388" max="5388" width="9.140625" style="103"/>
    <col min="5389" max="5389" width="13.85546875" style="103" bestFit="1" customWidth="1"/>
    <col min="5390" max="5629" width="9.140625" style="103"/>
    <col min="5630" max="5630" width="22" style="103" customWidth="1"/>
    <col min="5631" max="5631" width="9.85546875" style="103" customWidth="1"/>
    <col min="5632" max="5632" width="11" style="103" bestFit="1" customWidth="1"/>
    <col min="5633" max="5633" width="10" style="103" customWidth="1"/>
    <col min="5634" max="5635" width="9.140625" style="103"/>
    <col min="5636" max="5636" width="12.85546875" style="103" bestFit="1" customWidth="1"/>
    <col min="5637" max="5637" width="7.85546875" style="103" bestFit="1" customWidth="1"/>
    <col min="5638" max="5639" width="13.7109375" style="103" customWidth="1"/>
    <col min="5640" max="5640" width="14.140625" style="103" bestFit="1" customWidth="1"/>
    <col min="5641" max="5641" width="8.85546875" style="103" customWidth="1"/>
    <col min="5642" max="5642" width="12.85546875" style="103" customWidth="1"/>
    <col min="5643" max="5643" width="9.42578125" style="103" customWidth="1"/>
    <col min="5644" max="5644" width="9.140625" style="103"/>
    <col min="5645" max="5645" width="13.85546875" style="103" bestFit="1" customWidth="1"/>
    <col min="5646" max="5885" width="9.140625" style="103"/>
    <col min="5886" max="5886" width="22" style="103" customWidth="1"/>
    <col min="5887" max="5887" width="9.85546875" style="103" customWidth="1"/>
    <col min="5888" max="5888" width="11" style="103" bestFit="1" customWidth="1"/>
    <col min="5889" max="5889" width="10" style="103" customWidth="1"/>
    <col min="5890" max="5891" width="9.140625" style="103"/>
    <col min="5892" max="5892" width="12.85546875" style="103" bestFit="1" customWidth="1"/>
    <col min="5893" max="5893" width="7.85546875" style="103" bestFit="1" customWidth="1"/>
    <col min="5894" max="5895" width="13.7109375" style="103" customWidth="1"/>
    <col min="5896" max="5896" width="14.140625" style="103" bestFit="1" customWidth="1"/>
    <col min="5897" max="5897" width="8.85546875" style="103" customWidth="1"/>
    <col min="5898" max="5898" width="12.85546875" style="103" customWidth="1"/>
    <col min="5899" max="5899" width="9.42578125" style="103" customWidth="1"/>
    <col min="5900" max="5900" width="9.140625" style="103"/>
    <col min="5901" max="5901" width="13.85546875" style="103" bestFit="1" customWidth="1"/>
    <col min="5902" max="6141" width="9.140625" style="103"/>
    <col min="6142" max="6142" width="22" style="103" customWidth="1"/>
    <col min="6143" max="6143" width="9.85546875" style="103" customWidth="1"/>
    <col min="6144" max="6144" width="11" style="103" bestFit="1" customWidth="1"/>
    <col min="6145" max="6145" width="10" style="103" customWidth="1"/>
    <col min="6146" max="6147" width="9.140625" style="103"/>
    <col min="6148" max="6148" width="12.85546875" style="103" bestFit="1" customWidth="1"/>
    <col min="6149" max="6149" width="7.85546875" style="103" bestFit="1" customWidth="1"/>
    <col min="6150" max="6151" width="13.7109375" style="103" customWidth="1"/>
    <col min="6152" max="6152" width="14.140625" style="103" bestFit="1" customWidth="1"/>
    <col min="6153" max="6153" width="8.85546875" style="103" customWidth="1"/>
    <col min="6154" max="6154" width="12.85546875" style="103" customWidth="1"/>
    <col min="6155" max="6155" width="9.42578125" style="103" customWidth="1"/>
    <col min="6156" max="6156" width="9.140625" style="103"/>
    <col min="6157" max="6157" width="13.85546875" style="103" bestFit="1" customWidth="1"/>
    <col min="6158" max="6397" width="9.140625" style="103"/>
    <col min="6398" max="6398" width="22" style="103" customWidth="1"/>
    <col min="6399" max="6399" width="9.85546875" style="103" customWidth="1"/>
    <col min="6400" max="6400" width="11" style="103" bestFit="1" customWidth="1"/>
    <col min="6401" max="6401" width="10" style="103" customWidth="1"/>
    <col min="6402" max="6403" width="9.140625" style="103"/>
    <col min="6404" max="6404" width="12.85546875" style="103" bestFit="1" customWidth="1"/>
    <col min="6405" max="6405" width="7.85546875" style="103" bestFit="1" customWidth="1"/>
    <col min="6406" max="6407" width="13.7109375" style="103" customWidth="1"/>
    <col min="6408" max="6408" width="14.140625" style="103" bestFit="1" customWidth="1"/>
    <col min="6409" max="6409" width="8.85546875" style="103" customWidth="1"/>
    <col min="6410" max="6410" width="12.85546875" style="103" customWidth="1"/>
    <col min="6411" max="6411" width="9.42578125" style="103" customWidth="1"/>
    <col min="6412" max="6412" width="9.140625" style="103"/>
    <col min="6413" max="6413" width="13.85546875" style="103" bestFit="1" customWidth="1"/>
    <col min="6414" max="6653" width="9.140625" style="103"/>
    <col min="6654" max="6654" width="22" style="103" customWidth="1"/>
    <col min="6655" max="6655" width="9.85546875" style="103" customWidth="1"/>
    <col min="6656" max="6656" width="11" style="103" bestFit="1" customWidth="1"/>
    <col min="6657" max="6657" width="10" style="103" customWidth="1"/>
    <col min="6658" max="6659" width="9.140625" style="103"/>
    <col min="6660" max="6660" width="12.85546875" style="103" bestFit="1" customWidth="1"/>
    <col min="6661" max="6661" width="7.85546875" style="103" bestFit="1" customWidth="1"/>
    <col min="6662" max="6663" width="13.7109375" style="103" customWidth="1"/>
    <col min="6664" max="6664" width="14.140625" style="103" bestFit="1" customWidth="1"/>
    <col min="6665" max="6665" width="8.85546875" style="103" customWidth="1"/>
    <col min="6666" max="6666" width="12.85546875" style="103" customWidth="1"/>
    <col min="6667" max="6667" width="9.42578125" style="103" customWidth="1"/>
    <col min="6668" max="6668" width="9.140625" style="103"/>
    <col min="6669" max="6669" width="13.85546875" style="103" bestFit="1" customWidth="1"/>
    <col min="6670" max="6909" width="9.140625" style="103"/>
    <col min="6910" max="6910" width="22" style="103" customWidth="1"/>
    <col min="6911" max="6911" width="9.85546875" style="103" customWidth="1"/>
    <col min="6912" max="6912" width="11" style="103" bestFit="1" customWidth="1"/>
    <col min="6913" max="6913" width="10" style="103" customWidth="1"/>
    <col min="6914" max="6915" width="9.140625" style="103"/>
    <col min="6916" max="6916" width="12.85546875" style="103" bestFit="1" customWidth="1"/>
    <col min="6917" max="6917" width="7.85546875" style="103" bestFit="1" customWidth="1"/>
    <col min="6918" max="6919" width="13.7109375" style="103" customWidth="1"/>
    <col min="6920" max="6920" width="14.140625" style="103" bestFit="1" customWidth="1"/>
    <col min="6921" max="6921" width="8.85546875" style="103" customWidth="1"/>
    <col min="6922" max="6922" width="12.85546875" style="103" customWidth="1"/>
    <col min="6923" max="6923" width="9.42578125" style="103" customWidth="1"/>
    <col min="6924" max="6924" width="9.140625" style="103"/>
    <col min="6925" max="6925" width="13.85546875" style="103" bestFit="1" customWidth="1"/>
    <col min="6926" max="7165" width="9.140625" style="103"/>
    <col min="7166" max="7166" width="22" style="103" customWidth="1"/>
    <col min="7167" max="7167" width="9.85546875" style="103" customWidth="1"/>
    <col min="7168" max="7168" width="11" style="103" bestFit="1" customWidth="1"/>
    <col min="7169" max="7169" width="10" style="103" customWidth="1"/>
    <col min="7170" max="7171" width="9.140625" style="103"/>
    <col min="7172" max="7172" width="12.85546875" style="103" bestFit="1" customWidth="1"/>
    <col min="7173" max="7173" width="7.85546875" style="103" bestFit="1" customWidth="1"/>
    <col min="7174" max="7175" width="13.7109375" style="103" customWidth="1"/>
    <col min="7176" max="7176" width="14.140625" style="103" bestFit="1" customWidth="1"/>
    <col min="7177" max="7177" width="8.85546875" style="103" customWidth="1"/>
    <col min="7178" max="7178" width="12.85546875" style="103" customWidth="1"/>
    <col min="7179" max="7179" width="9.42578125" style="103" customWidth="1"/>
    <col min="7180" max="7180" width="9.140625" style="103"/>
    <col min="7181" max="7181" width="13.85546875" style="103" bestFit="1" customWidth="1"/>
    <col min="7182" max="7421" width="9.140625" style="103"/>
    <col min="7422" max="7422" width="22" style="103" customWidth="1"/>
    <col min="7423" max="7423" width="9.85546875" style="103" customWidth="1"/>
    <col min="7424" max="7424" width="11" style="103" bestFit="1" customWidth="1"/>
    <col min="7425" max="7425" width="10" style="103" customWidth="1"/>
    <col min="7426" max="7427" width="9.140625" style="103"/>
    <col min="7428" max="7428" width="12.85546875" style="103" bestFit="1" customWidth="1"/>
    <col min="7429" max="7429" width="7.85546875" style="103" bestFit="1" customWidth="1"/>
    <col min="7430" max="7431" width="13.7109375" style="103" customWidth="1"/>
    <col min="7432" max="7432" width="14.140625" style="103" bestFit="1" customWidth="1"/>
    <col min="7433" max="7433" width="8.85546875" style="103" customWidth="1"/>
    <col min="7434" max="7434" width="12.85546875" style="103" customWidth="1"/>
    <col min="7435" max="7435" width="9.42578125" style="103" customWidth="1"/>
    <col min="7436" max="7436" width="9.140625" style="103"/>
    <col min="7437" max="7437" width="13.85546875" style="103" bestFit="1" customWidth="1"/>
    <col min="7438" max="7677" width="9.140625" style="103"/>
    <col min="7678" max="7678" width="22" style="103" customWidth="1"/>
    <col min="7679" max="7679" width="9.85546875" style="103" customWidth="1"/>
    <col min="7680" max="7680" width="11" style="103" bestFit="1" customWidth="1"/>
    <col min="7681" max="7681" width="10" style="103" customWidth="1"/>
    <col min="7682" max="7683" width="9.140625" style="103"/>
    <col min="7684" max="7684" width="12.85546875" style="103" bestFit="1" customWidth="1"/>
    <col min="7685" max="7685" width="7.85546875" style="103" bestFit="1" customWidth="1"/>
    <col min="7686" max="7687" width="13.7109375" style="103" customWidth="1"/>
    <col min="7688" max="7688" width="14.140625" style="103" bestFit="1" customWidth="1"/>
    <col min="7689" max="7689" width="8.85546875" style="103" customWidth="1"/>
    <col min="7690" max="7690" width="12.85546875" style="103" customWidth="1"/>
    <col min="7691" max="7691" width="9.42578125" style="103" customWidth="1"/>
    <col min="7692" max="7692" width="9.140625" style="103"/>
    <col min="7693" max="7693" width="13.85546875" style="103" bestFit="1" customWidth="1"/>
    <col min="7694" max="7933" width="9.140625" style="103"/>
    <col min="7934" max="7934" width="22" style="103" customWidth="1"/>
    <col min="7935" max="7935" width="9.85546875" style="103" customWidth="1"/>
    <col min="7936" max="7936" width="11" style="103" bestFit="1" customWidth="1"/>
    <col min="7937" max="7937" width="10" style="103" customWidth="1"/>
    <col min="7938" max="7939" width="9.140625" style="103"/>
    <col min="7940" max="7940" width="12.85546875" style="103" bestFit="1" customWidth="1"/>
    <col min="7941" max="7941" width="7.85546875" style="103" bestFit="1" customWidth="1"/>
    <col min="7942" max="7943" width="13.7109375" style="103" customWidth="1"/>
    <col min="7944" max="7944" width="14.140625" style="103" bestFit="1" customWidth="1"/>
    <col min="7945" max="7945" width="8.85546875" style="103" customWidth="1"/>
    <col min="7946" max="7946" width="12.85546875" style="103" customWidth="1"/>
    <col min="7947" max="7947" width="9.42578125" style="103" customWidth="1"/>
    <col min="7948" max="7948" width="9.140625" style="103"/>
    <col min="7949" max="7949" width="13.85546875" style="103" bestFit="1" customWidth="1"/>
    <col min="7950" max="8189" width="9.140625" style="103"/>
    <col min="8190" max="8190" width="22" style="103" customWidth="1"/>
    <col min="8191" max="8191" width="9.85546875" style="103" customWidth="1"/>
    <col min="8192" max="8192" width="11" style="103" bestFit="1" customWidth="1"/>
    <col min="8193" max="8193" width="10" style="103" customWidth="1"/>
    <col min="8194" max="8195" width="9.140625" style="103"/>
    <col min="8196" max="8196" width="12.85546875" style="103" bestFit="1" customWidth="1"/>
    <col min="8197" max="8197" width="7.85546875" style="103" bestFit="1" customWidth="1"/>
    <col min="8198" max="8199" width="13.7109375" style="103" customWidth="1"/>
    <col min="8200" max="8200" width="14.140625" style="103" bestFit="1" customWidth="1"/>
    <col min="8201" max="8201" width="8.85546875" style="103" customWidth="1"/>
    <col min="8202" max="8202" width="12.85546875" style="103" customWidth="1"/>
    <col min="8203" max="8203" width="9.42578125" style="103" customWidth="1"/>
    <col min="8204" max="8204" width="9.140625" style="103"/>
    <col min="8205" max="8205" width="13.85546875" style="103" bestFit="1" customWidth="1"/>
    <col min="8206" max="8445" width="9.140625" style="103"/>
    <col min="8446" max="8446" width="22" style="103" customWidth="1"/>
    <col min="8447" max="8447" width="9.85546875" style="103" customWidth="1"/>
    <col min="8448" max="8448" width="11" style="103" bestFit="1" customWidth="1"/>
    <col min="8449" max="8449" width="10" style="103" customWidth="1"/>
    <col min="8450" max="8451" width="9.140625" style="103"/>
    <col min="8452" max="8452" width="12.85546875" style="103" bestFit="1" customWidth="1"/>
    <col min="8453" max="8453" width="7.85546875" style="103" bestFit="1" customWidth="1"/>
    <col min="8454" max="8455" width="13.7109375" style="103" customWidth="1"/>
    <col min="8456" max="8456" width="14.140625" style="103" bestFit="1" customWidth="1"/>
    <col min="8457" max="8457" width="8.85546875" style="103" customWidth="1"/>
    <col min="8458" max="8458" width="12.85546875" style="103" customWidth="1"/>
    <col min="8459" max="8459" width="9.42578125" style="103" customWidth="1"/>
    <col min="8460" max="8460" width="9.140625" style="103"/>
    <col min="8461" max="8461" width="13.85546875" style="103" bestFit="1" customWidth="1"/>
    <col min="8462" max="8701" width="9.140625" style="103"/>
    <col min="8702" max="8702" width="22" style="103" customWidth="1"/>
    <col min="8703" max="8703" width="9.85546875" style="103" customWidth="1"/>
    <col min="8704" max="8704" width="11" style="103" bestFit="1" customWidth="1"/>
    <col min="8705" max="8705" width="10" style="103" customWidth="1"/>
    <col min="8706" max="8707" width="9.140625" style="103"/>
    <col min="8708" max="8708" width="12.85546875" style="103" bestFit="1" customWidth="1"/>
    <col min="8709" max="8709" width="7.85546875" style="103" bestFit="1" customWidth="1"/>
    <col min="8710" max="8711" width="13.7109375" style="103" customWidth="1"/>
    <col min="8712" max="8712" width="14.140625" style="103" bestFit="1" customWidth="1"/>
    <col min="8713" max="8713" width="8.85546875" style="103" customWidth="1"/>
    <col min="8714" max="8714" width="12.85546875" style="103" customWidth="1"/>
    <col min="8715" max="8715" width="9.42578125" style="103" customWidth="1"/>
    <col min="8716" max="8716" width="9.140625" style="103"/>
    <col min="8717" max="8717" width="13.85546875" style="103" bestFit="1" customWidth="1"/>
    <col min="8718" max="8957" width="9.140625" style="103"/>
    <col min="8958" max="8958" width="22" style="103" customWidth="1"/>
    <col min="8959" max="8959" width="9.85546875" style="103" customWidth="1"/>
    <col min="8960" max="8960" width="11" style="103" bestFit="1" customWidth="1"/>
    <col min="8961" max="8961" width="10" style="103" customWidth="1"/>
    <col min="8962" max="8963" width="9.140625" style="103"/>
    <col min="8964" max="8964" width="12.85546875" style="103" bestFit="1" customWidth="1"/>
    <col min="8965" max="8965" width="7.85546875" style="103" bestFit="1" customWidth="1"/>
    <col min="8966" max="8967" width="13.7109375" style="103" customWidth="1"/>
    <col min="8968" max="8968" width="14.140625" style="103" bestFit="1" customWidth="1"/>
    <col min="8969" max="8969" width="8.85546875" style="103" customWidth="1"/>
    <col min="8970" max="8970" width="12.85546875" style="103" customWidth="1"/>
    <col min="8971" max="8971" width="9.42578125" style="103" customWidth="1"/>
    <col min="8972" max="8972" width="9.140625" style="103"/>
    <col min="8973" max="8973" width="13.85546875" style="103" bestFit="1" customWidth="1"/>
    <col min="8974" max="9213" width="9.140625" style="103"/>
    <col min="9214" max="9214" width="22" style="103" customWidth="1"/>
    <col min="9215" max="9215" width="9.85546875" style="103" customWidth="1"/>
    <col min="9216" max="9216" width="11" style="103" bestFit="1" customWidth="1"/>
    <col min="9217" max="9217" width="10" style="103" customWidth="1"/>
    <col min="9218" max="9219" width="9.140625" style="103"/>
    <col min="9220" max="9220" width="12.85546875" style="103" bestFit="1" customWidth="1"/>
    <col min="9221" max="9221" width="7.85546875" style="103" bestFit="1" customWidth="1"/>
    <col min="9222" max="9223" width="13.7109375" style="103" customWidth="1"/>
    <col min="9224" max="9224" width="14.140625" style="103" bestFit="1" customWidth="1"/>
    <col min="9225" max="9225" width="8.85546875" style="103" customWidth="1"/>
    <col min="9226" max="9226" width="12.85546875" style="103" customWidth="1"/>
    <col min="9227" max="9227" width="9.42578125" style="103" customWidth="1"/>
    <col min="9228" max="9228" width="9.140625" style="103"/>
    <col min="9229" max="9229" width="13.85546875" style="103" bestFit="1" customWidth="1"/>
    <col min="9230" max="9469" width="9.140625" style="103"/>
    <col min="9470" max="9470" width="22" style="103" customWidth="1"/>
    <col min="9471" max="9471" width="9.85546875" style="103" customWidth="1"/>
    <col min="9472" max="9472" width="11" style="103" bestFit="1" customWidth="1"/>
    <col min="9473" max="9473" width="10" style="103" customWidth="1"/>
    <col min="9474" max="9475" width="9.140625" style="103"/>
    <col min="9476" max="9476" width="12.85546875" style="103" bestFit="1" customWidth="1"/>
    <col min="9477" max="9477" width="7.85546875" style="103" bestFit="1" customWidth="1"/>
    <col min="9478" max="9479" width="13.7109375" style="103" customWidth="1"/>
    <col min="9480" max="9480" width="14.140625" style="103" bestFit="1" customWidth="1"/>
    <col min="9481" max="9481" width="8.85546875" style="103" customWidth="1"/>
    <col min="9482" max="9482" width="12.85546875" style="103" customWidth="1"/>
    <col min="9483" max="9483" width="9.42578125" style="103" customWidth="1"/>
    <col min="9484" max="9484" width="9.140625" style="103"/>
    <col min="9485" max="9485" width="13.85546875" style="103" bestFit="1" customWidth="1"/>
    <col min="9486" max="9725" width="9.140625" style="103"/>
    <col min="9726" max="9726" width="22" style="103" customWidth="1"/>
    <col min="9727" max="9727" width="9.85546875" style="103" customWidth="1"/>
    <col min="9728" max="9728" width="11" style="103" bestFit="1" customWidth="1"/>
    <col min="9729" max="9729" width="10" style="103" customWidth="1"/>
    <col min="9730" max="9731" width="9.140625" style="103"/>
    <col min="9732" max="9732" width="12.85546875" style="103" bestFit="1" customWidth="1"/>
    <col min="9733" max="9733" width="7.85546875" style="103" bestFit="1" customWidth="1"/>
    <col min="9734" max="9735" width="13.7109375" style="103" customWidth="1"/>
    <col min="9736" max="9736" width="14.140625" style="103" bestFit="1" customWidth="1"/>
    <col min="9737" max="9737" width="8.85546875" style="103" customWidth="1"/>
    <col min="9738" max="9738" width="12.85546875" style="103" customWidth="1"/>
    <col min="9739" max="9739" width="9.42578125" style="103" customWidth="1"/>
    <col min="9740" max="9740" width="9.140625" style="103"/>
    <col min="9741" max="9741" width="13.85546875" style="103" bestFit="1" customWidth="1"/>
    <col min="9742" max="9981" width="9.140625" style="103"/>
    <col min="9982" max="9982" width="22" style="103" customWidth="1"/>
    <col min="9983" max="9983" width="9.85546875" style="103" customWidth="1"/>
    <col min="9984" max="9984" width="11" style="103" bestFit="1" customWidth="1"/>
    <col min="9985" max="9985" width="10" style="103" customWidth="1"/>
    <col min="9986" max="9987" width="9.140625" style="103"/>
    <col min="9988" max="9988" width="12.85546875" style="103" bestFit="1" customWidth="1"/>
    <col min="9989" max="9989" width="7.85546875" style="103" bestFit="1" customWidth="1"/>
    <col min="9990" max="9991" width="13.7109375" style="103" customWidth="1"/>
    <col min="9992" max="9992" width="14.140625" style="103" bestFit="1" customWidth="1"/>
    <col min="9993" max="9993" width="8.85546875" style="103" customWidth="1"/>
    <col min="9994" max="9994" width="12.85546875" style="103" customWidth="1"/>
    <col min="9995" max="9995" width="9.42578125" style="103" customWidth="1"/>
    <col min="9996" max="9996" width="9.140625" style="103"/>
    <col min="9997" max="9997" width="13.85546875" style="103" bestFit="1" customWidth="1"/>
    <col min="9998" max="10237" width="9.140625" style="103"/>
    <col min="10238" max="10238" width="22" style="103" customWidth="1"/>
    <col min="10239" max="10239" width="9.85546875" style="103" customWidth="1"/>
    <col min="10240" max="10240" width="11" style="103" bestFit="1" customWidth="1"/>
    <col min="10241" max="10241" width="10" style="103" customWidth="1"/>
    <col min="10242" max="10243" width="9.140625" style="103"/>
    <col min="10244" max="10244" width="12.85546875" style="103" bestFit="1" customWidth="1"/>
    <col min="10245" max="10245" width="7.85546875" style="103" bestFit="1" customWidth="1"/>
    <col min="10246" max="10247" width="13.7109375" style="103" customWidth="1"/>
    <col min="10248" max="10248" width="14.140625" style="103" bestFit="1" customWidth="1"/>
    <col min="10249" max="10249" width="8.85546875" style="103" customWidth="1"/>
    <col min="10250" max="10250" width="12.85546875" style="103" customWidth="1"/>
    <col min="10251" max="10251" width="9.42578125" style="103" customWidth="1"/>
    <col min="10252" max="10252" width="9.140625" style="103"/>
    <col min="10253" max="10253" width="13.85546875" style="103" bestFit="1" customWidth="1"/>
    <col min="10254" max="10493" width="9.140625" style="103"/>
    <col min="10494" max="10494" width="22" style="103" customWidth="1"/>
    <col min="10495" max="10495" width="9.85546875" style="103" customWidth="1"/>
    <col min="10496" max="10496" width="11" style="103" bestFit="1" customWidth="1"/>
    <col min="10497" max="10497" width="10" style="103" customWidth="1"/>
    <col min="10498" max="10499" width="9.140625" style="103"/>
    <col min="10500" max="10500" width="12.85546875" style="103" bestFit="1" customWidth="1"/>
    <col min="10501" max="10501" width="7.85546875" style="103" bestFit="1" customWidth="1"/>
    <col min="10502" max="10503" width="13.7109375" style="103" customWidth="1"/>
    <col min="10504" max="10504" width="14.140625" style="103" bestFit="1" customWidth="1"/>
    <col min="10505" max="10505" width="8.85546875" style="103" customWidth="1"/>
    <col min="10506" max="10506" width="12.85546875" style="103" customWidth="1"/>
    <col min="10507" max="10507" width="9.42578125" style="103" customWidth="1"/>
    <col min="10508" max="10508" width="9.140625" style="103"/>
    <col min="10509" max="10509" width="13.85546875" style="103" bestFit="1" customWidth="1"/>
    <col min="10510" max="10749" width="9.140625" style="103"/>
    <col min="10750" max="10750" width="22" style="103" customWidth="1"/>
    <col min="10751" max="10751" width="9.85546875" style="103" customWidth="1"/>
    <col min="10752" max="10752" width="11" style="103" bestFit="1" customWidth="1"/>
    <col min="10753" max="10753" width="10" style="103" customWidth="1"/>
    <col min="10754" max="10755" width="9.140625" style="103"/>
    <col min="10756" max="10756" width="12.85546875" style="103" bestFit="1" customWidth="1"/>
    <col min="10757" max="10757" width="7.85546875" style="103" bestFit="1" customWidth="1"/>
    <col min="10758" max="10759" width="13.7109375" style="103" customWidth="1"/>
    <col min="10760" max="10760" width="14.140625" style="103" bestFit="1" customWidth="1"/>
    <col min="10761" max="10761" width="8.85546875" style="103" customWidth="1"/>
    <col min="10762" max="10762" width="12.85546875" style="103" customWidth="1"/>
    <col min="10763" max="10763" width="9.42578125" style="103" customWidth="1"/>
    <col min="10764" max="10764" width="9.140625" style="103"/>
    <col min="10765" max="10765" width="13.85546875" style="103" bestFit="1" customWidth="1"/>
    <col min="10766" max="11005" width="9.140625" style="103"/>
    <col min="11006" max="11006" width="22" style="103" customWidth="1"/>
    <col min="11007" max="11007" width="9.85546875" style="103" customWidth="1"/>
    <col min="11008" max="11008" width="11" style="103" bestFit="1" customWidth="1"/>
    <col min="11009" max="11009" width="10" style="103" customWidth="1"/>
    <col min="11010" max="11011" width="9.140625" style="103"/>
    <col min="11012" max="11012" width="12.85546875" style="103" bestFit="1" customWidth="1"/>
    <col min="11013" max="11013" width="7.85546875" style="103" bestFit="1" customWidth="1"/>
    <col min="11014" max="11015" width="13.7109375" style="103" customWidth="1"/>
    <col min="11016" max="11016" width="14.140625" style="103" bestFit="1" customWidth="1"/>
    <col min="11017" max="11017" width="8.85546875" style="103" customWidth="1"/>
    <col min="11018" max="11018" width="12.85546875" style="103" customWidth="1"/>
    <col min="11019" max="11019" width="9.42578125" style="103" customWidth="1"/>
    <col min="11020" max="11020" width="9.140625" style="103"/>
    <col min="11021" max="11021" width="13.85546875" style="103" bestFit="1" customWidth="1"/>
    <col min="11022" max="11261" width="9.140625" style="103"/>
    <col min="11262" max="11262" width="22" style="103" customWidth="1"/>
    <col min="11263" max="11263" width="9.85546875" style="103" customWidth="1"/>
    <col min="11264" max="11264" width="11" style="103" bestFit="1" customWidth="1"/>
    <col min="11265" max="11265" width="10" style="103" customWidth="1"/>
    <col min="11266" max="11267" width="9.140625" style="103"/>
    <col min="11268" max="11268" width="12.85546875" style="103" bestFit="1" customWidth="1"/>
    <col min="11269" max="11269" width="7.85546875" style="103" bestFit="1" customWidth="1"/>
    <col min="11270" max="11271" width="13.7109375" style="103" customWidth="1"/>
    <col min="11272" max="11272" width="14.140625" style="103" bestFit="1" customWidth="1"/>
    <col min="11273" max="11273" width="8.85546875" style="103" customWidth="1"/>
    <col min="11274" max="11274" width="12.85546875" style="103" customWidth="1"/>
    <col min="11275" max="11275" width="9.42578125" style="103" customWidth="1"/>
    <col min="11276" max="11276" width="9.140625" style="103"/>
    <col min="11277" max="11277" width="13.85546875" style="103" bestFit="1" customWidth="1"/>
    <col min="11278" max="11517" width="9.140625" style="103"/>
    <col min="11518" max="11518" width="22" style="103" customWidth="1"/>
    <col min="11519" max="11519" width="9.85546875" style="103" customWidth="1"/>
    <col min="11520" max="11520" width="11" style="103" bestFit="1" customWidth="1"/>
    <col min="11521" max="11521" width="10" style="103" customWidth="1"/>
    <col min="11522" max="11523" width="9.140625" style="103"/>
    <col min="11524" max="11524" width="12.85546875" style="103" bestFit="1" customWidth="1"/>
    <col min="11525" max="11525" width="7.85546875" style="103" bestFit="1" customWidth="1"/>
    <col min="11526" max="11527" width="13.7109375" style="103" customWidth="1"/>
    <col min="11528" max="11528" width="14.140625" style="103" bestFit="1" customWidth="1"/>
    <col min="11529" max="11529" width="8.85546875" style="103" customWidth="1"/>
    <col min="11530" max="11530" width="12.85546875" style="103" customWidth="1"/>
    <col min="11531" max="11531" width="9.42578125" style="103" customWidth="1"/>
    <col min="11532" max="11532" width="9.140625" style="103"/>
    <col min="11533" max="11533" width="13.85546875" style="103" bestFit="1" customWidth="1"/>
    <col min="11534" max="11773" width="9.140625" style="103"/>
    <col min="11774" max="11774" width="22" style="103" customWidth="1"/>
    <col min="11775" max="11775" width="9.85546875" style="103" customWidth="1"/>
    <col min="11776" max="11776" width="11" style="103" bestFit="1" customWidth="1"/>
    <col min="11777" max="11777" width="10" style="103" customWidth="1"/>
    <col min="11778" max="11779" width="9.140625" style="103"/>
    <col min="11780" max="11780" width="12.85546875" style="103" bestFit="1" customWidth="1"/>
    <col min="11781" max="11781" width="7.85546875" style="103" bestFit="1" customWidth="1"/>
    <col min="11782" max="11783" width="13.7109375" style="103" customWidth="1"/>
    <col min="11784" max="11784" width="14.140625" style="103" bestFit="1" customWidth="1"/>
    <col min="11785" max="11785" width="8.85546875" style="103" customWidth="1"/>
    <col min="11786" max="11786" width="12.85546875" style="103" customWidth="1"/>
    <col min="11787" max="11787" width="9.42578125" style="103" customWidth="1"/>
    <col min="11788" max="11788" width="9.140625" style="103"/>
    <col min="11789" max="11789" width="13.85546875" style="103" bestFit="1" customWidth="1"/>
    <col min="11790" max="12029" width="9.140625" style="103"/>
    <col min="12030" max="12030" width="22" style="103" customWidth="1"/>
    <col min="12031" max="12031" width="9.85546875" style="103" customWidth="1"/>
    <col min="12032" max="12032" width="11" style="103" bestFit="1" customWidth="1"/>
    <col min="12033" max="12033" width="10" style="103" customWidth="1"/>
    <col min="12034" max="12035" width="9.140625" style="103"/>
    <col min="12036" max="12036" width="12.85546875" style="103" bestFit="1" customWidth="1"/>
    <col min="12037" max="12037" width="7.85546875" style="103" bestFit="1" customWidth="1"/>
    <col min="12038" max="12039" width="13.7109375" style="103" customWidth="1"/>
    <col min="12040" max="12040" width="14.140625" style="103" bestFit="1" customWidth="1"/>
    <col min="12041" max="12041" width="8.85546875" style="103" customWidth="1"/>
    <col min="12042" max="12042" width="12.85546875" style="103" customWidth="1"/>
    <col min="12043" max="12043" width="9.42578125" style="103" customWidth="1"/>
    <col min="12044" max="12044" width="9.140625" style="103"/>
    <col min="12045" max="12045" width="13.85546875" style="103" bestFit="1" customWidth="1"/>
    <col min="12046" max="12285" width="9.140625" style="103"/>
    <col min="12286" max="12286" width="22" style="103" customWidth="1"/>
    <col min="12287" max="12287" width="9.85546875" style="103" customWidth="1"/>
    <col min="12288" max="12288" width="11" style="103" bestFit="1" customWidth="1"/>
    <col min="12289" max="12289" width="10" style="103" customWidth="1"/>
    <col min="12290" max="12291" width="9.140625" style="103"/>
    <col min="12292" max="12292" width="12.85546875" style="103" bestFit="1" customWidth="1"/>
    <col min="12293" max="12293" width="7.85546875" style="103" bestFit="1" customWidth="1"/>
    <col min="12294" max="12295" width="13.7109375" style="103" customWidth="1"/>
    <col min="12296" max="12296" width="14.140625" style="103" bestFit="1" customWidth="1"/>
    <col min="12297" max="12297" width="8.85546875" style="103" customWidth="1"/>
    <col min="12298" max="12298" width="12.85546875" style="103" customWidth="1"/>
    <col min="12299" max="12299" width="9.42578125" style="103" customWidth="1"/>
    <col min="12300" max="12300" width="9.140625" style="103"/>
    <col min="12301" max="12301" width="13.85546875" style="103" bestFit="1" customWidth="1"/>
    <col min="12302" max="12541" width="9.140625" style="103"/>
    <col min="12542" max="12542" width="22" style="103" customWidth="1"/>
    <col min="12543" max="12543" width="9.85546875" style="103" customWidth="1"/>
    <col min="12544" max="12544" width="11" style="103" bestFit="1" customWidth="1"/>
    <col min="12545" max="12545" width="10" style="103" customWidth="1"/>
    <col min="12546" max="12547" width="9.140625" style="103"/>
    <col min="12548" max="12548" width="12.85546875" style="103" bestFit="1" customWidth="1"/>
    <col min="12549" max="12549" width="7.85546875" style="103" bestFit="1" customWidth="1"/>
    <col min="12550" max="12551" width="13.7109375" style="103" customWidth="1"/>
    <col min="12552" max="12552" width="14.140625" style="103" bestFit="1" customWidth="1"/>
    <col min="12553" max="12553" width="8.85546875" style="103" customWidth="1"/>
    <col min="12554" max="12554" width="12.85546875" style="103" customWidth="1"/>
    <col min="12555" max="12555" width="9.42578125" style="103" customWidth="1"/>
    <col min="12556" max="12556" width="9.140625" style="103"/>
    <col min="12557" max="12557" width="13.85546875" style="103" bestFit="1" customWidth="1"/>
    <col min="12558" max="12797" width="9.140625" style="103"/>
    <col min="12798" max="12798" width="22" style="103" customWidth="1"/>
    <col min="12799" max="12799" width="9.85546875" style="103" customWidth="1"/>
    <col min="12800" max="12800" width="11" style="103" bestFit="1" customWidth="1"/>
    <col min="12801" max="12801" width="10" style="103" customWidth="1"/>
    <col min="12802" max="12803" width="9.140625" style="103"/>
    <col min="12804" max="12804" width="12.85546875" style="103" bestFit="1" customWidth="1"/>
    <col min="12805" max="12805" width="7.85546875" style="103" bestFit="1" customWidth="1"/>
    <col min="12806" max="12807" width="13.7109375" style="103" customWidth="1"/>
    <col min="12808" max="12808" width="14.140625" style="103" bestFit="1" customWidth="1"/>
    <col min="12809" max="12809" width="8.85546875" style="103" customWidth="1"/>
    <col min="12810" max="12810" width="12.85546875" style="103" customWidth="1"/>
    <col min="12811" max="12811" width="9.42578125" style="103" customWidth="1"/>
    <col min="12812" max="12812" width="9.140625" style="103"/>
    <col min="12813" max="12813" width="13.85546875" style="103" bestFit="1" customWidth="1"/>
    <col min="12814" max="13053" width="9.140625" style="103"/>
    <col min="13054" max="13054" width="22" style="103" customWidth="1"/>
    <col min="13055" max="13055" width="9.85546875" style="103" customWidth="1"/>
    <col min="13056" max="13056" width="11" style="103" bestFit="1" customWidth="1"/>
    <col min="13057" max="13057" width="10" style="103" customWidth="1"/>
    <col min="13058" max="13059" width="9.140625" style="103"/>
    <col min="13060" max="13060" width="12.85546875" style="103" bestFit="1" customWidth="1"/>
    <col min="13061" max="13061" width="7.85546875" style="103" bestFit="1" customWidth="1"/>
    <col min="13062" max="13063" width="13.7109375" style="103" customWidth="1"/>
    <col min="13064" max="13064" width="14.140625" style="103" bestFit="1" customWidth="1"/>
    <col min="13065" max="13065" width="8.85546875" style="103" customWidth="1"/>
    <col min="13066" max="13066" width="12.85546875" style="103" customWidth="1"/>
    <col min="13067" max="13067" width="9.42578125" style="103" customWidth="1"/>
    <col min="13068" max="13068" width="9.140625" style="103"/>
    <col min="13069" max="13069" width="13.85546875" style="103" bestFit="1" customWidth="1"/>
    <col min="13070" max="13309" width="9.140625" style="103"/>
    <col min="13310" max="13310" width="22" style="103" customWidth="1"/>
    <col min="13311" max="13311" width="9.85546875" style="103" customWidth="1"/>
    <col min="13312" max="13312" width="11" style="103" bestFit="1" customWidth="1"/>
    <col min="13313" max="13313" width="10" style="103" customWidth="1"/>
    <col min="13314" max="13315" width="9.140625" style="103"/>
    <col min="13316" max="13316" width="12.85546875" style="103" bestFit="1" customWidth="1"/>
    <col min="13317" max="13317" width="7.85546875" style="103" bestFit="1" customWidth="1"/>
    <col min="13318" max="13319" width="13.7109375" style="103" customWidth="1"/>
    <col min="13320" max="13320" width="14.140625" style="103" bestFit="1" customWidth="1"/>
    <col min="13321" max="13321" width="8.85546875" style="103" customWidth="1"/>
    <col min="13322" max="13322" width="12.85546875" style="103" customWidth="1"/>
    <col min="13323" max="13323" width="9.42578125" style="103" customWidth="1"/>
    <col min="13324" max="13324" width="9.140625" style="103"/>
    <col min="13325" max="13325" width="13.85546875" style="103" bestFit="1" customWidth="1"/>
    <col min="13326" max="13565" width="9.140625" style="103"/>
    <col min="13566" max="13566" width="22" style="103" customWidth="1"/>
    <col min="13567" max="13567" width="9.85546875" style="103" customWidth="1"/>
    <col min="13568" max="13568" width="11" style="103" bestFit="1" customWidth="1"/>
    <col min="13569" max="13569" width="10" style="103" customWidth="1"/>
    <col min="13570" max="13571" width="9.140625" style="103"/>
    <col min="13572" max="13572" width="12.85546875" style="103" bestFit="1" customWidth="1"/>
    <col min="13573" max="13573" width="7.85546875" style="103" bestFit="1" customWidth="1"/>
    <col min="13574" max="13575" width="13.7109375" style="103" customWidth="1"/>
    <col min="13576" max="13576" width="14.140625" style="103" bestFit="1" customWidth="1"/>
    <col min="13577" max="13577" width="8.85546875" style="103" customWidth="1"/>
    <col min="13578" max="13578" width="12.85546875" style="103" customWidth="1"/>
    <col min="13579" max="13579" width="9.42578125" style="103" customWidth="1"/>
    <col min="13580" max="13580" width="9.140625" style="103"/>
    <col min="13581" max="13581" width="13.85546875" style="103" bestFit="1" customWidth="1"/>
    <col min="13582" max="13821" width="9.140625" style="103"/>
    <col min="13822" max="13822" width="22" style="103" customWidth="1"/>
    <col min="13823" max="13823" width="9.85546875" style="103" customWidth="1"/>
    <col min="13824" max="13824" width="11" style="103" bestFit="1" customWidth="1"/>
    <col min="13825" max="13825" width="10" style="103" customWidth="1"/>
    <col min="13826" max="13827" width="9.140625" style="103"/>
    <col min="13828" max="13828" width="12.85546875" style="103" bestFit="1" customWidth="1"/>
    <col min="13829" max="13829" width="7.85546875" style="103" bestFit="1" customWidth="1"/>
    <col min="13830" max="13831" width="13.7109375" style="103" customWidth="1"/>
    <col min="13832" max="13832" width="14.140625" style="103" bestFit="1" customWidth="1"/>
    <col min="13833" max="13833" width="8.85546875" style="103" customWidth="1"/>
    <col min="13834" max="13834" width="12.85546875" style="103" customWidth="1"/>
    <col min="13835" max="13835" width="9.42578125" style="103" customWidth="1"/>
    <col min="13836" max="13836" width="9.140625" style="103"/>
    <col min="13837" max="13837" width="13.85546875" style="103" bestFit="1" customWidth="1"/>
    <col min="13838" max="14077" width="9.140625" style="103"/>
    <col min="14078" max="14078" width="22" style="103" customWidth="1"/>
    <col min="14079" max="14079" width="9.85546875" style="103" customWidth="1"/>
    <col min="14080" max="14080" width="11" style="103" bestFit="1" customWidth="1"/>
    <col min="14081" max="14081" width="10" style="103" customWidth="1"/>
    <col min="14082" max="14083" width="9.140625" style="103"/>
    <col min="14084" max="14084" width="12.85546875" style="103" bestFit="1" customWidth="1"/>
    <col min="14085" max="14085" width="7.85546875" style="103" bestFit="1" customWidth="1"/>
    <col min="14086" max="14087" width="13.7109375" style="103" customWidth="1"/>
    <col min="14088" max="14088" width="14.140625" style="103" bestFit="1" customWidth="1"/>
    <col min="14089" max="14089" width="8.85546875" style="103" customWidth="1"/>
    <col min="14090" max="14090" width="12.85546875" style="103" customWidth="1"/>
    <col min="14091" max="14091" width="9.42578125" style="103" customWidth="1"/>
    <col min="14092" max="14092" width="9.140625" style="103"/>
    <col min="14093" max="14093" width="13.85546875" style="103" bestFit="1" customWidth="1"/>
    <col min="14094" max="14333" width="9.140625" style="103"/>
    <col min="14334" max="14334" width="22" style="103" customWidth="1"/>
    <col min="14335" max="14335" width="9.85546875" style="103" customWidth="1"/>
    <col min="14336" max="14336" width="11" style="103" bestFit="1" customWidth="1"/>
    <col min="14337" max="14337" width="10" style="103" customWidth="1"/>
    <col min="14338" max="14339" width="9.140625" style="103"/>
    <col min="14340" max="14340" width="12.85546875" style="103" bestFit="1" customWidth="1"/>
    <col min="14341" max="14341" width="7.85546875" style="103" bestFit="1" customWidth="1"/>
    <col min="14342" max="14343" width="13.7109375" style="103" customWidth="1"/>
    <col min="14344" max="14344" width="14.140625" style="103" bestFit="1" customWidth="1"/>
    <col min="14345" max="14345" width="8.85546875" style="103" customWidth="1"/>
    <col min="14346" max="14346" width="12.85546875" style="103" customWidth="1"/>
    <col min="14347" max="14347" width="9.42578125" style="103" customWidth="1"/>
    <col min="14348" max="14348" width="9.140625" style="103"/>
    <col min="14349" max="14349" width="13.85546875" style="103" bestFit="1" customWidth="1"/>
    <col min="14350" max="14589" width="9.140625" style="103"/>
    <col min="14590" max="14590" width="22" style="103" customWidth="1"/>
    <col min="14591" max="14591" width="9.85546875" style="103" customWidth="1"/>
    <col min="14592" max="14592" width="11" style="103" bestFit="1" customWidth="1"/>
    <col min="14593" max="14593" width="10" style="103" customWidth="1"/>
    <col min="14594" max="14595" width="9.140625" style="103"/>
    <col min="14596" max="14596" width="12.85546875" style="103" bestFit="1" customWidth="1"/>
    <col min="14597" max="14597" width="7.85546875" style="103" bestFit="1" customWidth="1"/>
    <col min="14598" max="14599" width="13.7109375" style="103" customWidth="1"/>
    <col min="14600" max="14600" width="14.140625" style="103" bestFit="1" customWidth="1"/>
    <col min="14601" max="14601" width="8.85546875" style="103" customWidth="1"/>
    <col min="14602" max="14602" width="12.85546875" style="103" customWidth="1"/>
    <col min="14603" max="14603" width="9.42578125" style="103" customWidth="1"/>
    <col min="14604" max="14604" width="9.140625" style="103"/>
    <col min="14605" max="14605" width="13.85546875" style="103" bestFit="1" customWidth="1"/>
    <col min="14606" max="14845" width="9.140625" style="103"/>
    <col min="14846" max="14846" width="22" style="103" customWidth="1"/>
    <col min="14847" max="14847" width="9.85546875" style="103" customWidth="1"/>
    <col min="14848" max="14848" width="11" style="103" bestFit="1" customWidth="1"/>
    <col min="14849" max="14849" width="10" style="103" customWidth="1"/>
    <col min="14850" max="14851" width="9.140625" style="103"/>
    <col min="14852" max="14852" width="12.85546875" style="103" bestFit="1" customWidth="1"/>
    <col min="14853" max="14853" width="7.85546875" style="103" bestFit="1" customWidth="1"/>
    <col min="14854" max="14855" width="13.7109375" style="103" customWidth="1"/>
    <col min="14856" max="14856" width="14.140625" style="103" bestFit="1" customWidth="1"/>
    <col min="14857" max="14857" width="8.85546875" style="103" customWidth="1"/>
    <col min="14858" max="14858" width="12.85546875" style="103" customWidth="1"/>
    <col min="14859" max="14859" width="9.42578125" style="103" customWidth="1"/>
    <col min="14860" max="14860" width="9.140625" style="103"/>
    <col min="14861" max="14861" width="13.85546875" style="103" bestFit="1" customWidth="1"/>
    <col min="14862" max="15101" width="9.140625" style="103"/>
    <col min="15102" max="15102" width="22" style="103" customWidth="1"/>
    <col min="15103" max="15103" width="9.85546875" style="103" customWidth="1"/>
    <col min="15104" max="15104" width="11" style="103" bestFit="1" customWidth="1"/>
    <col min="15105" max="15105" width="10" style="103" customWidth="1"/>
    <col min="15106" max="15107" width="9.140625" style="103"/>
    <col min="15108" max="15108" width="12.85546875" style="103" bestFit="1" customWidth="1"/>
    <col min="15109" max="15109" width="7.85546875" style="103" bestFit="1" customWidth="1"/>
    <col min="15110" max="15111" width="13.7109375" style="103" customWidth="1"/>
    <col min="15112" max="15112" width="14.140625" style="103" bestFit="1" customWidth="1"/>
    <col min="15113" max="15113" width="8.85546875" style="103" customWidth="1"/>
    <col min="15114" max="15114" width="12.85546875" style="103" customWidth="1"/>
    <col min="15115" max="15115" width="9.42578125" style="103" customWidth="1"/>
    <col min="15116" max="15116" width="9.140625" style="103"/>
    <col min="15117" max="15117" width="13.85546875" style="103" bestFit="1" customWidth="1"/>
    <col min="15118" max="15357" width="9.140625" style="103"/>
    <col min="15358" max="15358" width="22" style="103" customWidth="1"/>
    <col min="15359" max="15359" width="9.85546875" style="103" customWidth="1"/>
    <col min="15360" max="15360" width="11" style="103" bestFit="1" customWidth="1"/>
    <col min="15361" max="15361" width="10" style="103" customWidth="1"/>
    <col min="15362" max="15363" width="9.140625" style="103"/>
    <col min="15364" max="15364" width="12.85546875" style="103" bestFit="1" customWidth="1"/>
    <col min="15365" max="15365" width="7.85546875" style="103" bestFit="1" customWidth="1"/>
    <col min="15366" max="15367" width="13.7109375" style="103" customWidth="1"/>
    <col min="15368" max="15368" width="14.140625" style="103" bestFit="1" customWidth="1"/>
    <col min="15369" max="15369" width="8.85546875" style="103" customWidth="1"/>
    <col min="15370" max="15370" width="12.85546875" style="103" customWidth="1"/>
    <col min="15371" max="15371" width="9.42578125" style="103" customWidth="1"/>
    <col min="15372" max="15372" width="9.140625" style="103"/>
    <col min="15373" max="15373" width="13.85546875" style="103" bestFit="1" customWidth="1"/>
    <col min="15374" max="15613" width="9.140625" style="103"/>
    <col min="15614" max="15614" width="22" style="103" customWidth="1"/>
    <col min="15615" max="15615" width="9.85546875" style="103" customWidth="1"/>
    <col min="15616" max="15616" width="11" style="103" bestFit="1" customWidth="1"/>
    <col min="15617" max="15617" width="10" style="103" customWidth="1"/>
    <col min="15618" max="15619" width="9.140625" style="103"/>
    <col min="15620" max="15620" width="12.85546875" style="103" bestFit="1" customWidth="1"/>
    <col min="15621" max="15621" width="7.85546875" style="103" bestFit="1" customWidth="1"/>
    <col min="15622" max="15623" width="13.7109375" style="103" customWidth="1"/>
    <col min="15624" max="15624" width="14.140625" style="103" bestFit="1" customWidth="1"/>
    <col min="15625" max="15625" width="8.85546875" style="103" customWidth="1"/>
    <col min="15626" max="15626" width="12.85546875" style="103" customWidth="1"/>
    <col min="15627" max="15627" width="9.42578125" style="103" customWidth="1"/>
    <col min="15628" max="15628" width="9.140625" style="103"/>
    <col min="15629" max="15629" width="13.85546875" style="103" bestFit="1" customWidth="1"/>
    <col min="15630" max="15869" width="9.140625" style="103"/>
    <col min="15870" max="15870" width="22" style="103" customWidth="1"/>
    <col min="15871" max="15871" width="9.85546875" style="103" customWidth="1"/>
    <col min="15872" max="15872" width="11" style="103" bestFit="1" customWidth="1"/>
    <col min="15873" max="15873" width="10" style="103" customWidth="1"/>
    <col min="15874" max="15875" width="9.140625" style="103"/>
    <col min="15876" max="15876" width="12.85546875" style="103" bestFit="1" customWidth="1"/>
    <col min="15877" max="15877" width="7.85546875" style="103" bestFit="1" customWidth="1"/>
    <col min="15878" max="15879" width="13.7109375" style="103" customWidth="1"/>
    <col min="15880" max="15880" width="14.140625" style="103" bestFit="1" customWidth="1"/>
    <col min="15881" max="15881" width="8.85546875" style="103" customWidth="1"/>
    <col min="15882" max="15882" width="12.85546875" style="103" customWidth="1"/>
    <col min="15883" max="15883" width="9.42578125" style="103" customWidth="1"/>
    <col min="15884" max="15884" width="9.140625" style="103"/>
    <col min="15885" max="15885" width="13.85546875" style="103" bestFit="1" customWidth="1"/>
    <col min="15886" max="16125" width="9.140625" style="103"/>
    <col min="16126" max="16126" width="22" style="103" customWidth="1"/>
    <col min="16127" max="16127" width="9.85546875" style="103" customWidth="1"/>
    <col min="16128" max="16128" width="11" style="103" bestFit="1" customWidth="1"/>
    <col min="16129" max="16129" width="10" style="103" customWidth="1"/>
    <col min="16130" max="16131" width="9.140625" style="103"/>
    <col min="16132" max="16132" width="12.85546875" style="103" bestFit="1" customWidth="1"/>
    <col min="16133" max="16133" width="7.85546875" style="103" bestFit="1" customWidth="1"/>
    <col min="16134" max="16135" width="13.7109375" style="103" customWidth="1"/>
    <col min="16136" max="16136" width="14.140625" style="103" bestFit="1" customWidth="1"/>
    <col min="16137" max="16137" width="8.85546875" style="103" customWidth="1"/>
    <col min="16138" max="16138" width="12.85546875" style="103" customWidth="1"/>
    <col min="16139" max="16139" width="9.42578125" style="103" customWidth="1"/>
    <col min="16140" max="16140" width="9.140625" style="103"/>
    <col min="16141" max="16141" width="13.85546875" style="103" bestFit="1" customWidth="1"/>
    <col min="16142" max="16384" width="9.140625" style="103"/>
  </cols>
  <sheetData>
    <row r="1" spans="1:13" s="99" customFormat="1" ht="12.75" x14ac:dyDescent="0.2">
      <c r="A1" s="364" t="s">
        <v>145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99" customFormat="1" ht="12.75" x14ac:dyDescent="0.2">
      <c r="A2" s="364" t="s">
        <v>138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3" s="99" customFormat="1" ht="12.75" x14ac:dyDescent="0.2">
      <c r="A3" s="364" t="s">
        <v>136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</row>
    <row r="4" spans="1:13" s="101" customFormat="1" ht="12.75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s="99" customFormat="1" ht="12.75" x14ac:dyDescent="0.2">
      <c r="A5" s="231"/>
      <c r="B5" s="359" t="s">
        <v>73</v>
      </c>
      <c r="C5" s="360"/>
      <c r="D5" s="360"/>
      <c r="E5" s="360"/>
      <c r="F5" s="360"/>
      <c r="G5" s="360"/>
      <c r="H5" s="360"/>
      <c r="I5" s="360"/>
      <c r="J5" s="361"/>
      <c r="K5" s="359" t="s">
        <v>116</v>
      </c>
      <c r="L5" s="360"/>
      <c r="M5" s="361"/>
    </row>
    <row r="6" spans="1:13" s="102" customFormat="1" ht="12.75" x14ac:dyDescent="0.2">
      <c r="A6" s="355" t="s">
        <v>1</v>
      </c>
      <c r="B6" s="204" t="s">
        <v>117</v>
      </c>
      <c r="C6" s="204" t="s">
        <v>118</v>
      </c>
      <c r="D6" s="204" t="s">
        <v>119</v>
      </c>
      <c r="E6" s="204" t="s">
        <v>120</v>
      </c>
      <c r="F6" s="362" t="s">
        <v>12</v>
      </c>
      <c r="G6" s="362" t="s">
        <v>13</v>
      </c>
      <c r="H6" s="362" t="s">
        <v>14</v>
      </c>
      <c r="I6" s="362" t="s">
        <v>66</v>
      </c>
      <c r="J6" s="362" t="s">
        <v>121</v>
      </c>
      <c r="K6" s="362" t="s">
        <v>68</v>
      </c>
      <c r="L6" s="362" t="s">
        <v>4</v>
      </c>
      <c r="M6" s="362" t="s">
        <v>5</v>
      </c>
    </row>
    <row r="7" spans="1:13" ht="12.75" x14ac:dyDescent="0.2">
      <c r="A7" s="356"/>
      <c r="B7" s="232">
        <v>82.45</v>
      </c>
      <c r="C7" s="232">
        <v>123.48</v>
      </c>
      <c r="D7" s="232">
        <v>161.91</v>
      </c>
      <c r="E7" s="232">
        <v>39.06</v>
      </c>
      <c r="F7" s="363"/>
      <c r="G7" s="363"/>
      <c r="H7" s="363"/>
      <c r="I7" s="363"/>
      <c r="J7" s="363"/>
      <c r="K7" s="363"/>
      <c r="L7" s="363"/>
      <c r="M7" s="363"/>
    </row>
    <row r="8" spans="1:13" ht="12.75" x14ac:dyDescent="0.2">
      <c r="A8" s="245"/>
      <c r="B8" s="105"/>
      <c r="C8" s="105"/>
      <c r="D8" s="105"/>
      <c r="E8" s="105"/>
      <c r="F8" s="246"/>
      <c r="G8" s="247"/>
      <c r="H8" s="247"/>
      <c r="I8" s="247"/>
      <c r="J8" s="248"/>
      <c r="K8" s="249"/>
      <c r="L8" s="246"/>
      <c r="M8" s="247"/>
    </row>
    <row r="9" spans="1:13" ht="38.25" x14ac:dyDescent="0.2">
      <c r="A9" s="104" t="s">
        <v>85</v>
      </c>
      <c r="B9" s="105">
        <v>16</v>
      </c>
      <c r="C9" s="105">
        <v>9</v>
      </c>
      <c r="D9" s="105">
        <v>10</v>
      </c>
      <c r="E9" s="105">
        <v>1</v>
      </c>
      <c r="F9" s="105">
        <f t="shared" ref="F9:F20" si="0">B9+C9+D9+E9</f>
        <v>36</v>
      </c>
      <c r="G9" s="106">
        <f>(B9*$B$7)+(C9*$C$7)+(D9*$D$7)+(E9*$E$7)</f>
        <v>4088.68</v>
      </c>
      <c r="H9" s="106">
        <v>0</v>
      </c>
      <c r="I9" s="106">
        <v>0</v>
      </c>
      <c r="J9" s="108">
        <v>1</v>
      </c>
      <c r="K9" s="110">
        <v>1</v>
      </c>
      <c r="L9" s="105">
        <f t="shared" ref="L9:L20" si="1">F9*J9*K9</f>
        <v>36</v>
      </c>
      <c r="M9" s="106">
        <f t="shared" ref="M9:M20" si="2">(G9+H9+I9)*J9*K9</f>
        <v>4088.68</v>
      </c>
    </row>
    <row r="10" spans="1:13" ht="25.5" x14ac:dyDescent="0.2">
      <c r="A10" s="111" t="s">
        <v>82</v>
      </c>
      <c r="B10" s="105">
        <v>5</v>
      </c>
      <c r="C10" s="105">
        <v>1</v>
      </c>
      <c r="D10" s="105">
        <v>0</v>
      </c>
      <c r="E10" s="105">
        <v>1</v>
      </c>
      <c r="F10" s="105">
        <f t="shared" si="0"/>
        <v>7</v>
      </c>
      <c r="G10" s="106">
        <f t="shared" ref="G10:G20" si="3">(B10*$B$7)+(C10*$C$7)+(D10*$D$7)+(E10*$E$7)</f>
        <v>574.79</v>
      </c>
      <c r="H10" s="106">
        <v>0</v>
      </c>
      <c r="I10" s="106">
        <v>0</v>
      </c>
      <c r="J10" s="108">
        <v>1</v>
      </c>
      <c r="K10" s="110">
        <v>1</v>
      </c>
      <c r="L10" s="105">
        <f t="shared" si="1"/>
        <v>7</v>
      </c>
      <c r="M10" s="106">
        <f t="shared" si="2"/>
        <v>574.79</v>
      </c>
    </row>
    <row r="11" spans="1:13" ht="12.75" x14ac:dyDescent="0.2">
      <c r="A11" s="111" t="s">
        <v>122</v>
      </c>
      <c r="B11" s="105">
        <v>0</v>
      </c>
      <c r="C11" s="105">
        <v>0</v>
      </c>
      <c r="D11" s="105">
        <v>0</v>
      </c>
      <c r="E11" s="105">
        <v>0</v>
      </c>
      <c r="F11" s="105">
        <f t="shared" si="0"/>
        <v>0</v>
      </c>
      <c r="G11" s="106">
        <f t="shared" si="3"/>
        <v>0</v>
      </c>
      <c r="H11" s="106">
        <v>0</v>
      </c>
      <c r="I11" s="107">
        <f>32700/3</f>
        <v>10900</v>
      </c>
      <c r="J11" s="108">
        <v>2</v>
      </c>
      <c r="K11" s="110">
        <v>1</v>
      </c>
      <c r="L11" s="105">
        <f t="shared" si="1"/>
        <v>0</v>
      </c>
      <c r="M11" s="106">
        <f t="shared" si="2"/>
        <v>21800</v>
      </c>
    </row>
    <row r="12" spans="1:13" ht="12.75" x14ac:dyDescent="0.2">
      <c r="A12" s="111" t="s">
        <v>123</v>
      </c>
      <c r="B12" s="105">
        <v>0</v>
      </c>
      <c r="C12" s="105">
        <v>0</v>
      </c>
      <c r="D12" s="105">
        <v>0</v>
      </c>
      <c r="E12" s="105">
        <v>0</v>
      </c>
      <c r="F12" s="105">
        <f t="shared" si="0"/>
        <v>0</v>
      </c>
      <c r="G12" s="106">
        <f t="shared" si="3"/>
        <v>0</v>
      </c>
      <c r="H12" s="106">
        <v>0</v>
      </c>
      <c r="I12" s="107">
        <f>2500/3</f>
        <v>833.33333333333337</v>
      </c>
      <c r="J12" s="108">
        <v>2</v>
      </c>
      <c r="K12" s="110">
        <v>1</v>
      </c>
      <c r="L12" s="105">
        <f t="shared" si="1"/>
        <v>0</v>
      </c>
      <c r="M12" s="106">
        <f t="shared" si="2"/>
        <v>1666.6666666666667</v>
      </c>
    </row>
    <row r="13" spans="1:13" ht="25.5" x14ac:dyDescent="0.2">
      <c r="A13" s="111" t="s">
        <v>124</v>
      </c>
      <c r="B13" s="105">
        <v>0</v>
      </c>
      <c r="C13" s="105">
        <v>0</v>
      </c>
      <c r="D13" s="105">
        <v>0</v>
      </c>
      <c r="E13" s="105">
        <v>0</v>
      </c>
      <c r="F13" s="105">
        <f t="shared" si="0"/>
        <v>0</v>
      </c>
      <c r="G13" s="106">
        <f t="shared" si="3"/>
        <v>0</v>
      </c>
      <c r="H13" s="106">
        <v>0</v>
      </c>
      <c r="I13" s="107">
        <f>250/3</f>
        <v>83.333333333333329</v>
      </c>
      <c r="J13" s="108">
        <v>2</v>
      </c>
      <c r="K13" s="110">
        <v>1</v>
      </c>
      <c r="L13" s="105">
        <f t="shared" si="1"/>
        <v>0</v>
      </c>
      <c r="M13" s="106">
        <f t="shared" si="2"/>
        <v>166.66666666666666</v>
      </c>
    </row>
    <row r="14" spans="1:13" ht="25.5" x14ac:dyDescent="0.2">
      <c r="A14" s="111" t="s">
        <v>21</v>
      </c>
      <c r="B14" s="105">
        <v>11</v>
      </c>
      <c r="C14" s="105">
        <v>6</v>
      </c>
      <c r="D14" s="105">
        <v>1</v>
      </c>
      <c r="E14" s="105">
        <v>1</v>
      </c>
      <c r="F14" s="105">
        <f t="shared" si="0"/>
        <v>19</v>
      </c>
      <c r="G14" s="106">
        <f t="shared" si="3"/>
        <v>1848.8</v>
      </c>
      <c r="H14" s="106">
        <v>0</v>
      </c>
      <c r="I14" s="106">
        <v>0</v>
      </c>
      <c r="J14" s="108">
        <v>2</v>
      </c>
      <c r="K14" s="110">
        <v>1</v>
      </c>
      <c r="L14" s="105">
        <f t="shared" si="1"/>
        <v>38</v>
      </c>
      <c r="M14" s="106">
        <f t="shared" si="2"/>
        <v>3697.6</v>
      </c>
    </row>
    <row r="15" spans="1:13" ht="38.25" x14ac:dyDescent="0.2">
      <c r="A15" s="111" t="s">
        <v>22</v>
      </c>
      <c r="B15" s="105">
        <v>14</v>
      </c>
      <c r="C15" s="105">
        <v>0.5</v>
      </c>
      <c r="D15" s="105">
        <v>0</v>
      </c>
      <c r="E15" s="105">
        <v>4</v>
      </c>
      <c r="F15" s="105">
        <f t="shared" si="0"/>
        <v>18.5</v>
      </c>
      <c r="G15" s="106">
        <f t="shared" si="3"/>
        <v>1372.28</v>
      </c>
      <c r="H15" s="106">
        <v>0</v>
      </c>
      <c r="I15" s="106">
        <v>4</v>
      </c>
      <c r="J15" s="108">
        <v>2</v>
      </c>
      <c r="K15" s="110">
        <v>1</v>
      </c>
      <c r="L15" s="105">
        <f t="shared" si="1"/>
        <v>37</v>
      </c>
      <c r="M15" s="106">
        <f t="shared" si="2"/>
        <v>2752.56</v>
      </c>
    </row>
    <row r="16" spans="1:13" ht="25.5" x14ac:dyDescent="0.2">
      <c r="A16" s="112" t="s">
        <v>16</v>
      </c>
      <c r="B16" s="105">
        <v>2</v>
      </c>
      <c r="C16" s="105">
        <v>0</v>
      </c>
      <c r="D16" s="105">
        <v>0</v>
      </c>
      <c r="E16" s="105">
        <v>0</v>
      </c>
      <c r="F16" s="105">
        <f t="shared" si="0"/>
        <v>2</v>
      </c>
      <c r="G16" s="106">
        <f t="shared" si="3"/>
        <v>164.9</v>
      </c>
      <c r="H16" s="105">
        <v>0</v>
      </c>
      <c r="I16" s="106">
        <v>4</v>
      </c>
      <c r="J16" s="108">
        <v>0</v>
      </c>
      <c r="K16" s="110">
        <v>1</v>
      </c>
      <c r="L16" s="105">
        <f t="shared" si="1"/>
        <v>0</v>
      </c>
      <c r="M16" s="106">
        <f t="shared" si="2"/>
        <v>0</v>
      </c>
    </row>
    <row r="17" spans="1:14" ht="12.75" x14ac:dyDescent="0.2">
      <c r="A17" s="113" t="s">
        <v>129</v>
      </c>
      <c r="B17" s="105">
        <v>0</v>
      </c>
      <c r="C17" s="105">
        <v>0</v>
      </c>
      <c r="D17" s="105">
        <v>0</v>
      </c>
      <c r="E17" s="105">
        <v>0</v>
      </c>
      <c r="F17" s="105">
        <f t="shared" si="0"/>
        <v>0</v>
      </c>
      <c r="G17" s="106">
        <f t="shared" si="3"/>
        <v>0</v>
      </c>
      <c r="H17" s="106">
        <v>0</v>
      </c>
      <c r="I17" s="106">
        <v>47664</v>
      </c>
      <c r="J17" s="108">
        <v>2</v>
      </c>
      <c r="K17" s="110">
        <v>1</v>
      </c>
      <c r="L17" s="105">
        <f t="shared" si="1"/>
        <v>0</v>
      </c>
      <c r="M17" s="106">
        <f t="shared" si="2"/>
        <v>95328</v>
      </c>
    </row>
    <row r="18" spans="1:14" ht="25.5" x14ac:dyDescent="0.2">
      <c r="A18" s="111" t="s">
        <v>6</v>
      </c>
      <c r="B18" s="105">
        <v>7</v>
      </c>
      <c r="C18" s="105">
        <v>5</v>
      </c>
      <c r="D18" s="105">
        <v>1</v>
      </c>
      <c r="E18" s="105">
        <v>2</v>
      </c>
      <c r="F18" s="105">
        <f t="shared" si="0"/>
        <v>15</v>
      </c>
      <c r="G18" s="106">
        <f t="shared" si="3"/>
        <v>1434.58</v>
      </c>
      <c r="H18" s="106">
        <v>0</v>
      </c>
      <c r="I18" s="106">
        <v>6</v>
      </c>
      <c r="J18" s="108">
        <v>0</v>
      </c>
      <c r="K18" s="110">
        <v>1</v>
      </c>
      <c r="L18" s="105">
        <f t="shared" si="1"/>
        <v>0</v>
      </c>
      <c r="M18" s="106">
        <f t="shared" si="2"/>
        <v>0</v>
      </c>
    </row>
    <row r="19" spans="1:14" ht="12.75" x14ac:dyDescent="0.2">
      <c r="A19" s="111" t="s">
        <v>137</v>
      </c>
      <c r="B19" s="105">
        <v>0</v>
      </c>
      <c r="C19" s="105">
        <v>0</v>
      </c>
      <c r="D19" s="105">
        <v>0</v>
      </c>
      <c r="E19" s="105">
        <v>0</v>
      </c>
      <c r="F19" s="105">
        <f t="shared" si="0"/>
        <v>0</v>
      </c>
      <c r="G19" s="106">
        <f t="shared" si="3"/>
        <v>0</v>
      </c>
      <c r="H19" s="106">
        <v>0</v>
      </c>
      <c r="I19" s="106">
        <v>0</v>
      </c>
      <c r="J19" s="108">
        <v>2</v>
      </c>
      <c r="K19" s="110">
        <v>1</v>
      </c>
      <c r="L19" s="105">
        <f t="shared" si="1"/>
        <v>0</v>
      </c>
      <c r="M19" s="106">
        <f t="shared" si="2"/>
        <v>0</v>
      </c>
    </row>
    <row r="20" spans="1:14" ht="25.5" x14ac:dyDescent="0.2">
      <c r="A20" s="111" t="s">
        <v>7</v>
      </c>
      <c r="B20" s="105">
        <v>3</v>
      </c>
      <c r="C20" s="105">
        <v>1</v>
      </c>
      <c r="D20" s="105">
        <v>1</v>
      </c>
      <c r="E20" s="105">
        <v>7</v>
      </c>
      <c r="F20" s="105">
        <f t="shared" si="0"/>
        <v>12</v>
      </c>
      <c r="G20" s="106">
        <f t="shared" si="3"/>
        <v>806.16000000000008</v>
      </c>
      <c r="H20" s="106">
        <v>0</v>
      </c>
      <c r="I20" s="106">
        <v>5</v>
      </c>
      <c r="J20" s="108">
        <v>2</v>
      </c>
      <c r="K20" s="110">
        <v>1</v>
      </c>
      <c r="L20" s="105">
        <f t="shared" si="1"/>
        <v>24</v>
      </c>
      <c r="M20" s="106">
        <f t="shared" si="2"/>
        <v>1622.3200000000002</v>
      </c>
      <c r="N20" s="334"/>
    </row>
    <row r="21" spans="1:14" ht="25.5" x14ac:dyDescent="0.2">
      <c r="A21" s="233" t="s">
        <v>128</v>
      </c>
      <c r="B21" s="172">
        <f>SUM(B9:B20)</f>
        <v>58</v>
      </c>
      <c r="C21" s="172">
        <f t="shared" ref="C21:I21" si="4">SUM(C9:C20)</f>
        <v>22.5</v>
      </c>
      <c r="D21" s="172">
        <f t="shared" si="4"/>
        <v>13</v>
      </c>
      <c r="E21" s="172">
        <f t="shared" si="4"/>
        <v>16</v>
      </c>
      <c r="F21" s="172">
        <f t="shared" si="4"/>
        <v>109.5</v>
      </c>
      <c r="G21" s="175">
        <f t="shared" si="4"/>
        <v>10290.189999999999</v>
      </c>
      <c r="H21" s="175">
        <f t="shared" si="4"/>
        <v>0</v>
      </c>
      <c r="I21" s="175">
        <f t="shared" si="4"/>
        <v>59499.666666666672</v>
      </c>
      <c r="J21" s="172" t="s">
        <v>9</v>
      </c>
      <c r="K21" s="172" t="s">
        <v>11</v>
      </c>
      <c r="L21" s="172" t="s">
        <v>11</v>
      </c>
      <c r="M21" s="175" t="s">
        <v>11</v>
      </c>
    </row>
    <row r="22" spans="1:14" ht="12.75" x14ac:dyDescent="0.2">
      <c r="A22" s="233" t="s">
        <v>10</v>
      </c>
      <c r="B22" s="172" t="s">
        <v>11</v>
      </c>
      <c r="C22" s="172" t="s">
        <v>11</v>
      </c>
      <c r="D22" s="172" t="s">
        <v>11</v>
      </c>
      <c r="E22" s="172" t="s">
        <v>11</v>
      </c>
      <c r="F22" s="172" t="s">
        <v>11</v>
      </c>
      <c r="G22" s="175">
        <f>SUMPRODUCT(G9:G20,J9:J20,K9:K20)</f>
        <v>12717.949999999999</v>
      </c>
      <c r="H22" s="175">
        <v>0</v>
      </c>
      <c r="I22" s="175">
        <f>SUMPRODUCT(I9:I20,J9:J20,K9:K20)</f>
        <v>118979.33333333334</v>
      </c>
      <c r="J22" s="172" t="s">
        <v>9</v>
      </c>
      <c r="K22" s="172">
        <v>1</v>
      </c>
      <c r="L22" s="172">
        <f>SUM(L9:L20)</f>
        <v>142</v>
      </c>
      <c r="M22" s="175">
        <f>SUM(M9:M20)</f>
        <v>131697.28333333333</v>
      </c>
    </row>
    <row r="23" spans="1:14" x14ac:dyDescent="0.2">
      <c r="A23" s="114"/>
      <c r="B23" s="114"/>
      <c r="D23" s="115"/>
      <c r="E23" s="115"/>
      <c r="F23" s="115"/>
      <c r="G23" s="116"/>
      <c r="H23" s="115"/>
      <c r="I23" s="116"/>
      <c r="J23" s="115"/>
      <c r="K23" s="115"/>
      <c r="L23" s="115"/>
      <c r="M23" s="116"/>
    </row>
    <row r="27" spans="1:14" x14ac:dyDescent="0.2">
      <c r="A27" s="118"/>
      <c r="B27" s="119"/>
    </row>
    <row r="28" spans="1:14" x14ac:dyDescent="0.2">
      <c r="A28" s="118"/>
      <c r="B28" s="119"/>
    </row>
    <row r="32" spans="1:14" ht="15" x14ac:dyDescent="0.2">
      <c r="A32" s="123"/>
      <c r="B32" s="123"/>
    </row>
    <row r="33" spans="1:2" ht="15" x14ac:dyDescent="0.2">
      <c r="A33" s="123"/>
      <c r="B33" s="123"/>
    </row>
    <row r="34" spans="1:2" ht="15" x14ac:dyDescent="0.2">
      <c r="A34" s="123"/>
      <c r="B34" s="124"/>
    </row>
    <row r="35" spans="1:2" ht="15" x14ac:dyDescent="0.2">
      <c r="A35" s="123"/>
      <c r="B35" s="124"/>
    </row>
    <row r="36" spans="1:2" ht="15" x14ac:dyDescent="0.2">
      <c r="A36" s="123"/>
      <c r="B36" s="124"/>
    </row>
    <row r="37" spans="1:2" ht="15" x14ac:dyDescent="0.2">
      <c r="A37" s="123"/>
      <c r="B37" s="124"/>
    </row>
  </sheetData>
  <mergeCells count="14">
    <mergeCell ref="A1:M1"/>
    <mergeCell ref="A2:M2"/>
    <mergeCell ref="A3:M3"/>
    <mergeCell ref="B5:J5"/>
    <mergeCell ref="K5:M5"/>
    <mergeCell ref="J6:J7"/>
    <mergeCell ref="K6:K7"/>
    <mergeCell ref="L6:L7"/>
    <mergeCell ref="M6:M7"/>
    <mergeCell ref="A6:A7"/>
    <mergeCell ref="F6:F7"/>
    <mergeCell ref="G6:G7"/>
    <mergeCell ref="H6:H7"/>
    <mergeCell ref="I6:I7"/>
  </mergeCells>
  <printOptions horizontalCentered="1" verticalCentered="1"/>
  <pageMargins left="0.75" right="0.75" top="1" bottom="1" header="0.5" footer="0.5"/>
  <pageSetup scale="68" orientation="landscape" verticalDpi="300" r:id="rId1"/>
  <headerFooter alignWithMargins="0"/>
  <ignoredErrors>
    <ignoredError sqref="B21:E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Normal="100" workbookViewId="0">
      <selection activeCell="A3" sqref="A3:M3"/>
    </sheetView>
  </sheetViews>
  <sheetFormatPr defaultRowHeight="11.25" x14ac:dyDescent="0.2"/>
  <cols>
    <col min="1" max="1" width="22" style="103" customWidth="1"/>
    <col min="2" max="2" width="9.85546875" style="103" customWidth="1"/>
    <col min="3" max="3" width="11" style="103" bestFit="1" customWidth="1"/>
    <col min="4" max="4" width="10" style="103" customWidth="1"/>
    <col min="5" max="6" width="9.140625" style="103"/>
    <col min="7" max="7" width="12.85546875" style="103" bestFit="1" customWidth="1"/>
    <col min="8" max="8" width="9.28515625" style="103" bestFit="1" customWidth="1"/>
    <col min="9" max="9" width="13.7109375" style="103" customWidth="1"/>
    <col min="10" max="10" width="14.140625" style="103" bestFit="1" customWidth="1"/>
    <col min="11" max="11" width="9.42578125" style="103" customWidth="1"/>
    <col min="12" max="12" width="9.140625" style="103"/>
    <col min="13" max="13" width="13.85546875" style="122" bestFit="1" customWidth="1"/>
    <col min="14" max="253" width="9.140625" style="103"/>
    <col min="254" max="254" width="22" style="103" customWidth="1"/>
    <col min="255" max="255" width="9.85546875" style="103" customWidth="1"/>
    <col min="256" max="256" width="11" style="103" bestFit="1" customWidth="1"/>
    <col min="257" max="257" width="10" style="103" customWidth="1"/>
    <col min="258" max="259" width="9.140625" style="103"/>
    <col min="260" max="260" width="12.85546875" style="103" bestFit="1" customWidth="1"/>
    <col min="261" max="261" width="9.28515625" style="103" bestFit="1" customWidth="1"/>
    <col min="262" max="263" width="13.7109375" style="103" customWidth="1"/>
    <col min="264" max="264" width="14.140625" style="103" bestFit="1" customWidth="1"/>
    <col min="265" max="265" width="8.85546875" style="103" customWidth="1"/>
    <col min="266" max="266" width="12.85546875" style="103" customWidth="1"/>
    <col min="267" max="267" width="9.42578125" style="103" customWidth="1"/>
    <col min="268" max="268" width="9.140625" style="103"/>
    <col min="269" max="269" width="13.85546875" style="103" bestFit="1" customWidth="1"/>
    <col min="270" max="509" width="9.140625" style="103"/>
    <col min="510" max="510" width="22" style="103" customWidth="1"/>
    <col min="511" max="511" width="9.85546875" style="103" customWidth="1"/>
    <col min="512" max="512" width="11" style="103" bestFit="1" customWidth="1"/>
    <col min="513" max="513" width="10" style="103" customWidth="1"/>
    <col min="514" max="515" width="9.140625" style="103"/>
    <col min="516" max="516" width="12.85546875" style="103" bestFit="1" customWidth="1"/>
    <col min="517" max="517" width="9.28515625" style="103" bestFit="1" customWidth="1"/>
    <col min="518" max="519" width="13.7109375" style="103" customWidth="1"/>
    <col min="520" max="520" width="14.140625" style="103" bestFit="1" customWidth="1"/>
    <col min="521" max="521" width="8.85546875" style="103" customWidth="1"/>
    <col min="522" max="522" width="12.85546875" style="103" customWidth="1"/>
    <col min="523" max="523" width="9.42578125" style="103" customWidth="1"/>
    <col min="524" max="524" width="9.140625" style="103"/>
    <col min="525" max="525" width="13.85546875" style="103" bestFit="1" customWidth="1"/>
    <col min="526" max="765" width="9.140625" style="103"/>
    <col min="766" max="766" width="22" style="103" customWidth="1"/>
    <col min="767" max="767" width="9.85546875" style="103" customWidth="1"/>
    <col min="768" max="768" width="11" style="103" bestFit="1" customWidth="1"/>
    <col min="769" max="769" width="10" style="103" customWidth="1"/>
    <col min="770" max="771" width="9.140625" style="103"/>
    <col min="772" max="772" width="12.85546875" style="103" bestFit="1" customWidth="1"/>
    <col min="773" max="773" width="9.28515625" style="103" bestFit="1" customWidth="1"/>
    <col min="774" max="775" width="13.7109375" style="103" customWidth="1"/>
    <col min="776" max="776" width="14.140625" style="103" bestFit="1" customWidth="1"/>
    <col min="777" max="777" width="8.85546875" style="103" customWidth="1"/>
    <col min="778" max="778" width="12.85546875" style="103" customWidth="1"/>
    <col min="779" max="779" width="9.42578125" style="103" customWidth="1"/>
    <col min="780" max="780" width="9.140625" style="103"/>
    <col min="781" max="781" width="13.85546875" style="103" bestFit="1" customWidth="1"/>
    <col min="782" max="1021" width="9.140625" style="103"/>
    <col min="1022" max="1022" width="22" style="103" customWidth="1"/>
    <col min="1023" max="1023" width="9.85546875" style="103" customWidth="1"/>
    <col min="1024" max="1024" width="11" style="103" bestFit="1" customWidth="1"/>
    <col min="1025" max="1025" width="10" style="103" customWidth="1"/>
    <col min="1026" max="1027" width="9.140625" style="103"/>
    <col min="1028" max="1028" width="12.85546875" style="103" bestFit="1" customWidth="1"/>
    <col min="1029" max="1029" width="9.28515625" style="103" bestFit="1" customWidth="1"/>
    <col min="1030" max="1031" width="13.7109375" style="103" customWidth="1"/>
    <col min="1032" max="1032" width="14.140625" style="103" bestFit="1" customWidth="1"/>
    <col min="1033" max="1033" width="8.85546875" style="103" customWidth="1"/>
    <col min="1034" max="1034" width="12.85546875" style="103" customWidth="1"/>
    <col min="1035" max="1035" width="9.42578125" style="103" customWidth="1"/>
    <col min="1036" max="1036" width="9.140625" style="103"/>
    <col min="1037" max="1037" width="13.85546875" style="103" bestFit="1" customWidth="1"/>
    <col min="1038" max="1277" width="9.140625" style="103"/>
    <col min="1278" max="1278" width="22" style="103" customWidth="1"/>
    <col min="1279" max="1279" width="9.85546875" style="103" customWidth="1"/>
    <col min="1280" max="1280" width="11" style="103" bestFit="1" customWidth="1"/>
    <col min="1281" max="1281" width="10" style="103" customWidth="1"/>
    <col min="1282" max="1283" width="9.140625" style="103"/>
    <col min="1284" max="1284" width="12.85546875" style="103" bestFit="1" customWidth="1"/>
    <col min="1285" max="1285" width="9.28515625" style="103" bestFit="1" customWidth="1"/>
    <col min="1286" max="1287" width="13.7109375" style="103" customWidth="1"/>
    <col min="1288" max="1288" width="14.140625" style="103" bestFit="1" customWidth="1"/>
    <col min="1289" max="1289" width="8.85546875" style="103" customWidth="1"/>
    <col min="1290" max="1290" width="12.85546875" style="103" customWidth="1"/>
    <col min="1291" max="1291" width="9.42578125" style="103" customWidth="1"/>
    <col min="1292" max="1292" width="9.140625" style="103"/>
    <col min="1293" max="1293" width="13.85546875" style="103" bestFit="1" customWidth="1"/>
    <col min="1294" max="1533" width="9.140625" style="103"/>
    <col min="1534" max="1534" width="22" style="103" customWidth="1"/>
    <col min="1535" max="1535" width="9.85546875" style="103" customWidth="1"/>
    <col min="1536" max="1536" width="11" style="103" bestFit="1" customWidth="1"/>
    <col min="1537" max="1537" width="10" style="103" customWidth="1"/>
    <col min="1538" max="1539" width="9.140625" style="103"/>
    <col min="1540" max="1540" width="12.85546875" style="103" bestFit="1" customWidth="1"/>
    <col min="1541" max="1541" width="9.28515625" style="103" bestFit="1" customWidth="1"/>
    <col min="1542" max="1543" width="13.7109375" style="103" customWidth="1"/>
    <col min="1544" max="1544" width="14.140625" style="103" bestFit="1" customWidth="1"/>
    <col min="1545" max="1545" width="8.85546875" style="103" customWidth="1"/>
    <col min="1546" max="1546" width="12.85546875" style="103" customWidth="1"/>
    <col min="1547" max="1547" width="9.42578125" style="103" customWidth="1"/>
    <col min="1548" max="1548" width="9.140625" style="103"/>
    <col min="1549" max="1549" width="13.85546875" style="103" bestFit="1" customWidth="1"/>
    <col min="1550" max="1789" width="9.140625" style="103"/>
    <col min="1790" max="1790" width="22" style="103" customWidth="1"/>
    <col min="1791" max="1791" width="9.85546875" style="103" customWidth="1"/>
    <col min="1792" max="1792" width="11" style="103" bestFit="1" customWidth="1"/>
    <col min="1793" max="1793" width="10" style="103" customWidth="1"/>
    <col min="1794" max="1795" width="9.140625" style="103"/>
    <col min="1796" max="1796" width="12.85546875" style="103" bestFit="1" customWidth="1"/>
    <col min="1797" max="1797" width="9.28515625" style="103" bestFit="1" customWidth="1"/>
    <col min="1798" max="1799" width="13.7109375" style="103" customWidth="1"/>
    <col min="1800" max="1800" width="14.140625" style="103" bestFit="1" customWidth="1"/>
    <col min="1801" max="1801" width="8.85546875" style="103" customWidth="1"/>
    <col min="1802" max="1802" width="12.85546875" style="103" customWidth="1"/>
    <col min="1803" max="1803" width="9.42578125" style="103" customWidth="1"/>
    <col min="1804" max="1804" width="9.140625" style="103"/>
    <col min="1805" max="1805" width="13.85546875" style="103" bestFit="1" customWidth="1"/>
    <col min="1806" max="2045" width="9.140625" style="103"/>
    <col min="2046" max="2046" width="22" style="103" customWidth="1"/>
    <col min="2047" max="2047" width="9.85546875" style="103" customWidth="1"/>
    <col min="2048" max="2048" width="11" style="103" bestFit="1" customWidth="1"/>
    <col min="2049" max="2049" width="10" style="103" customWidth="1"/>
    <col min="2050" max="2051" width="9.140625" style="103"/>
    <col min="2052" max="2052" width="12.85546875" style="103" bestFit="1" customWidth="1"/>
    <col min="2053" max="2053" width="9.28515625" style="103" bestFit="1" customWidth="1"/>
    <col min="2054" max="2055" width="13.7109375" style="103" customWidth="1"/>
    <col min="2056" max="2056" width="14.140625" style="103" bestFit="1" customWidth="1"/>
    <col min="2057" max="2057" width="8.85546875" style="103" customWidth="1"/>
    <col min="2058" max="2058" width="12.85546875" style="103" customWidth="1"/>
    <col min="2059" max="2059" width="9.42578125" style="103" customWidth="1"/>
    <col min="2060" max="2060" width="9.140625" style="103"/>
    <col min="2061" max="2061" width="13.85546875" style="103" bestFit="1" customWidth="1"/>
    <col min="2062" max="2301" width="9.140625" style="103"/>
    <col min="2302" max="2302" width="22" style="103" customWidth="1"/>
    <col min="2303" max="2303" width="9.85546875" style="103" customWidth="1"/>
    <col min="2304" max="2304" width="11" style="103" bestFit="1" customWidth="1"/>
    <col min="2305" max="2305" width="10" style="103" customWidth="1"/>
    <col min="2306" max="2307" width="9.140625" style="103"/>
    <col min="2308" max="2308" width="12.85546875" style="103" bestFit="1" customWidth="1"/>
    <col min="2309" max="2309" width="9.28515625" style="103" bestFit="1" customWidth="1"/>
    <col min="2310" max="2311" width="13.7109375" style="103" customWidth="1"/>
    <col min="2312" max="2312" width="14.140625" style="103" bestFit="1" customWidth="1"/>
    <col min="2313" max="2313" width="8.85546875" style="103" customWidth="1"/>
    <col min="2314" max="2314" width="12.85546875" style="103" customWidth="1"/>
    <col min="2315" max="2315" width="9.42578125" style="103" customWidth="1"/>
    <col min="2316" max="2316" width="9.140625" style="103"/>
    <col min="2317" max="2317" width="13.85546875" style="103" bestFit="1" customWidth="1"/>
    <col min="2318" max="2557" width="9.140625" style="103"/>
    <col min="2558" max="2558" width="22" style="103" customWidth="1"/>
    <col min="2559" max="2559" width="9.85546875" style="103" customWidth="1"/>
    <col min="2560" max="2560" width="11" style="103" bestFit="1" customWidth="1"/>
    <col min="2561" max="2561" width="10" style="103" customWidth="1"/>
    <col min="2562" max="2563" width="9.140625" style="103"/>
    <col min="2564" max="2564" width="12.85546875" style="103" bestFit="1" customWidth="1"/>
    <col min="2565" max="2565" width="9.28515625" style="103" bestFit="1" customWidth="1"/>
    <col min="2566" max="2567" width="13.7109375" style="103" customWidth="1"/>
    <col min="2568" max="2568" width="14.140625" style="103" bestFit="1" customWidth="1"/>
    <col min="2569" max="2569" width="8.85546875" style="103" customWidth="1"/>
    <col min="2570" max="2570" width="12.85546875" style="103" customWidth="1"/>
    <col min="2571" max="2571" width="9.42578125" style="103" customWidth="1"/>
    <col min="2572" max="2572" width="9.140625" style="103"/>
    <col min="2573" max="2573" width="13.85546875" style="103" bestFit="1" customWidth="1"/>
    <col min="2574" max="2813" width="9.140625" style="103"/>
    <col min="2814" max="2814" width="22" style="103" customWidth="1"/>
    <col min="2815" max="2815" width="9.85546875" style="103" customWidth="1"/>
    <col min="2816" max="2816" width="11" style="103" bestFit="1" customWidth="1"/>
    <col min="2817" max="2817" width="10" style="103" customWidth="1"/>
    <col min="2818" max="2819" width="9.140625" style="103"/>
    <col min="2820" max="2820" width="12.85546875" style="103" bestFit="1" customWidth="1"/>
    <col min="2821" max="2821" width="9.28515625" style="103" bestFit="1" customWidth="1"/>
    <col min="2822" max="2823" width="13.7109375" style="103" customWidth="1"/>
    <col min="2824" max="2824" width="14.140625" style="103" bestFit="1" customWidth="1"/>
    <col min="2825" max="2825" width="8.85546875" style="103" customWidth="1"/>
    <col min="2826" max="2826" width="12.85546875" style="103" customWidth="1"/>
    <col min="2827" max="2827" width="9.42578125" style="103" customWidth="1"/>
    <col min="2828" max="2828" width="9.140625" style="103"/>
    <col min="2829" max="2829" width="13.85546875" style="103" bestFit="1" customWidth="1"/>
    <col min="2830" max="3069" width="9.140625" style="103"/>
    <col min="3070" max="3070" width="22" style="103" customWidth="1"/>
    <col min="3071" max="3071" width="9.85546875" style="103" customWidth="1"/>
    <col min="3072" max="3072" width="11" style="103" bestFit="1" customWidth="1"/>
    <col min="3073" max="3073" width="10" style="103" customWidth="1"/>
    <col min="3074" max="3075" width="9.140625" style="103"/>
    <col min="3076" max="3076" width="12.85546875" style="103" bestFit="1" customWidth="1"/>
    <col min="3077" max="3077" width="9.28515625" style="103" bestFit="1" customWidth="1"/>
    <col min="3078" max="3079" width="13.7109375" style="103" customWidth="1"/>
    <col min="3080" max="3080" width="14.140625" style="103" bestFit="1" customWidth="1"/>
    <col min="3081" max="3081" width="8.85546875" style="103" customWidth="1"/>
    <col min="3082" max="3082" width="12.85546875" style="103" customWidth="1"/>
    <col min="3083" max="3083" width="9.42578125" style="103" customWidth="1"/>
    <col min="3084" max="3084" width="9.140625" style="103"/>
    <col min="3085" max="3085" width="13.85546875" style="103" bestFit="1" customWidth="1"/>
    <col min="3086" max="3325" width="9.140625" style="103"/>
    <col min="3326" max="3326" width="22" style="103" customWidth="1"/>
    <col min="3327" max="3327" width="9.85546875" style="103" customWidth="1"/>
    <col min="3328" max="3328" width="11" style="103" bestFit="1" customWidth="1"/>
    <col min="3329" max="3329" width="10" style="103" customWidth="1"/>
    <col min="3330" max="3331" width="9.140625" style="103"/>
    <col min="3332" max="3332" width="12.85546875" style="103" bestFit="1" customWidth="1"/>
    <col min="3333" max="3333" width="9.28515625" style="103" bestFit="1" customWidth="1"/>
    <col min="3334" max="3335" width="13.7109375" style="103" customWidth="1"/>
    <col min="3336" max="3336" width="14.140625" style="103" bestFit="1" customWidth="1"/>
    <col min="3337" max="3337" width="8.85546875" style="103" customWidth="1"/>
    <col min="3338" max="3338" width="12.85546875" style="103" customWidth="1"/>
    <col min="3339" max="3339" width="9.42578125" style="103" customWidth="1"/>
    <col min="3340" max="3340" width="9.140625" style="103"/>
    <col min="3341" max="3341" width="13.85546875" style="103" bestFit="1" customWidth="1"/>
    <col min="3342" max="3581" width="9.140625" style="103"/>
    <col min="3582" max="3582" width="22" style="103" customWidth="1"/>
    <col min="3583" max="3583" width="9.85546875" style="103" customWidth="1"/>
    <col min="3584" max="3584" width="11" style="103" bestFit="1" customWidth="1"/>
    <col min="3585" max="3585" width="10" style="103" customWidth="1"/>
    <col min="3586" max="3587" width="9.140625" style="103"/>
    <col min="3588" max="3588" width="12.85546875" style="103" bestFit="1" customWidth="1"/>
    <col min="3589" max="3589" width="9.28515625" style="103" bestFit="1" customWidth="1"/>
    <col min="3590" max="3591" width="13.7109375" style="103" customWidth="1"/>
    <col min="3592" max="3592" width="14.140625" style="103" bestFit="1" customWidth="1"/>
    <col min="3593" max="3593" width="8.85546875" style="103" customWidth="1"/>
    <col min="3594" max="3594" width="12.85546875" style="103" customWidth="1"/>
    <col min="3595" max="3595" width="9.42578125" style="103" customWidth="1"/>
    <col min="3596" max="3596" width="9.140625" style="103"/>
    <col min="3597" max="3597" width="13.85546875" style="103" bestFit="1" customWidth="1"/>
    <col min="3598" max="3837" width="9.140625" style="103"/>
    <col min="3838" max="3838" width="22" style="103" customWidth="1"/>
    <col min="3839" max="3839" width="9.85546875" style="103" customWidth="1"/>
    <col min="3840" max="3840" width="11" style="103" bestFit="1" customWidth="1"/>
    <col min="3841" max="3841" width="10" style="103" customWidth="1"/>
    <col min="3842" max="3843" width="9.140625" style="103"/>
    <col min="3844" max="3844" width="12.85546875" style="103" bestFit="1" customWidth="1"/>
    <col min="3845" max="3845" width="9.28515625" style="103" bestFit="1" customWidth="1"/>
    <col min="3846" max="3847" width="13.7109375" style="103" customWidth="1"/>
    <col min="3848" max="3848" width="14.140625" style="103" bestFit="1" customWidth="1"/>
    <col min="3849" max="3849" width="8.85546875" style="103" customWidth="1"/>
    <col min="3850" max="3850" width="12.85546875" style="103" customWidth="1"/>
    <col min="3851" max="3851" width="9.42578125" style="103" customWidth="1"/>
    <col min="3852" max="3852" width="9.140625" style="103"/>
    <col min="3853" max="3853" width="13.85546875" style="103" bestFit="1" customWidth="1"/>
    <col min="3854" max="4093" width="9.140625" style="103"/>
    <col min="4094" max="4094" width="22" style="103" customWidth="1"/>
    <col min="4095" max="4095" width="9.85546875" style="103" customWidth="1"/>
    <col min="4096" max="4096" width="11" style="103" bestFit="1" customWidth="1"/>
    <col min="4097" max="4097" width="10" style="103" customWidth="1"/>
    <col min="4098" max="4099" width="9.140625" style="103"/>
    <col min="4100" max="4100" width="12.85546875" style="103" bestFit="1" customWidth="1"/>
    <col min="4101" max="4101" width="9.28515625" style="103" bestFit="1" customWidth="1"/>
    <col min="4102" max="4103" width="13.7109375" style="103" customWidth="1"/>
    <col min="4104" max="4104" width="14.140625" style="103" bestFit="1" customWidth="1"/>
    <col min="4105" max="4105" width="8.85546875" style="103" customWidth="1"/>
    <col min="4106" max="4106" width="12.85546875" style="103" customWidth="1"/>
    <col min="4107" max="4107" width="9.42578125" style="103" customWidth="1"/>
    <col min="4108" max="4108" width="9.140625" style="103"/>
    <col min="4109" max="4109" width="13.85546875" style="103" bestFit="1" customWidth="1"/>
    <col min="4110" max="4349" width="9.140625" style="103"/>
    <col min="4350" max="4350" width="22" style="103" customWidth="1"/>
    <col min="4351" max="4351" width="9.85546875" style="103" customWidth="1"/>
    <col min="4352" max="4352" width="11" style="103" bestFit="1" customWidth="1"/>
    <col min="4353" max="4353" width="10" style="103" customWidth="1"/>
    <col min="4354" max="4355" width="9.140625" style="103"/>
    <col min="4356" max="4356" width="12.85546875" style="103" bestFit="1" customWidth="1"/>
    <col min="4357" max="4357" width="9.28515625" style="103" bestFit="1" customWidth="1"/>
    <col min="4358" max="4359" width="13.7109375" style="103" customWidth="1"/>
    <col min="4360" max="4360" width="14.140625" style="103" bestFit="1" customWidth="1"/>
    <col min="4361" max="4361" width="8.85546875" style="103" customWidth="1"/>
    <col min="4362" max="4362" width="12.85546875" style="103" customWidth="1"/>
    <col min="4363" max="4363" width="9.42578125" style="103" customWidth="1"/>
    <col min="4364" max="4364" width="9.140625" style="103"/>
    <col min="4365" max="4365" width="13.85546875" style="103" bestFit="1" customWidth="1"/>
    <col min="4366" max="4605" width="9.140625" style="103"/>
    <col min="4606" max="4606" width="22" style="103" customWidth="1"/>
    <col min="4607" max="4607" width="9.85546875" style="103" customWidth="1"/>
    <col min="4608" max="4608" width="11" style="103" bestFit="1" customWidth="1"/>
    <col min="4609" max="4609" width="10" style="103" customWidth="1"/>
    <col min="4610" max="4611" width="9.140625" style="103"/>
    <col min="4612" max="4612" width="12.85546875" style="103" bestFit="1" customWidth="1"/>
    <col min="4613" max="4613" width="9.28515625" style="103" bestFit="1" customWidth="1"/>
    <col min="4614" max="4615" width="13.7109375" style="103" customWidth="1"/>
    <col min="4616" max="4616" width="14.140625" style="103" bestFit="1" customWidth="1"/>
    <col min="4617" max="4617" width="8.85546875" style="103" customWidth="1"/>
    <col min="4618" max="4618" width="12.85546875" style="103" customWidth="1"/>
    <col min="4619" max="4619" width="9.42578125" style="103" customWidth="1"/>
    <col min="4620" max="4620" width="9.140625" style="103"/>
    <col min="4621" max="4621" width="13.85546875" style="103" bestFit="1" customWidth="1"/>
    <col min="4622" max="4861" width="9.140625" style="103"/>
    <col min="4862" max="4862" width="22" style="103" customWidth="1"/>
    <col min="4863" max="4863" width="9.85546875" style="103" customWidth="1"/>
    <col min="4864" max="4864" width="11" style="103" bestFit="1" customWidth="1"/>
    <col min="4865" max="4865" width="10" style="103" customWidth="1"/>
    <col min="4866" max="4867" width="9.140625" style="103"/>
    <col min="4868" max="4868" width="12.85546875" style="103" bestFit="1" customWidth="1"/>
    <col min="4869" max="4869" width="9.28515625" style="103" bestFit="1" customWidth="1"/>
    <col min="4870" max="4871" width="13.7109375" style="103" customWidth="1"/>
    <col min="4872" max="4872" width="14.140625" style="103" bestFit="1" customWidth="1"/>
    <col min="4873" max="4873" width="8.85546875" style="103" customWidth="1"/>
    <col min="4874" max="4874" width="12.85546875" style="103" customWidth="1"/>
    <col min="4875" max="4875" width="9.42578125" style="103" customWidth="1"/>
    <col min="4876" max="4876" width="9.140625" style="103"/>
    <col min="4877" max="4877" width="13.85546875" style="103" bestFit="1" customWidth="1"/>
    <col min="4878" max="5117" width="9.140625" style="103"/>
    <col min="5118" max="5118" width="22" style="103" customWidth="1"/>
    <col min="5119" max="5119" width="9.85546875" style="103" customWidth="1"/>
    <col min="5120" max="5120" width="11" style="103" bestFit="1" customWidth="1"/>
    <col min="5121" max="5121" width="10" style="103" customWidth="1"/>
    <col min="5122" max="5123" width="9.140625" style="103"/>
    <col min="5124" max="5124" width="12.85546875" style="103" bestFit="1" customWidth="1"/>
    <col min="5125" max="5125" width="9.28515625" style="103" bestFit="1" customWidth="1"/>
    <col min="5126" max="5127" width="13.7109375" style="103" customWidth="1"/>
    <col min="5128" max="5128" width="14.140625" style="103" bestFit="1" customWidth="1"/>
    <col min="5129" max="5129" width="8.85546875" style="103" customWidth="1"/>
    <col min="5130" max="5130" width="12.85546875" style="103" customWidth="1"/>
    <col min="5131" max="5131" width="9.42578125" style="103" customWidth="1"/>
    <col min="5132" max="5132" width="9.140625" style="103"/>
    <col min="5133" max="5133" width="13.85546875" style="103" bestFit="1" customWidth="1"/>
    <col min="5134" max="5373" width="9.140625" style="103"/>
    <col min="5374" max="5374" width="22" style="103" customWidth="1"/>
    <col min="5375" max="5375" width="9.85546875" style="103" customWidth="1"/>
    <col min="5376" max="5376" width="11" style="103" bestFit="1" customWidth="1"/>
    <col min="5377" max="5377" width="10" style="103" customWidth="1"/>
    <col min="5378" max="5379" width="9.140625" style="103"/>
    <col min="5380" max="5380" width="12.85546875" style="103" bestFit="1" customWidth="1"/>
    <col min="5381" max="5381" width="9.28515625" style="103" bestFit="1" customWidth="1"/>
    <col min="5382" max="5383" width="13.7109375" style="103" customWidth="1"/>
    <col min="5384" max="5384" width="14.140625" style="103" bestFit="1" customWidth="1"/>
    <col min="5385" max="5385" width="8.85546875" style="103" customWidth="1"/>
    <col min="5386" max="5386" width="12.85546875" style="103" customWidth="1"/>
    <col min="5387" max="5387" width="9.42578125" style="103" customWidth="1"/>
    <col min="5388" max="5388" width="9.140625" style="103"/>
    <col min="5389" max="5389" width="13.85546875" style="103" bestFit="1" customWidth="1"/>
    <col min="5390" max="5629" width="9.140625" style="103"/>
    <col min="5630" max="5630" width="22" style="103" customWidth="1"/>
    <col min="5631" max="5631" width="9.85546875" style="103" customWidth="1"/>
    <col min="5632" max="5632" width="11" style="103" bestFit="1" customWidth="1"/>
    <col min="5633" max="5633" width="10" style="103" customWidth="1"/>
    <col min="5634" max="5635" width="9.140625" style="103"/>
    <col min="5636" max="5636" width="12.85546875" style="103" bestFit="1" customWidth="1"/>
    <col min="5637" max="5637" width="9.28515625" style="103" bestFit="1" customWidth="1"/>
    <col min="5638" max="5639" width="13.7109375" style="103" customWidth="1"/>
    <col min="5640" max="5640" width="14.140625" style="103" bestFit="1" customWidth="1"/>
    <col min="5641" max="5641" width="8.85546875" style="103" customWidth="1"/>
    <col min="5642" max="5642" width="12.85546875" style="103" customWidth="1"/>
    <col min="5643" max="5643" width="9.42578125" style="103" customWidth="1"/>
    <col min="5644" max="5644" width="9.140625" style="103"/>
    <col min="5645" max="5645" width="13.85546875" style="103" bestFit="1" customWidth="1"/>
    <col min="5646" max="5885" width="9.140625" style="103"/>
    <col min="5886" max="5886" width="22" style="103" customWidth="1"/>
    <col min="5887" max="5887" width="9.85546875" style="103" customWidth="1"/>
    <col min="5888" max="5888" width="11" style="103" bestFit="1" customWidth="1"/>
    <col min="5889" max="5889" width="10" style="103" customWidth="1"/>
    <col min="5890" max="5891" width="9.140625" style="103"/>
    <col min="5892" max="5892" width="12.85546875" style="103" bestFit="1" customWidth="1"/>
    <col min="5893" max="5893" width="9.28515625" style="103" bestFit="1" customWidth="1"/>
    <col min="5894" max="5895" width="13.7109375" style="103" customWidth="1"/>
    <col min="5896" max="5896" width="14.140625" style="103" bestFit="1" customWidth="1"/>
    <col min="5897" max="5897" width="8.85546875" style="103" customWidth="1"/>
    <col min="5898" max="5898" width="12.85546875" style="103" customWidth="1"/>
    <col min="5899" max="5899" width="9.42578125" style="103" customWidth="1"/>
    <col min="5900" max="5900" width="9.140625" style="103"/>
    <col min="5901" max="5901" width="13.85546875" style="103" bestFit="1" customWidth="1"/>
    <col min="5902" max="6141" width="9.140625" style="103"/>
    <col min="6142" max="6142" width="22" style="103" customWidth="1"/>
    <col min="6143" max="6143" width="9.85546875" style="103" customWidth="1"/>
    <col min="6144" max="6144" width="11" style="103" bestFit="1" customWidth="1"/>
    <col min="6145" max="6145" width="10" style="103" customWidth="1"/>
    <col min="6146" max="6147" width="9.140625" style="103"/>
    <col min="6148" max="6148" width="12.85546875" style="103" bestFit="1" customWidth="1"/>
    <col min="6149" max="6149" width="9.28515625" style="103" bestFit="1" customWidth="1"/>
    <col min="6150" max="6151" width="13.7109375" style="103" customWidth="1"/>
    <col min="6152" max="6152" width="14.140625" style="103" bestFit="1" customWidth="1"/>
    <col min="6153" max="6153" width="8.85546875" style="103" customWidth="1"/>
    <col min="6154" max="6154" width="12.85546875" style="103" customWidth="1"/>
    <col min="6155" max="6155" width="9.42578125" style="103" customWidth="1"/>
    <col min="6156" max="6156" width="9.140625" style="103"/>
    <col min="6157" max="6157" width="13.85546875" style="103" bestFit="1" customWidth="1"/>
    <col min="6158" max="6397" width="9.140625" style="103"/>
    <col min="6398" max="6398" width="22" style="103" customWidth="1"/>
    <col min="6399" max="6399" width="9.85546875" style="103" customWidth="1"/>
    <col min="6400" max="6400" width="11" style="103" bestFit="1" customWidth="1"/>
    <col min="6401" max="6401" width="10" style="103" customWidth="1"/>
    <col min="6402" max="6403" width="9.140625" style="103"/>
    <col min="6404" max="6404" width="12.85546875" style="103" bestFit="1" customWidth="1"/>
    <col min="6405" max="6405" width="9.28515625" style="103" bestFit="1" customWidth="1"/>
    <col min="6406" max="6407" width="13.7109375" style="103" customWidth="1"/>
    <col min="6408" max="6408" width="14.140625" style="103" bestFit="1" customWidth="1"/>
    <col min="6409" max="6409" width="8.85546875" style="103" customWidth="1"/>
    <col min="6410" max="6410" width="12.85546875" style="103" customWidth="1"/>
    <col min="6411" max="6411" width="9.42578125" style="103" customWidth="1"/>
    <col min="6412" max="6412" width="9.140625" style="103"/>
    <col min="6413" max="6413" width="13.85546875" style="103" bestFit="1" customWidth="1"/>
    <col min="6414" max="6653" width="9.140625" style="103"/>
    <col min="6654" max="6654" width="22" style="103" customWidth="1"/>
    <col min="6655" max="6655" width="9.85546875" style="103" customWidth="1"/>
    <col min="6656" max="6656" width="11" style="103" bestFit="1" customWidth="1"/>
    <col min="6657" max="6657" width="10" style="103" customWidth="1"/>
    <col min="6658" max="6659" width="9.140625" style="103"/>
    <col min="6660" max="6660" width="12.85546875" style="103" bestFit="1" customWidth="1"/>
    <col min="6661" max="6661" width="9.28515625" style="103" bestFit="1" customWidth="1"/>
    <col min="6662" max="6663" width="13.7109375" style="103" customWidth="1"/>
    <col min="6664" max="6664" width="14.140625" style="103" bestFit="1" customWidth="1"/>
    <col min="6665" max="6665" width="8.85546875" style="103" customWidth="1"/>
    <col min="6666" max="6666" width="12.85546875" style="103" customWidth="1"/>
    <col min="6667" max="6667" width="9.42578125" style="103" customWidth="1"/>
    <col min="6668" max="6668" width="9.140625" style="103"/>
    <col min="6669" max="6669" width="13.85546875" style="103" bestFit="1" customWidth="1"/>
    <col min="6670" max="6909" width="9.140625" style="103"/>
    <col min="6910" max="6910" width="22" style="103" customWidth="1"/>
    <col min="6911" max="6911" width="9.85546875" style="103" customWidth="1"/>
    <col min="6912" max="6912" width="11" style="103" bestFit="1" customWidth="1"/>
    <col min="6913" max="6913" width="10" style="103" customWidth="1"/>
    <col min="6914" max="6915" width="9.140625" style="103"/>
    <col min="6916" max="6916" width="12.85546875" style="103" bestFit="1" customWidth="1"/>
    <col min="6917" max="6917" width="9.28515625" style="103" bestFit="1" customWidth="1"/>
    <col min="6918" max="6919" width="13.7109375" style="103" customWidth="1"/>
    <col min="6920" max="6920" width="14.140625" style="103" bestFit="1" customWidth="1"/>
    <col min="6921" max="6921" width="8.85546875" style="103" customWidth="1"/>
    <col min="6922" max="6922" width="12.85546875" style="103" customWidth="1"/>
    <col min="6923" max="6923" width="9.42578125" style="103" customWidth="1"/>
    <col min="6924" max="6924" width="9.140625" style="103"/>
    <col min="6925" max="6925" width="13.85546875" style="103" bestFit="1" customWidth="1"/>
    <col min="6926" max="7165" width="9.140625" style="103"/>
    <col min="7166" max="7166" width="22" style="103" customWidth="1"/>
    <col min="7167" max="7167" width="9.85546875" style="103" customWidth="1"/>
    <col min="7168" max="7168" width="11" style="103" bestFit="1" customWidth="1"/>
    <col min="7169" max="7169" width="10" style="103" customWidth="1"/>
    <col min="7170" max="7171" width="9.140625" style="103"/>
    <col min="7172" max="7172" width="12.85546875" style="103" bestFit="1" customWidth="1"/>
    <col min="7173" max="7173" width="9.28515625" style="103" bestFit="1" customWidth="1"/>
    <col min="7174" max="7175" width="13.7109375" style="103" customWidth="1"/>
    <col min="7176" max="7176" width="14.140625" style="103" bestFit="1" customWidth="1"/>
    <col min="7177" max="7177" width="8.85546875" style="103" customWidth="1"/>
    <col min="7178" max="7178" width="12.85546875" style="103" customWidth="1"/>
    <col min="7179" max="7179" width="9.42578125" style="103" customWidth="1"/>
    <col min="7180" max="7180" width="9.140625" style="103"/>
    <col min="7181" max="7181" width="13.85546875" style="103" bestFit="1" customWidth="1"/>
    <col min="7182" max="7421" width="9.140625" style="103"/>
    <col min="7422" max="7422" width="22" style="103" customWidth="1"/>
    <col min="7423" max="7423" width="9.85546875" style="103" customWidth="1"/>
    <col min="7424" max="7424" width="11" style="103" bestFit="1" customWidth="1"/>
    <col min="7425" max="7425" width="10" style="103" customWidth="1"/>
    <col min="7426" max="7427" width="9.140625" style="103"/>
    <col min="7428" max="7428" width="12.85546875" style="103" bestFit="1" customWidth="1"/>
    <col min="7429" max="7429" width="9.28515625" style="103" bestFit="1" customWidth="1"/>
    <col min="7430" max="7431" width="13.7109375" style="103" customWidth="1"/>
    <col min="7432" max="7432" width="14.140625" style="103" bestFit="1" customWidth="1"/>
    <col min="7433" max="7433" width="8.85546875" style="103" customWidth="1"/>
    <col min="7434" max="7434" width="12.85546875" style="103" customWidth="1"/>
    <col min="7435" max="7435" width="9.42578125" style="103" customWidth="1"/>
    <col min="7436" max="7436" width="9.140625" style="103"/>
    <col min="7437" max="7437" width="13.85546875" style="103" bestFit="1" customWidth="1"/>
    <col min="7438" max="7677" width="9.140625" style="103"/>
    <col min="7678" max="7678" width="22" style="103" customWidth="1"/>
    <col min="7679" max="7679" width="9.85546875" style="103" customWidth="1"/>
    <col min="7680" max="7680" width="11" style="103" bestFit="1" customWidth="1"/>
    <col min="7681" max="7681" width="10" style="103" customWidth="1"/>
    <col min="7682" max="7683" width="9.140625" style="103"/>
    <col min="7684" max="7684" width="12.85546875" style="103" bestFit="1" customWidth="1"/>
    <col min="7685" max="7685" width="9.28515625" style="103" bestFit="1" customWidth="1"/>
    <col min="7686" max="7687" width="13.7109375" style="103" customWidth="1"/>
    <col min="7688" max="7688" width="14.140625" style="103" bestFit="1" customWidth="1"/>
    <col min="7689" max="7689" width="8.85546875" style="103" customWidth="1"/>
    <col min="7690" max="7690" width="12.85546875" style="103" customWidth="1"/>
    <col min="7691" max="7691" width="9.42578125" style="103" customWidth="1"/>
    <col min="7692" max="7692" width="9.140625" style="103"/>
    <col min="7693" max="7693" width="13.85546875" style="103" bestFit="1" customWidth="1"/>
    <col min="7694" max="7933" width="9.140625" style="103"/>
    <col min="7934" max="7934" width="22" style="103" customWidth="1"/>
    <col min="7935" max="7935" width="9.85546875" style="103" customWidth="1"/>
    <col min="7936" max="7936" width="11" style="103" bestFit="1" customWidth="1"/>
    <col min="7937" max="7937" width="10" style="103" customWidth="1"/>
    <col min="7938" max="7939" width="9.140625" style="103"/>
    <col min="7940" max="7940" width="12.85546875" style="103" bestFit="1" customWidth="1"/>
    <col min="7941" max="7941" width="9.28515625" style="103" bestFit="1" customWidth="1"/>
    <col min="7942" max="7943" width="13.7109375" style="103" customWidth="1"/>
    <col min="7944" max="7944" width="14.140625" style="103" bestFit="1" customWidth="1"/>
    <col min="7945" max="7945" width="8.85546875" style="103" customWidth="1"/>
    <col min="7946" max="7946" width="12.85546875" style="103" customWidth="1"/>
    <col min="7947" max="7947" width="9.42578125" style="103" customWidth="1"/>
    <col min="7948" max="7948" width="9.140625" style="103"/>
    <col min="7949" max="7949" width="13.85546875" style="103" bestFit="1" customWidth="1"/>
    <col min="7950" max="8189" width="9.140625" style="103"/>
    <col min="8190" max="8190" width="22" style="103" customWidth="1"/>
    <col min="8191" max="8191" width="9.85546875" style="103" customWidth="1"/>
    <col min="8192" max="8192" width="11" style="103" bestFit="1" customWidth="1"/>
    <col min="8193" max="8193" width="10" style="103" customWidth="1"/>
    <col min="8194" max="8195" width="9.140625" style="103"/>
    <col min="8196" max="8196" width="12.85546875" style="103" bestFit="1" customWidth="1"/>
    <col min="8197" max="8197" width="9.28515625" style="103" bestFit="1" customWidth="1"/>
    <col min="8198" max="8199" width="13.7109375" style="103" customWidth="1"/>
    <col min="8200" max="8200" width="14.140625" style="103" bestFit="1" customWidth="1"/>
    <col min="8201" max="8201" width="8.85546875" style="103" customWidth="1"/>
    <col min="8202" max="8202" width="12.85546875" style="103" customWidth="1"/>
    <col min="8203" max="8203" width="9.42578125" style="103" customWidth="1"/>
    <col min="8204" max="8204" width="9.140625" style="103"/>
    <col min="8205" max="8205" width="13.85546875" style="103" bestFit="1" customWidth="1"/>
    <col min="8206" max="8445" width="9.140625" style="103"/>
    <col min="8446" max="8446" width="22" style="103" customWidth="1"/>
    <col min="8447" max="8447" width="9.85546875" style="103" customWidth="1"/>
    <col min="8448" max="8448" width="11" style="103" bestFit="1" customWidth="1"/>
    <col min="8449" max="8449" width="10" style="103" customWidth="1"/>
    <col min="8450" max="8451" width="9.140625" style="103"/>
    <col min="8452" max="8452" width="12.85546875" style="103" bestFit="1" customWidth="1"/>
    <col min="8453" max="8453" width="9.28515625" style="103" bestFit="1" customWidth="1"/>
    <col min="8454" max="8455" width="13.7109375" style="103" customWidth="1"/>
    <col min="8456" max="8456" width="14.140625" style="103" bestFit="1" customWidth="1"/>
    <col min="8457" max="8457" width="8.85546875" style="103" customWidth="1"/>
    <col min="8458" max="8458" width="12.85546875" style="103" customWidth="1"/>
    <col min="8459" max="8459" width="9.42578125" style="103" customWidth="1"/>
    <col min="8460" max="8460" width="9.140625" style="103"/>
    <col min="8461" max="8461" width="13.85546875" style="103" bestFit="1" customWidth="1"/>
    <col min="8462" max="8701" width="9.140625" style="103"/>
    <col min="8702" max="8702" width="22" style="103" customWidth="1"/>
    <col min="8703" max="8703" width="9.85546875" style="103" customWidth="1"/>
    <col min="8704" max="8704" width="11" style="103" bestFit="1" customWidth="1"/>
    <col min="8705" max="8705" width="10" style="103" customWidth="1"/>
    <col min="8706" max="8707" width="9.140625" style="103"/>
    <col min="8708" max="8708" width="12.85546875" style="103" bestFit="1" customWidth="1"/>
    <col min="8709" max="8709" width="9.28515625" style="103" bestFit="1" customWidth="1"/>
    <col min="8710" max="8711" width="13.7109375" style="103" customWidth="1"/>
    <col min="8712" max="8712" width="14.140625" style="103" bestFit="1" customWidth="1"/>
    <col min="8713" max="8713" width="8.85546875" style="103" customWidth="1"/>
    <col min="8714" max="8714" width="12.85546875" style="103" customWidth="1"/>
    <col min="8715" max="8715" width="9.42578125" style="103" customWidth="1"/>
    <col min="8716" max="8716" width="9.140625" style="103"/>
    <col min="8717" max="8717" width="13.85546875" style="103" bestFit="1" customWidth="1"/>
    <col min="8718" max="8957" width="9.140625" style="103"/>
    <col min="8958" max="8958" width="22" style="103" customWidth="1"/>
    <col min="8959" max="8959" width="9.85546875" style="103" customWidth="1"/>
    <col min="8960" max="8960" width="11" style="103" bestFit="1" customWidth="1"/>
    <col min="8961" max="8961" width="10" style="103" customWidth="1"/>
    <col min="8962" max="8963" width="9.140625" style="103"/>
    <col min="8964" max="8964" width="12.85546875" style="103" bestFit="1" customWidth="1"/>
    <col min="8965" max="8965" width="9.28515625" style="103" bestFit="1" customWidth="1"/>
    <col min="8966" max="8967" width="13.7109375" style="103" customWidth="1"/>
    <col min="8968" max="8968" width="14.140625" style="103" bestFit="1" customWidth="1"/>
    <col min="8969" max="8969" width="8.85546875" style="103" customWidth="1"/>
    <col min="8970" max="8970" width="12.85546875" style="103" customWidth="1"/>
    <col min="8971" max="8971" width="9.42578125" style="103" customWidth="1"/>
    <col min="8972" max="8972" width="9.140625" style="103"/>
    <col min="8973" max="8973" width="13.85546875" style="103" bestFit="1" customWidth="1"/>
    <col min="8974" max="9213" width="9.140625" style="103"/>
    <col min="9214" max="9214" width="22" style="103" customWidth="1"/>
    <col min="9215" max="9215" width="9.85546875" style="103" customWidth="1"/>
    <col min="9216" max="9216" width="11" style="103" bestFit="1" customWidth="1"/>
    <col min="9217" max="9217" width="10" style="103" customWidth="1"/>
    <col min="9218" max="9219" width="9.140625" style="103"/>
    <col min="9220" max="9220" width="12.85546875" style="103" bestFit="1" customWidth="1"/>
    <col min="9221" max="9221" width="9.28515625" style="103" bestFit="1" customWidth="1"/>
    <col min="9222" max="9223" width="13.7109375" style="103" customWidth="1"/>
    <col min="9224" max="9224" width="14.140625" style="103" bestFit="1" customWidth="1"/>
    <col min="9225" max="9225" width="8.85546875" style="103" customWidth="1"/>
    <col min="9226" max="9226" width="12.85546875" style="103" customWidth="1"/>
    <col min="9227" max="9227" width="9.42578125" style="103" customWidth="1"/>
    <col min="9228" max="9228" width="9.140625" style="103"/>
    <col min="9229" max="9229" width="13.85546875" style="103" bestFit="1" customWidth="1"/>
    <col min="9230" max="9469" width="9.140625" style="103"/>
    <col min="9470" max="9470" width="22" style="103" customWidth="1"/>
    <col min="9471" max="9471" width="9.85546875" style="103" customWidth="1"/>
    <col min="9472" max="9472" width="11" style="103" bestFit="1" customWidth="1"/>
    <col min="9473" max="9473" width="10" style="103" customWidth="1"/>
    <col min="9474" max="9475" width="9.140625" style="103"/>
    <col min="9476" max="9476" width="12.85546875" style="103" bestFit="1" customWidth="1"/>
    <col min="9477" max="9477" width="9.28515625" style="103" bestFit="1" customWidth="1"/>
    <col min="9478" max="9479" width="13.7109375" style="103" customWidth="1"/>
    <col min="9480" max="9480" width="14.140625" style="103" bestFit="1" customWidth="1"/>
    <col min="9481" max="9481" width="8.85546875" style="103" customWidth="1"/>
    <col min="9482" max="9482" width="12.85546875" style="103" customWidth="1"/>
    <col min="9483" max="9483" width="9.42578125" style="103" customWidth="1"/>
    <col min="9484" max="9484" width="9.140625" style="103"/>
    <col min="9485" max="9485" width="13.85546875" style="103" bestFit="1" customWidth="1"/>
    <col min="9486" max="9725" width="9.140625" style="103"/>
    <col min="9726" max="9726" width="22" style="103" customWidth="1"/>
    <col min="9727" max="9727" width="9.85546875" style="103" customWidth="1"/>
    <col min="9728" max="9728" width="11" style="103" bestFit="1" customWidth="1"/>
    <col min="9729" max="9729" width="10" style="103" customWidth="1"/>
    <col min="9730" max="9731" width="9.140625" style="103"/>
    <col min="9732" max="9732" width="12.85546875" style="103" bestFit="1" customWidth="1"/>
    <col min="9733" max="9733" width="9.28515625" style="103" bestFit="1" customWidth="1"/>
    <col min="9734" max="9735" width="13.7109375" style="103" customWidth="1"/>
    <col min="9736" max="9736" width="14.140625" style="103" bestFit="1" customWidth="1"/>
    <col min="9737" max="9737" width="8.85546875" style="103" customWidth="1"/>
    <col min="9738" max="9738" width="12.85546875" style="103" customWidth="1"/>
    <col min="9739" max="9739" width="9.42578125" style="103" customWidth="1"/>
    <col min="9740" max="9740" width="9.140625" style="103"/>
    <col min="9741" max="9741" width="13.85546875" style="103" bestFit="1" customWidth="1"/>
    <col min="9742" max="9981" width="9.140625" style="103"/>
    <col min="9982" max="9982" width="22" style="103" customWidth="1"/>
    <col min="9983" max="9983" width="9.85546875" style="103" customWidth="1"/>
    <col min="9984" max="9984" width="11" style="103" bestFit="1" customWidth="1"/>
    <col min="9985" max="9985" width="10" style="103" customWidth="1"/>
    <col min="9986" max="9987" width="9.140625" style="103"/>
    <col min="9988" max="9988" width="12.85546875" style="103" bestFit="1" customWidth="1"/>
    <col min="9989" max="9989" width="9.28515625" style="103" bestFit="1" customWidth="1"/>
    <col min="9990" max="9991" width="13.7109375" style="103" customWidth="1"/>
    <col min="9992" max="9992" width="14.140625" style="103" bestFit="1" customWidth="1"/>
    <col min="9993" max="9993" width="8.85546875" style="103" customWidth="1"/>
    <col min="9994" max="9994" width="12.85546875" style="103" customWidth="1"/>
    <col min="9995" max="9995" width="9.42578125" style="103" customWidth="1"/>
    <col min="9996" max="9996" width="9.140625" style="103"/>
    <col min="9997" max="9997" width="13.85546875" style="103" bestFit="1" customWidth="1"/>
    <col min="9998" max="10237" width="9.140625" style="103"/>
    <col min="10238" max="10238" width="22" style="103" customWidth="1"/>
    <col min="10239" max="10239" width="9.85546875" style="103" customWidth="1"/>
    <col min="10240" max="10240" width="11" style="103" bestFit="1" customWidth="1"/>
    <col min="10241" max="10241" width="10" style="103" customWidth="1"/>
    <col min="10242" max="10243" width="9.140625" style="103"/>
    <col min="10244" max="10244" width="12.85546875" style="103" bestFit="1" customWidth="1"/>
    <col min="10245" max="10245" width="9.28515625" style="103" bestFit="1" customWidth="1"/>
    <col min="10246" max="10247" width="13.7109375" style="103" customWidth="1"/>
    <col min="10248" max="10248" width="14.140625" style="103" bestFit="1" customWidth="1"/>
    <col min="10249" max="10249" width="8.85546875" style="103" customWidth="1"/>
    <col min="10250" max="10250" width="12.85546875" style="103" customWidth="1"/>
    <col min="10251" max="10251" width="9.42578125" style="103" customWidth="1"/>
    <col min="10252" max="10252" width="9.140625" style="103"/>
    <col min="10253" max="10253" width="13.85546875" style="103" bestFit="1" customWidth="1"/>
    <col min="10254" max="10493" width="9.140625" style="103"/>
    <col min="10494" max="10494" width="22" style="103" customWidth="1"/>
    <col min="10495" max="10495" width="9.85546875" style="103" customWidth="1"/>
    <col min="10496" max="10496" width="11" style="103" bestFit="1" customWidth="1"/>
    <col min="10497" max="10497" width="10" style="103" customWidth="1"/>
    <col min="10498" max="10499" width="9.140625" style="103"/>
    <col min="10500" max="10500" width="12.85546875" style="103" bestFit="1" customWidth="1"/>
    <col min="10501" max="10501" width="9.28515625" style="103" bestFit="1" customWidth="1"/>
    <col min="10502" max="10503" width="13.7109375" style="103" customWidth="1"/>
    <col min="10504" max="10504" width="14.140625" style="103" bestFit="1" customWidth="1"/>
    <col min="10505" max="10505" width="8.85546875" style="103" customWidth="1"/>
    <col min="10506" max="10506" width="12.85546875" style="103" customWidth="1"/>
    <col min="10507" max="10507" width="9.42578125" style="103" customWidth="1"/>
    <col min="10508" max="10508" width="9.140625" style="103"/>
    <col min="10509" max="10509" width="13.85546875" style="103" bestFit="1" customWidth="1"/>
    <col min="10510" max="10749" width="9.140625" style="103"/>
    <col min="10750" max="10750" width="22" style="103" customWidth="1"/>
    <col min="10751" max="10751" width="9.85546875" style="103" customWidth="1"/>
    <col min="10752" max="10752" width="11" style="103" bestFit="1" customWidth="1"/>
    <col min="10753" max="10753" width="10" style="103" customWidth="1"/>
    <col min="10754" max="10755" width="9.140625" style="103"/>
    <col min="10756" max="10756" width="12.85546875" style="103" bestFit="1" customWidth="1"/>
    <col min="10757" max="10757" width="9.28515625" style="103" bestFit="1" customWidth="1"/>
    <col min="10758" max="10759" width="13.7109375" style="103" customWidth="1"/>
    <col min="10760" max="10760" width="14.140625" style="103" bestFit="1" customWidth="1"/>
    <col min="10761" max="10761" width="8.85546875" style="103" customWidth="1"/>
    <col min="10762" max="10762" width="12.85546875" style="103" customWidth="1"/>
    <col min="10763" max="10763" width="9.42578125" style="103" customWidth="1"/>
    <col min="10764" max="10764" width="9.140625" style="103"/>
    <col min="10765" max="10765" width="13.85546875" style="103" bestFit="1" customWidth="1"/>
    <col min="10766" max="11005" width="9.140625" style="103"/>
    <col min="11006" max="11006" width="22" style="103" customWidth="1"/>
    <col min="11007" max="11007" width="9.85546875" style="103" customWidth="1"/>
    <col min="11008" max="11008" width="11" style="103" bestFit="1" customWidth="1"/>
    <col min="11009" max="11009" width="10" style="103" customWidth="1"/>
    <col min="11010" max="11011" width="9.140625" style="103"/>
    <col min="11012" max="11012" width="12.85546875" style="103" bestFit="1" customWidth="1"/>
    <col min="11013" max="11013" width="9.28515625" style="103" bestFit="1" customWidth="1"/>
    <col min="11014" max="11015" width="13.7109375" style="103" customWidth="1"/>
    <col min="11016" max="11016" width="14.140625" style="103" bestFit="1" customWidth="1"/>
    <col min="11017" max="11017" width="8.85546875" style="103" customWidth="1"/>
    <col min="11018" max="11018" width="12.85546875" style="103" customWidth="1"/>
    <col min="11019" max="11019" width="9.42578125" style="103" customWidth="1"/>
    <col min="11020" max="11020" width="9.140625" style="103"/>
    <col min="11021" max="11021" width="13.85546875" style="103" bestFit="1" customWidth="1"/>
    <col min="11022" max="11261" width="9.140625" style="103"/>
    <col min="11262" max="11262" width="22" style="103" customWidth="1"/>
    <col min="11263" max="11263" width="9.85546875" style="103" customWidth="1"/>
    <col min="11264" max="11264" width="11" style="103" bestFit="1" customWidth="1"/>
    <col min="11265" max="11265" width="10" style="103" customWidth="1"/>
    <col min="11266" max="11267" width="9.140625" style="103"/>
    <col min="11268" max="11268" width="12.85546875" style="103" bestFit="1" customWidth="1"/>
    <col min="11269" max="11269" width="9.28515625" style="103" bestFit="1" customWidth="1"/>
    <col min="11270" max="11271" width="13.7109375" style="103" customWidth="1"/>
    <col min="11272" max="11272" width="14.140625" style="103" bestFit="1" customWidth="1"/>
    <col min="11273" max="11273" width="8.85546875" style="103" customWidth="1"/>
    <col min="11274" max="11274" width="12.85546875" style="103" customWidth="1"/>
    <col min="11275" max="11275" width="9.42578125" style="103" customWidth="1"/>
    <col min="11276" max="11276" width="9.140625" style="103"/>
    <col min="11277" max="11277" width="13.85546875" style="103" bestFit="1" customWidth="1"/>
    <col min="11278" max="11517" width="9.140625" style="103"/>
    <col min="11518" max="11518" width="22" style="103" customWidth="1"/>
    <col min="11519" max="11519" width="9.85546875" style="103" customWidth="1"/>
    <col min="11520" max="11520" width="11" style="103" bestFit="1" customWidth="1"/>
    <col min="11521" max="11521" width="10" style="103" customWidth="1"/>
    <col min="11522" max="11523" width="9.140625" style="103"/>
    <col min="11524" max="11524" width="12.85546875" style="103" bestFit="1" customWidth="1"/>
    <col min="11525" max="11525" width="9.28515625" style="103" bestFit="1" customWidth="1"/>
    <col min="11526" max="11527" width="13.7109375" style="103" customWidth="1"/>
    <col min="11528" max="11528" width="14.140625" style="103" bestFit="1" customWidth="1"/>
    <col min="11529" max="11529" width="8.85546875" style="103" customWidth="1"/>
    <col min="11530" max="11530" width="12.85546875" style="103" customWidth="1"/>
    <col min="11531" max="11531" width="9.42578125" style="103" customWidth="1"/>
    <col min="11532" max="11532" width="9.140625" style="103"/>
    <col min="11533" max="11533" width="13.85546875" style="103" bestFit="1" customWidth="1"/>
    <col min="11534" max="11773" width="9.140625" style="103"/>
    <col min="11774" max="11774" width="22" style="103" customWidth="1"/>
    <col min="11775" max="11775" width="9.85546875" style="103" customWidth="1"/>
    <col min="11776" max="11776" width="11" style="103" bestFit="1" customWidth="1"/>
    <col min="11777" max="11777" width="10" style="103" customWidth="1"/>
    <col min="11778" max="11779" width="9.140625" style="103"/>
    <col min="11780" max="11780" width="12.85546875" style="103" bestFit="1" customWidth="1"/>
    <col min="11781" max="11781" width="9.28515625" style="103" bestFit="1" customWidth="1"/>
    <col min="11782" max="11783" width="13.7109375" style="103" customWidth="1"/>
    <col min="11784" max="11784" width="14.140625" style="103" bestFit="1" customWidth="1"/>
    <col min="11785" max="11785" width="8.85546875" style="103" customWidth="1"/>
    <col min="11786" max="11786" width="12.85546875" style="103" customWidth="1"/>
    <col min="11787" max="11787" width="9.42578125" style="103" customWidth="1"/>
    <col min="11788" max="11788" width="9.140625" style="103"/>
    <col min="11789" max="11789" width="13.85546875" style="103" bestFit="1" customWidth="1"/>
    <col min="11790" max="12029" width="9.140625" style="103"/>
    <col min="12030" max="12030" width="22" style="103" customWidth="1"/>
    <col min="12031" max="12031" width="9.85546875" style="103" customWidth="1"/>
    <col min="12032" max="12032" width="11" style="103" bestFit="1" customWidth="1"/>
    <col min="12033" max="12033" width="10" style="103" customWidth="1"/>
    <col min="12034" max="12035" width="9.140625" style="103"/>
    <col min="12036" max="12036" width="12.85546875" style="103" bestFit="1" customWidth="1"/>
    <col min="12037" max="12037" width="9.28515625" style="103" bestFit="1" customWidth="1"/>
    <col min="12038" max="12039" width="13.7109375" style="103" customWidth="1"/>
    <col min="12040" max="12040" width="14.140625" style="103" bestFit="1" customWidth="1"/>
    <col min="12041" max="12041" width="8.85546875" style="103" customWidth="1"/>
    <col min="12042" max="12042" width="12.85546875" style="103" customWidth="1"/>
    <col min="12043" max="12043" width="9.42578125" style="103" customWidth="1"/>
    <col min="12044" max="12044" width="9.140625" style="103"/>
    <col min="12045" max="12045" width="13.85546875" style="103" bestFit="1" customWidth="1"/>
    <col min="12046" max="12285" width="9.140625" style="103"/>
    <col min="12286" max="12286" width="22" style="103" customWidth="1"/>
    <col min="12287" max="12287" width="9.85546875" style="103" customWidth="1"/>
    <col min="12288" max="12288" width="11" style="103" bestFit="1" customWidth="1"/>
    <col min="12289" max="12289" width="10" style="103" customWidth="1"/>
    <col min="12290" max="12291" width="9.140625" style="103"/>
    <col min="12292" max="12292" width="12.85546875" style="103" bestFit="1" customWidth="1"/>
    <col min="12293" max="12293" width="9.28515625" style="103" bestFit="1" customWidth="1"/>
    <col min="12294" max="12295" width="13.7109375" style="103" customWidth="1"/>
    <col min="12296" max="12296" width="14.140625" style="103" bestFit="1" customWidth="1"/>
    <col min="12297" max="12297" width="8.85546875" style="103" customWidth="1"/>
    <col min="12298" max="12298" width="12.85546875" style="103" customWidth="1"/>
    <col min="12299" max="12299" width="9.42578125" style="103" customWidth="1"/>
    <col min="12300" max="12300" width="9.140625" style="103"/>
    <col min="12301" max="12301" width="13.85546875" style="103" bestFit="1" customWidth="1"/>
    <col min="12302" max="12541" width="9.140625" style="103"/>
    <col min="12542" max="12542" width="22" style="103" customWidth="1"/>
    <col min="12543" max="12543" width="9.85546875" style="103" customWidth="1"/>
    <col min="12544" max="12544" width="11" style="103" bestFit="1" customWidth="1"/>
    <col min="12545" max="12545" width="10" style="103" customWidth="1"/>
    <col min="12546" max="12547" width="9.140625" style="103"/>
    <col min="12548" max="12548" width="12.85546875" style="103" bestFit="1" customWidth="1"/>
    <col min="12549" max="12549" width="9.28515625" style="103" bestFit="1" customWidth="1"/>
    <col min="12550" max="12551" width="13.7109375" style="103" customWidth="1"/>
    <col min="12552" max="12552" width="14.140625" style="103" bestFit="1" customWidth="1"/>
    <col min="12553" max="12553" width="8.85546875" style="103" customWidth="1"/>
    <col min="12554" max="12554" width="12.85546875" style="103" customWidth="1"/>
    <col min="12555" max="12555" width="9.42578125" style="103" customWidth="1"/>
    <col min="12556" max="12556" width="9.140625" style="103"/>
    <col min="12557" max="12557" width="13.85546875" style="103" bestFit="1" customWidth="1"/>
    <col min="12558" max="12797" width="9.140625" style="103"/>
    <col min="12798" max="12798" width="22" style="103" customWidth="1"/>
    <col min="12799" max="12799" width="9.85546875" style="103" customWidth="1"/>
    <col min="12800" max="12800" width="11" style="103" bestFit="1" customWidth="1"/>
    <col min="12801" max="12801" width="10" style="103" customWidth="1"/>
    <col min="12802" max="12803" width="9.140625" style="103"/>
    <col min="12804" max="12804" width="12.85546875" style="103" bestFit="1" customWidth="1"/>
    <col min="12805" max="12805" width="9.28515625" style="103" bestFit="1" customWidth="1"/>
    <col min="12806" max="12807" width="13.7109375" style="103" customWidth="1"/>
    <col min="12808" max="12808" width="14.140625" style="103" bestFit="1" customWidth="1"/>
    <col min="12809" max="12809" width="8.85546875" style="103" customWidth="1"/>
    <col min="12810" max="12810" width="12.85546875" style="103" customWidth="1"/>
    <col min="12811" max="12811" width="9.42578125" style="103" customWidth="1"/>
    <col min="12812" max="12812" width="9.140625" style="103"/>
    <col min="12813" max="12813" width="13.85546875" style="103" bestFit="1" customWidth="1"/>
    <col min="12814" max="13053" width="9.140625" style="103"/>
    <col min="13054" max="13054" width="22" style="103" customWidth="1"/>
    <col min="13055" max="13055" width="9.85546875" style="103" customWidth="1"/>
    <col min="13056" max="13056" width="11" style="103" bestFit="1" customWidth="1"/>
    <col min="13057" max="13057" width="10" style="103" customWidth="1"/>
    <col min="13058" max="13059" width="9.140625" style="103"/>
    <col min="13060" max="13060" width="12.85546875" style="103" bestFit="1" customWidth="1"/>
    <col min="13061" max="13061" width="9.28515625" style="103" bestFit="1" customWidth="1"/>
    <col min="13062" max="13063" width="13.7109375" style="103" customWidth="1"/>
    <col min="13064" max="13064" width="14.140625" style="103" bestFit="1" customWidth="1"/>
    <col min="13065" max="13065" width="8.85546875" style="103" customWidth="1"/>
    <col min="13066" max="13066" width="12.85546875" style="103" customWidth="1"/>
    <col min="13067" max="13067" width="9.42578125" style="103" customWidth="1"/>
    <col min="13068" max="13068" width="9.140625" style="103"/>
    <col min="13069" max="13069" width="13.85546875" style="103" bestFit="1" customWidth="1"/>
    <col min="13070" max="13309" width="9.140625" style="103"/>
    <col min="13310" max="13310" width="22" style="103" customWidth="1"/>
    <col min="13311" max="13311" width="9.85546875" style="103" customWidth="1"/>
    <col min="13312" max="13312" width="11" style="103" bestFit="1" customWidth="1"/>
    <col min="13313" max="13313" width="10" style="103" customWidth="1"/>
    <col min="13314" max="13315" width="9.140625" style="103"/>
    <col min="13316" max="13316" width="12.85546875" style="103" bestFit="1" customWidth="1"/>
    <col min="13317" max="13317" width="9.28515625" style="103" bestFit="1" customWidth="1"/>
    <col min="13318" max="13319" width="13.7109375" style="103" customWidth="1"/>
    <col min="13320" max="13320" width="14.140625" style="103" bestFit="1" customWidth="1"/>
    <col min="13321" max="13321" width="8.85546875" style="103" customWidth="1"/>
    <col min="13322" max="13322" width="12.85546875" style="103" customWidth="1"/>
    <col min="13323" max="13323" width="9.42578125" style="103" customWidth="1"/>
    <col min="13324" max="13324" width="9.140625" style="103"/>
    <col min="13325" max="13325" width="13.85546875" style="103" bestFit="1" customWidth="1"/>
    <col min="13326" max="13565" width="9.140625" style="103"/>
    <col min="13566" max="13566" width="22" style="103" customWidth="1"/>
    <col min="13567" max="13567" width="9.85546875" style="103" customWidth="1"/>
    <col min="13568" max="13568" width="11" style="103" bestFit="1" customWidth="1"/>
    <col min="13569" max="13569" width="10" style="103" customWidth="1"/>
    <col min="13570" max="13571" width="9.140625" style="103"/>
    <col min="13572" max="13572" width="12.85546875" style="103" bestFit="1" customWidth="1"/>
    <col min="13573" max="13573" width="9.28515625" style="103" bestFit="1" customWidth="1"/>
    <col min="13574" max="13575" width="13.7109375" style="103" customWidth="1"/>
    <col min="13576" max="13576" width="14.140625" style="103" bestFit="1" customWidth="1"/>
    <col min="13577" max="13577" width="8.85546875" style="103" customWidth="1"/>
    <col min="13578" max="13578" width="12.85546875" style="103" customWidth="1"/>
    <col min="13579" max="13579" width="9.42578125" style="103" customWidth="1"/>
    <col min="13580" max="13580" width="9.140625" style="103"/>
    <col min="13581" max="13581" width="13.85546875" style="103" bestFit="1" customWidth="1"/>
    <col min="13582" max="13821" width="9.140625" style="103"/>
    <col min="13822" max="13822" width="22" style="103" customWidth="1"/>
    <col min="13823" max="13823" width="9.85546875" style="103" customWidth="1"/>
    <col min="13824" max="13824" width="11" style="103" bestFit="1" customWidth="1"/>
    <col min="13825" max="13825" width="10" style="103" customWidth="1"/>
    <col min="13826" max="13827" width="9.140625" style="103"/>
    <col min="13828" max="13828" width="12.85546875" style="103" bestFit="1" customWidth="1"/>
    <col min="13829" max="13829" width="9.28515625" style="103" bestFit="1" customWidth="1"/>
    <col min="13830" max="13831" width="13.7109375" style="103" customWidth="1"/>
    <col min="13832" max="13832" width="14.140625" style="103" bestFit="1" customWidth="1"/>
    <col min="13833" max="13833" width="8.85546875" style="103" customWidth="1"/>
    <col min="13834" max="13834" width="12.85546875" style="103" customWidth="1"/>
    <col min="13835" max="13835" width="9.42578125" style="103" customWidth="1"/>
    <col min="13836" max="13836" width="9.140625" style="103"/>
    <col min="13837" max="13837" width="13.85546875" style="103" bestFit="1" customWidth="1"/>
    <col min="13838" max="14077" width="9.140625" style="103"/>
    <col min="14078" max="14078" width="22" style="103" customWidth="1"/>
    <col min="14079" max="14079" width="9.85546875" style="103" customWidth="1"/>
    <col min="14080" max="14080" width="11" style="103" bestFit="1" customWidth="1"/>
    <col min="14081" max="14081" width="10" style="103" customWidth="1"/>
    <col min="14082" max="14083" width="9.140625" style="103"/>
    <col min="14084" max="14084" width="12.85546875" style="103" bestFit="1" customWidth="1"/>
    <col min="14085" max="14085" width="9.28515625" style="103" bestFit="1" customWidth="1"/>
    <col min="14086" max="14087" width="13.7109375" style="103" customWidth="1"/>
    <col min="14088" max="14088" width="14.140625" style="103" bestFit="1" customWidth="1"/>
    <col min="14089" max="14089" width="8.85546875" style="103" customWidth="1"/>
    <col min="14090" max="14090" width="12.85546875" style="103" customWidth="1"/>
    <col min="14091" max="14091" width="9.42578125" style="103" customWidth="1"/>
    <col min="14092" max="14092" width="9.140625" style="103"/>
    <col min="14093" max="14093" width="13.85546875" style="103" bestFit="1" customWidth="1"/>
    <col min="14094" max="14333" width="9.140625" style="103"/>
    <col min="14334" max="14334" width="22" style="103" customWidth="1"/>
    <col min="14335" max="14335" width="9.85546875" style="103" customWidth="1"/>
    <col min="14336" max="14336" width="11" style="103" bestFit="1" customWidth="1"/>
    <col min="14337" max="14337" width="10" style="103" customWidth="1"/>
    <col min="14338" max="14339" width="9.140625" style="103"/>
    <col min="14340" max="14340" width="12.85546875" style="103" bestFit="1" customWidth="1"/>
    <col min="14341" max="14341" width="9.28515625" style="103" bestFit="1" customWidth="1"/>
    <col min="14342" max="14343" width="13.7109375" style="103" customWidth="1"/>
    <col min="14344" max="14344" width="14.140625" style="103" bestFit="1" customWidth="1"/>
    <col min="14345" max="14345" width="8.85546875" style="103" customWidth="1"/>
    <col min="14346" max="14346" width="12.85546875" style="103" customWidth="1"/>
    <col min="14347" max="14347" width="9.42578125" style="103" customWidth="1"/>
    <col min="14348" max="14348" width="9.140625" style="103"/>
    <col min="14349" max="14349" width="13.85546875" style="103" bestFit="1" customWidth="1"/>
    <col min="14350" max="14589" width="9.140625" style="103"/>
    <col min="14590" max="14590" width="22" style="103" customWidth="1"/>
    <col min="14591" max="14591" width="9.85546875" style="103" customWidth="1"/>
    <col min="14592" max="14592" width="11" style="103" bestFit="1" customWidth="1"/>
    <col min="14593" max="14593" width="10" style="103" customWidth="1"/>
    <col min="14594" max="14595" width="9.140625" style="103"/>
    <col min="14596" max="14596" width="12.85546875" style="103" bestFit="1" customWidth="1"/>
    <col min="14597" max="14597" width="9.28515625" style="103" bestFit="1" customWidth="1"/>
    <col min="14598" max="14599" width="13.7109375" style="103" customWidth="1"/>
    <col min="14600" max="14600" width="14.140625" style="103" bestFit="1" customWidth="1"/>
    <col min="14601" max="14601" width="8.85546875" style="103" customWidth="1"/>
    <col min="14602" max="14602" width="12.85546875" style="103" customWidth="1"/>
    <col min="14603" max="14603" width="9.42578125" style="103" customWidth="1"/>
    <col min="14604" max="14604" width="9.140625" style="103"/>
    <col min="14605" max="14605" width="13.85546875" style="103" bestFit="1" customWidth="1"/>
    <col min="14606" max="14845" width="9.140625" style="103"/>
    <col min="14846" max="14846" width="22" style="103" customWidth="1"/>
    <col min="14847" max="14847" width="9.85546875" style="103" customWidth="1"/>
    <col min="14848" max="14848" width="11" style="103" bestFit="1" customWidth="1"/>
    <col min="14849" max="14849" width="10" style="103" customWidth="1"/>
    <col min="14850" max="14851" width="9.140625" style="103"/>
    <col min="14852" max="14852" width="12.85546875" style="103" bestFit="1" customWidth="1"/>
    <col min="14853" max="14853" width="9.28515625" style="103" bestFit="1" customWidth="1"/>
    <col min="14854" max="14855" width="13.7109375" style="103" customWidth="1"/>
    <col min="14856" max="14856" width="14.140625" style="103" bestFit="1" customWidth="1"/>
    <col min="14857" max="14857" width="8.85546875" style="103" customWidth="1"/>
    <col min="14858" max="14858" width="12.85546875" style="103" customWidth="1"/>
    <col min="14859" max="14859" width="9.42578125" style="103" customWidth="1"/>
    <col min="14860" max="14860" width="9.140625" style="103"/>
    <col min="14861" max="14861" width="13.85546875" style="103" bestFit="1" customWidth="1"/>
    <col min="14862" max="15101" width="9.140625" style="103"/>
    <col min="15102" max="15102" width="22" style="103" customWidth="1"/>
    <col min="15103" max="15103" width="9.85546875" style="103" customWidth="1"/>
    <col min="15104" max="15104" width="11" style="103" bestFit="1" customWidth="1"/>
    <col min="15105" max="15105" width="10" style="103" customWidth="1"/>
    <col min="15106" max="15107" width="9.140625" style="103"/>
    <col min="15108" max="15108" width="12.85546875" style="103" bestFit="1" customWidth="1"/>
    <col min="15109" max="15109" width="9.28515625" style="103" bestFit="1" customWidth="1"/>
    <col min="15110" max="15111" width="13.7109375" style="103" customWidth="1"/>
    <col min="15112" max="15112" width="14.140625" style="103" bestFit="1" customWidth="1"/>
    <col min="15113" max="15113" width="8.85546875" style="103" customWidth="1"/>
    <col min="15114" max="15114" width="12.85546875" style="103" customWidth="1"/>
    <col min="15115" max="15115" width="9.42578125" style="103" customWidth="1"/>
    <col min="15116" max="15116" width="9.140625" style="103"/>
    <col min="15117" max="15117" width="13.85546875" style="103" bestFit="1" customWidth="1"/>
    <col min="15118" max="15357" width="9.140625" style="103"/>
    <col min="15358" max="15358" width="22" style="103" customWidth="1"/>
    <col min="15359" max="15359" width="9.85546875" style="103" customWidth="1"/>
    <col min="15360" max="15360" width="11" style="103" bestFit="1" customWidth="1"/>
    <col min="15361" max="15361" width="10" style="103" customWidth="1"/>
    <col min="15362" max="15363" width="9.140625" style="103"/>
    <col min="15364" max="15364" width="12.85546875" style="103" bestFit="1" customWidth="1"/>
    <col min="15365" max="15365" width="9.28515625" style="103" bestFit="1" customWidth="1"/>
    <col min="15366" max="15367" width="13.7109375" style="103" customWidth="1"/>
    <col min="15368" max="15368" width="14.140625" style="103" bestFit="1" customWidth="1"/>
    <col min="15369" max="15369" width="8.85546875" style="103" customWidth="1"/>
    <col min="15370" max="15370" width="12.85546875" style="103" customWidth="1"/>
    <col min="15371" max="15371" width="9.42578125" style="103" customWidth="1"/>
    <col min="15372" max="15372" width="9.140625" style="103"/>
    <col min="15373" max="15373" width="13.85546875" style="103" bestFit="1" customWidth="1"/>
    <col min="15374" max="15613" width="9.140625" style="103"/>
    <col min="15614" max="15614" width="22" style="103" customWidth="1"/>
    <col min="15615" max="15615" width="9.85546875" style="103" customWidth="1"/>
    <col min="15616" max="15616" width="11" style="103" bestFit="1" customWidth="1"/>
    <col min="15617" max="15617" width="10" style="103" customWidth="1"/>
    <col min="15618" max="15619" width="9.140625" style="103"/>
    <col min="15620" max="15620" width="12.85546875" style="103" bestFit="1" customWidth="1"/>
    <col min="15621" max="15621" width="9.28515625" style="103" bestFit="1" customWidth="1"/>
    <col min="15622" max="15623" width="13.7109375" style="103" customWidth="1"/>
    <col min="15624" max="15624" width="14.140625" style="103" bestFit="1" customWidth="1"/>
    <col min="15625" max="15625" width="8.85546875" style="103" customWidth="1"/>
    <col min="15626" max="15626" width="12.85546875" style="103" customWidth="1"/>
    <col min="15627" max="15627" width="9.42578125" style="103" customWidth="1"/>
    <col min="15628" max="15628" width="9.140625" style="103"/>
    <col min="15629" max="15629" width="13.85546875" style="103" bestFit="1" customWidth="1"/>
    <col min="15630" max="15869" width="9.140625" style="103"/>
    <col min="15870" max="15870" width="22" style="103" customWidth="1"/>
    <col min="15871" max="15871" width="9.85546875" style="103" customWidth="1"/>
    <col min="15872" max="15872" width="11" style="103" bestFit="1" customWidth="1"/>
    <col min="15873" max="15873" width="10" style="103" customWidth="1"/>
    <col min="15874" max="15875" width="9.140625" style="103"/>
    <col min="15876" max="15876" width="12.85546875" style="103" bestFit="1" customWidth="1"/>
    <col min="15877" max="15877" width="9.28515625" style="103" bestFit="1" customWidth="1"/>
    <col min="15878" max="15879" width="13.7109375" style="103" customWidth="1"/>
    <col min="15880" max="15880" width="14.140625" style="103" bestFit="1" customWidth="1"/>
    <col min="15881" max="15881" width="8.85546875" style="103" customWidth="1"/>
    <col min="15882" max="15882" width="12.85546875" style="103" customWidth="1"/>
    <col min="15883" max="15883" width="9.42578125" style="103" customWidth="1"/>
    <col min="15884" max="15884" width="9.140625" style="103"/>
    <col min="15885" max="15885" width="13.85546875" style="103" bestFit="1" customWidth="1"/>
    <col min="15886" max="16125" width="9.140625" style="103"/>
    <col min="16126" max="16126" width="22" style="103" customWidth="1"/>
    <col min="16127" max="16127" width="9.85546875" style="103" customWidth="1"/>
    <col min="16128" max="16128" width="11" style="103" bestFit="1" customWidth="1"/>
    <col min="16129" max="16129" width="10" style="103" customWidth="1"/>
    <col min="16130" max="16131" width="9.140625" style="103"/>
    <col min="16132" max="16132" width="12.85546875" style="103" bestFit="1" customWidth="1"/>
    <col min="16133" max="16133" width="9.28515625" style="103" bestFit="1" customWidth="1"/>
    <col min="16134" max="16135" width="13.7109375" style="103" customWidth="1"/>
    <col min="16136" max="16136" width="14.140625" style="103" bestFit="1" customWidth="1"/>
    <col min="16137" max="16137" width="8.85546875" style="103" customWidth="1"/>
    <col min="16138" max="16138" width="12.85546875" style="103" customWidth="1"/>
    <col min="16139" max="16139" width="9.42578125" style="103" customWidth="1"/>
    <col min="16140" max="16140" width="9.140625" style="103"/>
    <col min="16141" max="16141" width="13.85546875" style="103" bestFit="1" customWidth="1"/>
    <col min="16142" max="16384" width="9.140625" style="103"/>
  </cols>
  <sheetData>
    <row r="1" spans="1:13" s="99" customFormat="1" ht="12.75" x14ac:dyDescent="0.2">
      <c r="A1" s="364" t="s">
        <v>146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99" customFormat="1" ht="12.75" x14ac:dyDescent="0.2">
      <c r="A2" s="364" t="s">
        <v>138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3" s="99" customFormat="1" ht="12.75" x14ac:dyDescent="0.2">
      <c r="A3" s="364" t="s">
        <v>115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</row>
    <row r="4" spans="1:13" s="101" customFormat="1" ht="12.75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203"/>
    </row>
    <row r="5" spans="1:13" s="99" customFormat="1" ht="12.75" x14ac:dyDescent="0.2">
      <c r="A5" s="355" t="s">
        <v>1</v>
      </c>
      <c r="B5" s="359" t="s">
        <v>189</v>
      </c>
      <c r="C5" s="360"/>
      <c r="D5" s="360"/>
      <c r="E5" s="360"/>
      <c r="F5" s="360"/>
      <c r="G5" s="360"/>
      <c r="H5" s="360"/>
      <c r="I5" s="360"/>
      <c r="J5" s="361"/>
      <c r="K5" s="359" t="s">
        <v>116</v>
      </c>
      <c r="L5" s="360"/>
      <c r="M5" s="361"/>
    </row>
    <row r="6" spans="1:13" s="102" customFormat="1" ht="12.75" x14ac:dyDescent="0.2">
      <c r="A6" s="365"/>
      <c r="B6" s="204" t="s">
        <v>117</v>
      </c>
      <c r="C6" s="204" t="s">
        <v>118</v>
      </c>
      <c r="D6" s="204" t="s">
        <v>119</v>
      </c>
      <c r="E6" s="204" t="s">
        <v>120</v>
      </c>
      <c r="F6" s="362" t="s">
        <v>12</v>
      </c>
      <c r="G6" s="362" t="s">
        <v>13</v>
      </c>
      <c r="H6" s="362" t="s">
        <v>14</v>
      </c>
      <c r="I6" s="362" t="s">
        <v>66</v>
      </c>
      <c r="J6" s="362" t="s">
        <v>121</v>
      </c>
      <c r="K6" s="362" t="s">
        <v>68</v>
      </c>
      <c r="L6" s="362" t="s">
        <v>4</v>
      </c>
      <c r="M6" s="366" t="s">
        <v>5</v>
      </c>
    </row>
    <row r="7" spans="1:13" ht="12.75" x14ac:dyDescent="0.2">
      <c r="A7" s="356"/>
      <c r="B7" s="232">
        <v>82.45</v>
      </c>
      <c r="C7" s="232">
        <v>123.48</v>
      </c>
      <c r="D7" s="232">
        <v>161.91</v>
      </c>
      <c r="E7" s="232">
        <v>39.06</v>
      </c>
      <c r="F7" s="363"/>
      <c r="G7" s="363"/>
      <c r="H7" s="363"/>
      <c r="I7" s="363"/>
      <c r="J7" s="363"/>
      <c r="K7" s="363"/>
      <c r="L7" s="363"/>
      <c r="M7" s="367"/>
    </row>
    <row r="8" spans="1:13" ht="12.75" x14ac:dyDescent="0.2">
      <c r="A8" s="245"/>
      <c r="B8" s="105"/>
      <c r="C8" s="105"/>
      <c r="D8" s="105"/>
      <c r="E8" s="105"/>
      <c r="F8" s="246"/>
      <c r="G8" s="247"/>
      <c r="H8" s="247"/>
      <c r="I8" s="247"/>
      <c r="J8" s="248"/>
      <c r="K8" s="249"/>
      <c r="L8" s="246"/>
      <c r="M8" s="250"/>
    </row>
    <row r="9" spans="1:13" ht="38.25" x14ac:dyDescent="0.2">
      <c r="A9" s="104" t="s">
        <v>85</v>
      </c>
      <c r="B9" s="105">
        <v>16</v>
      </c>
      <c r="C9" s="105">
        <v>9</v>
      </c>
      <c r="D9" s="105">
        <v>10</v>
      </c>
      <c r="E9" s="105">
        <v>1</v>
      </c>
      <c r="F9" s="105">
        <f t="shared" ref="F9:F21" si="0">B9+C9+D9+E9</f>
        <v>36</v>
      </c>
      <c r="G9" s="106">
        <f t="shared" ref="G9:G21" si="1">(B9*$B$7)+(C9*$C$7)+(D9*$D$7)+(E9*$E$7)</f>
        <v>4088.68</v>
      </c>
      <c r="H9" s="106">
        <v>0</v>
      </c>
      <c r="I9" s="106">
        <v>0</v>
      </c>
      <c r="J9" s="108">
        <v>1</v>
      </c>
      <c r="K9" s="110">
        <v>1</v>
      </c>
      <c r="L9" s="105">
        <f t="shared" ref="L9:L21" si="2">F9*J9*K9</f>
        <v>36</v>
      </c>
      <c r="M9" s="109">
        <f t="shared" ref="M9:M21" si="3">(G9+H9+I9)*J9*K9</f>
        <v>4088.68</v>
      </c>
    </row>
    <row r="10" spans="1:13" ht="25.5" x14ac:dyDescent="0.2">
      <c r="A10" s="111" t="s">
        <v>82</v>
      </c>
      <c r="B10" s="105">
        <v>5</v>
      </c>
      <c r="C10" s="105">
        <v>1</v>
      </c>
      <c r="D10" s="105">
        <v>0</v>
      </c>
      <c r="E10" s="105">
        <v>1</v>
      </c>
      <c r="F10" s="105">
        <f t="shared" si="0"/>
        <v>7</v>
      </c>
      <c r="G10" s="106">
        <f t="shared" si="1"/>
        <v>574.79</v>
      </c>
      <c r="H10" s="106">
        <v>0</v>
      </c>
      <c r="I10" s="106">
        <v>0</v>
      </c>
      <c r="J10" s="108">
        <v>1</v>
      </c>
      <c r="K10" s="110">
        <v>1</v>
      </c>
      <c r="L10" s="105">
        <f t="shared" si="2"/>
        <v>7</v>
      </c>
      <c r="M10" s="109">
        <f t="shared" si="3"/>
        <v>574.79</v>
      </c>
    </row>
    <row r="11" spans="1:13" ht="12.75" x14ac:dyDescent="0.2">
      <c r="A11" s="111" t="s">
        <v>122</v>
      </c>
      <c r="B11" s="105">
        <v>0</v>
      </c>
      <c r="C11" s="105">
        <v>0</v>
      </c>
      <c r="D11" s="105">
        <v>0</v>
      </c>
      <c r="E11" s="105">
        <v>0</v>
      </c>
      <c r="F11" s="105">
        <f t="shared" si="0"/>
        <v>0</v>
      </c>
      <c r="G11" s="106">
        <f t="shared" si="1"/>
        <v>0</v>
      </c>
      <c r="H11" s="106">
        <v>0</v>
      </c>
      <c r="I11" s="107">
        <f>32700/3</f>
        <v>10900</v>
      </c>
      <c r="J11" s="108">
        <v>2</v>
      </c>
      <c r="K11" s="110">
        <v>1</v>
      </c>
      <c r="L11" s="105">
        <f t="shared" si="2"/>
        <v>0</v>
      </c>
      <c r="M11" s="109">
        <f t="shared" si="3"/>
        <v>21800</v>
      </c>
    </row>
    <row r="12" spans="1:13" ht="12.75" x14ac:dyDescent="0.2">
      <c r="A12" s="111" t="s">
        <v>123</v>
      </c>
      <c r="B12" s="105">
        <v>0</v>
      </c>
      <c r="C12" s="105">
        <v>0</v>
      </c>
      <c r="D12" s="105">
        <v>0</v>
      </c>
      <c r="E12" s="105">
        <v>0</v>
      </c>
      <c r="F12" s="105">
        <f t="shared" si="0"/>
        <v>0</v>
      </c>
      <c r="G12" s="106">
        <f t="shared" si="1"/>
        <v>0</v>
      </c>
      <c r="H12" s="106">
        <v>0</v>
      </c>
      <c r="I12" s="107">
        <f>2500/3</f>
        <v>833.33333333333337</v>
      </c>
      <c r="J12" s="108">
        <v>2</v>
      </c>
      <c r="K12" s="110">
        <v>1</v>
      </c>
      <c r="L12" s="105">
        <f t="shared" si="2"/>
        <v>0</v>
      </c>
      <c r="M12" s="109">
        <f t="shared" si="3"/>
        <v>1666.6666666666667</v>
      </c>
    </row>
    <row r="13" spans="1:13" ht="25.5" x14ac:dyDescent="0.2">
      <c r="A13" s="111" t="s">
        <v>124</v>
      </c>
      <c r="B13" s="105">
        <v>0</v>
      </c>
      <c r="C13" s="105">
        <v>0</v>
      </c>
      <c r="D13" s="105">
        <v>0</v>
      </c>
      <c r="E13" s="105">
        <v>0</v>
      </c>
      <c r="F13" s="105">
        <f t="shared" si="0"/>
        <v>0</v>
      </c>
      <c r="G13" s="106">
        <f t="shared" si="1"/>
        <v>0</v>
      </c>
      <c r="H13" s="106">
        <v>0</v>
      </c>
      <c r="I13" s="107">
        <f>250/3</f>
        <v>83.333333333333329</v>
      </c>
      <c r="J13" s="108">
        <v>2</v>
      </c>
      <c r="K13" s="110">
        <v>1</v>
      </c>
      <c r="L13" s="105">
        <f t="shared" si="2"/>
        <v>0</v>
      </c>
      <c r="M13" s="109">
        <f t="shared" si="3"/>
        <v>166.66666666666666</v>
      </c>
    </row>
    <row r="14" spans="1:13" ht="25.5" x14ac:dyDescent="0.2">
      <c r="A14" s="111" t="s">
        <v>125</v>
      </c>
      <c r="B14" s="105">
        <v>0</v>
      </c>
      <c r="C14" s="105">
        <v>0</v>
      </c>
      <c r="D14" s="105">
        <v>0</v>
      </c>
      <c r="E14" s="105">
        <v>0</v>
      </c>
      <c r="F14" s="105">
        <f>B14+C14+D14+E14</f>
        <v>0</v>
      </c>
      <c r="G14" s="106">
        <f t="shared" si="1"/>
        <v>0</v>
      </c>
      <c r="H14" s="106">
        <v>1500</v>
      </c>
      <c r="I14" s="107">
        <v>0</v>
      </c>
      <c r="J14" s="108">
        <v>2</v>
      </c>
      <c r="K14" s="110">
        <v>1</v>
      </c>
      <c r="L14" s="105">
        <f t="shared" si="2"/>
        <v>0</v>
      </c>
      <c r="M14" s="109">
        <f t="shared" si="3"/>
        <v>3000</v>
      </c>
    </row>
    <row r="15" spans="1:13" ht="38.25" x14ac:dyDescent="0.2">
      <c r="A15" s="111" t="s">
        <v>126</v>
      </c>
      <c r="B15" s="105">
        <v>0</v>
      </c>
      <c r="C15" s="105">
        <v>0</v>
      </c>
      <c r="D15" s="105">
        <v>0</v>
      </c>
      <c r="E15" s="105">
        <v>0</v>
      </c>
      <c r="F15" s="105">
        <f>B15+C15+D15+E15</f>
        <v>0</v>
      </c>
      <c r="G15" s="106">
        <f t="shared" si="1"/>
        <v>0</v>
      </c>
      <c r="H15" s="106">
        <v>183</v>
      </c>
      <c r="I15" s="107">
        <v>0</v>
      </c>
      <c r="J15" s="108">
        <v>2</v>
      </c>
      <c r="K15" s="110">
        <v>1</v>
      </c>
      <c r="L15" s="105">
        <f t="shared" si="2"/>
        <v>0</v>
      </c>
      <c r="M15" s="109">
        <f t="shared" si="3"/>
        <v>366</v>
      </c>
    </row>
    <row r="16" spans="1:13" ht="25.5" x14ac:dyDescent="0.2">
      <c r="A16" s="111" t="s">
        <v>127</v>
      </c>
      <c r="B16" s="105">
        <v>2</v>
      </c>
      <c r="C16" s="105">
        <v>0</v>
      </c>
      <c r="D16" s="105">
        <v>0</v>
      </c>
      <c r="E16" s="105">
        <v>0</v>
      </c>
      <c r="F16" s="105">
        <f>B16+C16+D16+E16</f>
        <v>2</v>
      </c>
      <c r="G16" s="106">
        <f>(B16*$B$7)+(C16*$C$7)+(D16*$D$7)+(E16*$E$7)</f>
        <v>164.9</v>
      </c>
      <c r="H16" s="106">
        <v>0</v>
      </c>
      <c r="I16" s="107">
        <v>0</v>
      </c>
      <c r="J16" s="108">
        <v>2</v>
      </c>
      <c r="K16" s="110">
        <v>1</v>
      </c>
      <c r="L16" s="105">
        <f t="shared" si="2"/>
        <v>4</v>
      </c>
      <c r="M16" s="109">
        <f t="shared" si="3"/>
        <v>329.8</v>
      </c>
    </row>
    <row r="17" spans="1:14" ht="25.5" x14ac:dyDescent="0.2">
      <c r="A17" s="111" t="s">
        <v>21</v>
      </c>
      <c r="B17" s="105">
        <v>11</v>
      </c>
      <c r="C17" s="105">
        <v>6</v>
      </c>
      <c r="D17" s="105">
        <v>1</v>
      </c>
      <c r="E17" s="105">
        <v>1</v>
      </c>
      <c r="F17" s="105">
        <f t="shared" si="0"/>
        <v>19</v>
      </c>
      <c r="G17" s="106">
        <f t="shared" si="1"/>
        <v>1848.8</v>
      </c>
      <c r="H17" s="106">
        <v>0</v>
      </c>
      <c r="I17" s="106">
        <v>0</v>
      </c>
      <c r="J17" s="108">
        <v>2</v>
      </c>
      <c r="K17" s="110">
        <v>1</v>
      </c>
      <c r="L17" s="105">
        <f t="shared" si="2"/>
        <v>38</v>
      </c>
      <c r="M17" s="109">
        <f t="shared" si="3"/>
        <v>3697.6</v>
      </c>
    </row>
    <row r="18" spans="1:14" ht="25.5" x14ac:dyDescent="0.2">
      <c r="A18" s="111" t="s">
        <v>250</v>
      </c>
      <c r="B18" s="105">
        <v>14</v>
      </c>
      <c r="C18" s="105">
        <v>0.5</v>
      </c>
      <c r="D18" s="105">
        <v>0</v>
      </c>
      <c r="E18" s="105">
        <v>4</v>
      </c>
      <c r="F18" s="105">
        <f t="shared" si="0"/>
        <v>18.5</v>
      </c>
      <c r="G18" s="106">
        <f t="shared" si="1"/>
        <v>1372.28</v>
      </c>
      <c r="H18" s="106">
        <v>0</v>
      </c>
      <c r="I18" s="106">
        <v>4</v>
      </c>
      <c r="J18" s="108">
        <v>2</v>
      </c>
      <c r="K18" s="110">
        <v>1</v>
      </c>
      <c r="L18" s="105">
        <f t="shared" si="2"/>
        <v>37</v>
      </c>
      <c r="M18" s="109">
        <f t="shared" si="3"/>
        <v>2752.56</v>
      </c>
    </row>
    <row r="19" spans="1:14" ht="25.5" x14ac:dyDescent="0.2">
      <c r="A19" s="112" t="s">
        <v>16</v>
      </c>
      <c r="B19" s="105">
        <v>2</v>
      </c>
      <c r="C19" s="105">
        <v>0</v>
      </c>
      <c r="D19" s="105">
        <v>0</v>
      </c>
      <c r="E19" s="105">
        <v>0</v>
      </c>
      <c r="F19" s="105">
        <f t="shared" si="0"/>
        <v>2</v>
      </c>
      <c r="G19" s="106">
        <f t="shared" si="1"/>
        <v>164.9</v>
      </c>
      <c r="H19" s="105">
        <v>0</v>
      </c>
      <c r="I19" s="106">
        <v>4</v>
      </c>
      <c r="J19" s="108">
        <v>1</v>
      </c>
      <c r="K19" s="110">
        <v>1</v>
      </c>
      <c r="L19" s="105">
        <f t="shared" si="2"/>
        <v>2</v>
      </c>
      <c r="M19" s="109">
        <f>(G19+H19+I19)*J19*K19</f>
        <v>168.9</v>
      </c>
    </row>
    <row r="20" spans="1:14" ht="25.5" x14ac:dyDescent="0.2">
      <c r="A20" s="111" t="s">
        <v>6</v>
      </c>
      <c r="B20" s="105">
        <v>7</v>
      </c>
      <c r="C20" s="105">
        <v>5</v>
      </c>
      <c r="D20" s="105">
        <v>1</v>
      </c>
      <c r="E20" s="105">
        <v>2</v>
      </c>
      <c r="F20" s="105">
        <f t="shared" si="0"/>
        <v>15</v>
      </c>
      <c r="G20" s="106">
        <f t="shared" si="1"/>
        <v>1434.58</v>
      </c>
      <c r="H20" s="106">
        <v>0</v>
      </c>
      <c r="I20" s="106">
        <v>6</v>
      </c>
      <c r="J20" s="108">
        <v>1</v>
      </c>
      <c r="K20" s="110">
        <v>1</v>
      </c>
      <c r="L20" s="105">
        <f t="shared" si="2"/>
        <v>15</v>
      </c>
      <c r="M20" s="109">
        <f t="shared" si="3"/>
        <v>1440.58</v>
      </c>
    </row>
    <row r="21" spans="1:14" ht="25.5" x14ac:dyDescent="0.2">
      <c r="A21" s="111" t="s">
        <v>7</v>
      </c>
      <c r="B21" s="105">
        <v>3</v>
      </c>
      <c r="C21" s="105">
        <v>1</v>
      </c>
      <c r="D21" s="105">
        <v>1</v>
      </c>
      <c r="E21" s="105">
        <v>7</v>
      </c>
      <c r="F21" s="105">
        <f t="shared" si="0"/>
        <v>12</v>
      </c>
      <c r="G21" s="106">
        <f t="shared" si="1"/>
        <v>806.16000000000008</v>
      </c>
      <c r="H21" s="106">
        <v>0</v>
      </c>
      <c r="I21" s="106">
        <v>5</v>
      </c>
      <c r="J21" s="108">
        <v>1</v>
      </c>
      <c r="K21" s="110">
        <v>1</v>
      </c>
      <c r="L21" s="105">
        <f t="shared" si="2"/>
        <v>12</v>
      </c>
      <c r="M21" s="109">
        <f t="shared" si="3"/>
        <v>811.16000000000008</v>
      </c>
      <c r="N21" s="334"/>
    </row>
    <row r="22" spans="1:14" ht="25.5" x14ac:dyDescent="0.2">
      <c r="A22" s="233" t="s">
        <v>128</v>
      </c>
      <c r="B22" s="172">
        <f>SUM(B9:B21)</f>
        <v>60</v>
      </c>
      <c r="C22" s="172">
        <f t="shared" ref="C22:I22" si="4">SUM(C9:C21)</f>
        <v>22.5</v>
      </c>
      <c r="D22" s="172">
        <f t="shared" si="4"/>
        <v>13</v>
      </c>
      <c r="E22" s="172">
        <f t="shared" si="4"/>
        <v>16</v>
      </c>
      <c r="F22" s="172">
        <f t="shared" si="4"/>
        <v>111.5</v>
      </c>
      <c r="G22" s="175">
        <f t="shared" si="4"/>
        <v>10455.089999999998</v>
      </c>
      <c r="H22" s="175">
        <f t="shared" si="4"/>
        <v>1683</v>
      </c>
      <c r="I22" s="175">
        <f t="shared" si="4"/>
        <v>11835.666666666668</v>
      </c>
      <c r="J22" s="172" t="s">
        <v>9</v>
      </c>
      <c r="K22" s="172" t="s">
        <v>11</v>
      </c>
      <c r="L22" s="172" t="s">
        <v>11</v>
      </c>
      <c r="M22" s="234" t="s">
        <v>11</v>
      </c>
    </row>
    <row r="23" spans="1:14" ht="12.75" x14ac:dyDescent="0.2">
      <c r="A23" s="233" t="s">
        <v>10</v>
      </c>
      <c r="B23" s="172" t="s">
        <v>11</v>
      </c>
      <c r="C23" s="172" t="s">
        <v>11</v>
      </c>
      <c r="D23" s="172" t="s">
        <v>11</v>
      </c>
      <c r="E23" s="172" t="s">
        <v>11</v>
      </c>
      <c r="F23" s="172" t="s">
        <v>11</v>
      </c>
      <c r="G23" s="175">
        <f>SUMPRODUCT(G9:G21,J9:J21,K9:K21)</f>
        <v>13841.069999999998</v>
      </c>
      <c r="H23" s="175">
        <f>SUMPRODUCT(H9:H21,J9:J21,K9:K21)</f>
        <v>3366</v>
      </c>
      <c r="I23" s="175">
        <f>SUMPRODUCT(I9:I21,J9:J21,K9:K21)</f>
        <v>23656.333333333336</v>
      </c>
      <c r="J23" s="172" t="s">
        <v>9</v>
      </c>
      <c r="K23" s="172">
        <v>1</v>
      </c>
      <c r="L23" s="172">
        <f>SUM(L9:L21)</f>
        <v>151</v>
      </c>
      <c r="M23" s="234">
        <f>SUM(M9:M21)</f>
        <v>40863.403333333343</v>
      </c>
    </row>
    <row r="24" spans="1:14" x14ac:dyDescent="0.2">
      <c r="A24" s="114"/>
      <c r="B24" s="114"/>
      <c r="D24" s="115"/>
      <c r="E24" s="115"/>
      <c r="F24" s="115"/>
      <c r="G24" s="116"/>
      <c r="H24" s="115"/>
      <c r="I24" s="116"/>
      <c r="J24" s="115"/>
      <c r="K24" s="115"/>
      <c r="L24" s="115"/>
      <c r="M24" s="117"/>
    </row>
    <row r="28" spans="1:14" x14ac:dyDescent="0.2">
      <c r="A28" s="118"/>
      <c r="B28" s="119"/>
      <c r="G28" s="120"/>
      <c r="I28" s="121"/>
    </row>
    <row r="30" spans="1:14" ht="15" x14ac:dyDescent="0.2">
      <c r="A30" s="123"/>
      <c r="B30" s="123"/>
    </row>
    <row r="31" spans="1:14" ht="15" x14ac:dyDescent="0.2">
      <c r="A31" s="123"/>
      <c r="B31" s="123"/>
    </row>
    <row r="32" spans="1:14" ht="15" x14ac:dyDescent="0.2">
      <c r="A32" s="123"/>
      <c r="B32" s="124"/>
    </row>
    <row r="33" spans="1:2" ht="15" x14ac:dyDescent="0.2">
      <c r="A33" s="123"/>
      <c r="B33" s="124"/>
    </row>
    <row r="34" spans="1:2" ht="15" x14ac:dyDescent="0.2">
      <c r="A34" s="123"/>
      <c r="B34" s="124"/>
    </row>
    <row r="35" spans="1:2" ht="15" x14ac:dyDescent="0.2">
      <c r="A35" s="123"/>
      <c r="B35" s="124"/>
    </row>
  </sheetData>
  <mergeCells count="14">
    <mergeCell ref="A1:M1"/>
    <mergeCell ref="A2:M2"/>
    <mergeCell ref="A3:M3"/>
    <mergeCell ref="B5:J5"/>
    <mergeCell ref="K5:M5"/>
    <mergeCell ref="A5:A7"/>
    <mergeCell ref="J6:J7"/>
    <mergeCell ref="K6:K7"/>
    <mergeCell ref="L6:L7"/>
    <mergeCell ref="M6:M7"/>
    <mergeCell ref="F6:F7"/>
    <mergeCell ref="G6:G7"/>
    <mergeCell ref="H6:H7"/>
    <mergeCell ref="I6:I7"/>
  </mergeCells>
  <printOptions horizontalCentered="1" verticalCentered="1"/>
  <pageMargins left="0.75" right="0.75" top="1" bottom="1" header="0.5" footer="0.5"/>
  <pageSetup scale="68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A2" sqref="A2:L2"/>
    </sheetView>
  </sheetViews>
  <sheetFormatPr defaultRowHeight="12.75" x14ac:dyDescent="0.2"/>
  <cols>
    <col min="1" max="1" width="21.85546875" style="5" customWidth="1"/>
    <col min="2" max="2" width="10" style="5" customWidth="1"/>
    <col min="3" max="3" width="10.7109375" style="5" bestFit="1" customWidth="1"/>
    <col min="4" max="4" width="10.140625" style="5" customWidth="1"/>
    <col min="5" max="5" width="9.28515625" style="5" bestFit="1" customWidth="1"/>
    <col min="6" max="6" width="11.7109375" style="5" customWidth="1"/>
    <col min="7" max="7" width="12.7109375" style="5" bestFit="1" customWidth="1"/>
    <col min="8" max="9" width="9.42578125" style="5" bestFit="1" customWidth="1"/>
    <col min="10" max="10" width="13.85546875" style="5" bestFit="1" customWidth="1"/>
    <col min="11" max="11" width="9.28515625" style="5" bestFit="1" customWidth="1"/>
    <col min="12" max="12" width="14.140625" style="5" customWidth="1"/>
    <col min="13" max="16384" width="9.140625" style="5"/>
  </cols>
  <sheetData>
    <row r="1" spans="1:13" s="55" customFormat="1" x14ac:dyDescent="0.2"/>
    <row r="2" spans="1:13" s="55" customFormat="1" x14ac:dyDescent="0.2">
      <c r="A2" s="369" t="s">
        <v>184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</row>
    <row r="3" spans="1:13" s="55" customFormat="1" x14ac:dyDescent="0.2">
      <c r="A3" s="369" t="s">
        <v>183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</row>
    <row r="4" spans="1:13" s="55" customForma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x14ac:dyDescent="0.2">
      <c r="A5" s="370" t="s">
        <v>1</v>
      </c>
      <c r="B5" s="368" t="s">
        <v>189</v>
      </c>
      <c r="C5" s="368"/>
      <c r="D5" s="368"/>
      <c r="E5" s="368"/>
      <c r="F5" s="368"/>
      <c r="G5" s="368"/>
      <c r="H5" s="368"/>
      <c r="I5" s="368"/>
      <c r="J5" s="368" t="s">
        <v>74</v>
      </c>
      <c r="K5" s="368"/>
      <c r="L5" s="368"/>
    </row>
    <row r="6" spans="1:13" ht="38.25" x14ac:dyDescent="0.2">
      <c r="A6" s="371"/>
      <c r="B6" s="235" t="s">
        <v>130</v>
      </c>
      <c r="C6" s="235" t="s">
        <v>131</v>
      </c>
      <c r="D6" s="235" t="s">
        <v>132</v>
      </c>
      <c r="E6" s="236" t="s">
        <v>135</v>
      </c>
      <c r="F6" s="236" t="s">
        <v>77</v>
      </c>
      <c r="G6" s="236" t="s">
        <v>2</v>
      </c>
      <c r="H6" s="236" t="s">
        <v>14</v>
      </c>
      <c r="I6" s="236" t="s">
        <v>78</v>
      </c>
      <c r="J6" s="235" t="s">
        <v>68</v>
      </c>
      <c r="K6" s="236" t="s">
        <v>4</v>
      </c>
      <c r="L6" s="236" t="s">
        <v>5</v>
      </c>
    </row>
    <row r="7" spans="1:13" x14ac:dyDescent="0.2">
      <c r="A7" s="251"/>
      <c r="B7" s="59"/>
      <c r="C7" s="59"/>
      <c r="D7" s="59"/>
      <c r="E7" s="252"/>
      <c r="F7" s="59"/>
      <c r="G7" s="19"/>
      <c r="H7" s="26"/>
      <c r="I7" s="26"/>
      <c r="J7" s="59"/>
      <c r="K7" s="18"/>
      <c r="L7" s="19"/>
    </row>
    <row r="8" spans="1:13" ht="51" x14ac:dyDescent="0.2">
      <c r="A8" s="11" t="s">
        <v>87</v>
      </c>
      <c r="B8" s="25">
        <v>55</v>
      </c>
      <c r="C8" s="25">
        <v>2</v>
      </c>
      <c r="D8" s="25">
        <v>2</v>
      </c>
      <c r="E8" s="25">
        <v>0</v>
      </c>
      <c r="F8" s="25">
        <f>B8+C8+D8+E8</f>
        <v>59</v>
      </c>
      <c r="G8" s="19">
        <f>(B8*82.45)+(C8*123.48)+(D8*161.91)+(E8*39.06)</f>
        <v>5105.53</v>
      </c>
      <c r="H8" s="26">
        <v>0</v>
      </c>
      <c r="I8" s="26">
        <v>20</v>
      </c>
      <c r="J8" s="25">
        <v>9</v>
      </c>
      <c r="K8" s="18">
        <f>F8*J8</f>
        <v>531</v>
      </c>
      <c r="L8" s="19">
        <f>(G8+H8+I8)*J8</f>
        <v>46129.77</v>
      </c>
    </row>
    <row r="9" spans="1:13" ht="38.25" x14ac:dyDescent="0.2">
      <c r="A9" s="11" t="s">
        <v>39</v>
      </c>
      <c r="B9" s="25">
        <v>20</v>
      </c>
      <c r="C9" s="25">
        <v>3</v>
      </c>
      <c r="D9" s="25">
        <v>1</v>
      </c>
      <c r="E9" s="25">
        <v>40</v>
      </c>
      <c r="F9" s="25">
        <f>B9+C9+D9+E9</f>
        <v>64</v>
      </c>
      <c r="G9" s="19">
        <f>(B9*82.45)+(C9*123.48)+(D9*161.91)+(E9*39.06)</f>
        <v>3743.75</v>
      </c>
      <c r="H9" s="26">
        <v>0</v>
      </c>
      <c r="I9" s="26">
        <v>50</v>
      </c>
      <c r="J9" s="59">
        <v>9</v>
      </c>
      <c r="K9" s="18">
        <f>F9*J9</f>
        <v>576</v>
      </c>
      <c r="L9" s="19">
        <f>(G9+H9+I9)*J9</f>
        <v>34143.75</v>
      </c>
    </row>
    <row r="10" spans="1:13" ht="25.5" x14ac:dyDescent="0.2">
      <c r="A10" s="11" t="s">
        <v>18</v>
      </c>
      <c r="B10" s="25">
        <v>10</v>
      </c>
      <c r="C10" s="25">
        <v>2</v>
      </c>
      <c r="D10" s="25">
        <v>2</v>
      </c>
      <c r="E10" s="25">
        <v>4</v>
      </c>
      <c r="F10" s="25">
        <f>B10+C10+D10+E10</f>
        <v>18</v>
      </c>
      <c r="G10" s="19">
        <f>(B10*82.45)+(C10*123.48)+(D10*161.91)+(E10*39.06)</f>
        <v>1551.52</v>
      </c>
      <c r="H10" s="26">
        <v>0</v>
      </c>
      <c r="I10" s="26">
        <v>20</v>
      </c>
      <c r="J10" s="59">
        <v>9</v>
      </c>
      <c r="K10" s="18">
        <f>F10*J10</f>
        <v>162</v>
      </c>
      <c r="L10" s="19">
        <f>(G10+H10+I10)*J10</f>
        <v>14143.68</v>
      </c>
    </row>
    <row r="11" spans="1:13" ht="25.5" x14ac:dyDescent="0.2">
      <c r="A11" s="11" t="s">
        <v>19</v>
      </c>
      <c r="B11" s="25">
        <v>5</v>
      </c>
      <c r="C11" s="25">
        <v>1</v>
      </c>
      <c r="D11" s="25">
        <v>1</v>
      </c>
      <c r="E11" s="25">
        <v>4</v>
      </c>
      <c r="F11" s="25">
        <f>B11+C11+D11+E11</f>
        <v>11</v>
      </c>
      <c r="G11" s="19">
        <f>(B11*82.45)+(C11*123.48)+(D11*161.91)+(E11*39.06)</f>
        <v>853.88</v>
      </c>
      <c r="H11" s="26">
        <v>0</v>
      </c>
      <c r="I11" s="26">
        <v>10</v>
      </c>
      <c r="J11" s="59">
        <v>9</v>
      </c>
      <c r="K11" s="18">
        <f>F11*J11</f>
        <v>99</v>
      </c>
      <c r="L11" s="19">
        <f>(G11+H11+I11)*J11</f>
        <v>7774.92</v>
      </c>
    </row>
    <row r="12" spans="1:13" x14ac:dyDescent="0.2">
      <c r="A12" s="11" t="s">
        <v>38</v>
      </c>
      <c r="B12" s="25">
        <v>4</v>
      </c>
      <c r="C12" s="25">
        <v>0.5</v>
      </c>
      <c r="D12" s="25">
        <v>0.5</v>
      </c>
      <c r="E12" s="25">
        <v>24</v>
      </c>
      <c r="F12" s="25">
        <f>B12+C12+D12+E12</f>
        <v>29</v>
      </c>
      <c r="G12" s="19">
        <f>(B12*82.45)+(C12*123.48)+(D12*161.91)+(E12*39.06)</f>
        <v>1409.9349999999999</v>
      </c>
      <c r="H12" s="26">
        <v>0</v>
      </c>
      <c r="I12" s="26">
        <v>10</v>
      </c>
      <c r="J12" s="59">
        <v>9</v>
      </c>
      <c r="K12" s="18">
        <f>F12*J12</f>
        <v>261</v>
      </c>
      <c r="L12" s="19">
        <f>(G12+H12+I12)*J12</f>
        <v>12779.414999999999</v>
      </c>
      <c r="M12" s="334"/>
    </row>
    <row r="13" spans="1:13" x14ac:dyDescent="0.2">
      <c r="A13" s="11"/>
      <c r="B13" s="25"/>
      <c r="C13" s="25"/>
      <c r="D13" s="25"/>
      <c r="E13" s="25"/>
      <c r="F13" s="25"/>
      <c r="G13" s="19"/>
      <c r="H13" s="26"/>
      <c r="I13" s="26"/>
      <c r="J13" s="25"/>
      <c r="K13" s="18"/>
      <c r="L13" s="19"/>
    </row>
    <row r="14" spans="1:13" x14ac:dyDescent="0.2">
      <c r="A14" s="173" t="s">
        <v>20</v>
      </c>
      <c r="B14" s="174">
        <f t="shared" ref="B14:G14" si="0">SUM(B8:B12)</f>
        <v>94</v>
      </c>
      <c r="C14" s="174">
        <f t="shared" si="0"/>
        <v>8.5</v>
      </c>
      <c r="D14" s="174">
        <f t="shared" si="0"/>
        <v>6.5</v>
      </c>
      <c r="E14" s="174">
        <f t="shared" si="0"/>
        <v>72</v>
      </c>
      <c r="F14" s="174">
        <f t="shared" si="0"/>
        <v>181</v>
      </c>
      <c r="G14" s="175">
        <f t="shared" si="0"/>
        <v>12664.614999999998</v>
      </c>
      <c r="H14" s="175">
        <f>SUM(H8:H12)</f>
        <v>0</v>
      </c>
      <c r="I14" s="175">
        <f>SUM(I8:I12)</f>
        <v>110</v>
      </c>
      <c r="J14" s="174" t="s">
        <v>11</v>
      </c>
      <c r="K14" s="174" t="s">
        <v>11</v>
      </c>
      <c r="L14" s="175" t="s">
        <v>11</v>
      </c>
    </row>
    <row r="15" spans="1:13" x14ac:dyDescent="0.2">
      <c r="A15" s="173" t="s">
        <v>10</v>
      </c>
      <c r="B15" s="174" t="s">
        <v>11</v>
      </c>
      <c r="C15" s="174" t="s">
        <v>11</v>
      </c>
      <c r="D15" s="174" t="s">
        <v>11</v>
      </c>
      <c r="E15" s="174" t="s">
        <v>11</v>
      </c>
      <c r="F15" s="174" t="s">
        <v>11</v>
      </c>
      <c r="G15" s="175">
        <f>SUMPRODUCT(G8:G12,J8:J12)</f>
        <v>113981.53499999997</v>
      </c>
      <c r="H15" s="175">
        <v>0</v>
      </c>
      <c r="I15" s="175">
        <f>SUMPRODUCT(I5:I12,J5:J12)</f>
        <v>990</v>
      </c>
      <c r="J15" s="174">
        <v>9</v>
      </c>
      <c r="K15" s="172">
        <f>SUM(K8:K12)</f>
        <v>1629</v>
      </c>
      <c r="L15" s="175">
        <f>SUM(L8:L12)</f>
        <v>114971.53499999997</v>
      </c>
    </row>
    <row r="16" spans="1:13" x14ac:dyDescent="0.2">
      <c r="A16" s="4" t="s">
        <v>69</v>
      </c>
      <c r="B16" s="7"/>
      <c r="C16" s="7"/>
      <c r="D16" s="7"/>
      <c r="E16" s="7"/>
      <c r="F16" s="7"/>
      <c r="G16" s="17"/>
      <c r="H16" s="7"/>
      <c r="I16" s="17"/>
      <c r="J16" s="7"/>
      <c r="K16" s="8"/>
      <c r="L16" s="17"/>
    </row>
    <row r="17" spans="1:12" x14ac:dyDescent="0.2">
      <c r="A17" s="4" t="s">
        <v>76</v>
      </c>
      <c r="B17" s="7"/>
      <c r="C17" s="7"/>
      <c r="D17" s="7"/>
      <c r="E17" s="7"/>
      <c r="F17" s="7"/>
      <c r="G17" s="17"/>
      <c r="H17" s="7"/>
      <c r="I17" s="17"/>
      <c r="J17" s="7"/>
      <c r="K17" s="8"/>
      <c r="L17" s="17"/>
    </row>
    <row r="32" spans="1:12" x14ac:dyDescent="0.2">
      <c r="C32" s="5" t="s">
        <v>95</v>
      </c>
    </row>
  </sheetData>
  <mergeCells count="5">
    <mergeCell ref="B5:I5"/>
    <mergeCell ref="J5:L5"/>
    <mergeCell ref="A2:L2"/>
    <mergeCell ref="A5:A6"/>
    <mergeCell ref="A3:L3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3"/>
  <sheetViews>
    <sheetView zoomScaleNormal="100" workbookViewId="0">
      <selection activeCell="G11" sqref="G11"/>
    </sheetView>
  </sheetViews>
  <sheetFormatPr defaultColWidth="12.5703125" defaultRowHeight="11.25" x14ac:dyDescent="0.2"/>
  <cols>
    <col min="1" max="1" width="15.28515625" style="4" customWidth="1"/>
    <col min="2" max="2" width="9.42578125" style="4" customWidth="1"/>
    <col min="3" max="3" width="9.85546875" style="4" customWidth="1"/>
    <col min="4" max="4" width="11" style="4" customWidth="1"/>
    <col min="5" max="5" width="9" style="4" customWidth="1"/>
    <col min="6" max="6" width="10.42578125" style="4" customWidth="1"/>
    <col min="7" max="7" width="11.5703125" style="4" customWidth="1"/>
    <col min="8" max="8" width="15" style="4" customWidth="1"/>
    <col min="9" max="9" width="8.5703125" style="4" customWidth="1"/>
    <col min="10" max="10" width="11.140625" style="4" bestFit="1" customWidth="1"/>
    <col min="11" max="11" width="8" style="4" customWidth="1"/>
    <col min="12" max="12" width="11.28515625" style="4" customWidth="1"/>
    <col min="13" max="13" width="11.140625" style="4" customWidth="1"/>
    <col min="14" max="14" width="9.85546875" style="4" customWidth="1"/>
    <col min="15" max="15" width="7.85546875" style="4" customWidth="1"/>
    <col min="16" max="16" width="12.28515625" style="4" customWidth="1"/>
    <col min="17" max="17" width="13.140625" style="4" customWidth="1"/>
    <col min="18" max="18" width="10.5703125" style="4" customWidth="1"/>
    <col min="19" max="20" width="15.85546875" style="4" customWidth="1"/>
    <col min="21" max="253" width="13.140625" style="4" customWidth="1"/>
    <col min="254" max="16384" width="12.5703125" style="4"/>
  </cols>
  <sheetData>
    <row r="2" spans="1:16" ht="12.75" x14ac:dyDescent="0.2">
      <c r="A2" s="372" t="s">
        <v>185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</row>
    <row r="3" spans="1:16" s="127" customFormat="1" ht="12.75" x14ac:dyDescent="0.2">
      <c r="A3" s="372" t="s">
        <v>186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</row>
    <row r="4" spans="1:16" s="126" customFormat="1" ht="12.75" x14ac:dyDescent="0.2">
      <c r="A4" s="373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5"/>
    </row>
    <row r="5" spans="1:16" ht="12.75" x14ac:dyDescent="0.2">
      <c r="A5" s="370" t="s">
        <v>1</v>
      </c>
      <c r="B5" s="368" t="s">
        <v>189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 t="s">
        <v>74</v>
      </c>
      <c r="N5" s="368"/>
      <c r="O5" s="368"/>
      <c r="P5" s="368"/>
    </row>
    <row r="6" spans="1:16" ht="46.5" customHeight="1" x14ac:dyDescent="0.2">
      <c r="A6" s="371"/>
      <c r="B6" s="204" t="s">
        <v>130</v>
      </c>
      <c r="C6" s="204" t="s">
        <v>131</v>
      </c>
      <c r="D6" s="204" t="s">
        <v>132</v>
      </c>
      <c r="E6" s="185" t="s">
        <v>135</v>
      </c>
      <c r="F6" s="204" t="s">
        <v>133</v>
      </c>
      <c r="G6" s="204" t="s">
        <v>140</v>
      </c>
      <c r="H6" s="204" t="s">
        <v>139</v>
      </c>
      <c r="I6" s="204" t="s">
        <v>77</v>
      </c>
      <c r="J6" s="204" t="s">
        <v>23</v>
      </c>
      <c r="K6" s="204" t="s">
        <v>14</v>
      </c>
      <c r="L6" s="204" t="s">
        <v>79</v>
      </c>
      <c r="M6" s="204" t="s">
        <v>24</v>
      </c>
      <c r="N6" s="204" t="s">
        <v>68</v>
      </c>
      <c r="O6" s="204" t="s">
        <v>25</v>
      </c>
      <c r="P6" s="204" t="s">
        <v>26</v>
      </c>
    </row>
    <row r="7" spans="1:16" ht="12.75" x14ac:dyDescent="0.2">
      <c r="A7" s="253"/>
      <c r="B7" s="59"/>
      <c r="C7" s="59"/>
      <c r="D7" s="59"/>
      <c r="E7" s="252"/>
      <c r="F7" s="59"/>
      <c r="G7" s="59"/>
      <c r="H7" s="59"/>
      <c r="I7" s="59"/>
      <c r="J7" s="19"/>
      <c r="K7" s="26"/>
      <c r="L7" s="26"/>
      <c r="M7" s="59"/>
      <c r="N7" s="59"/>
      <c r="O7" s="59"/>
      <c r="P7" s="26"/>
    </row>
    <row r="8" spans="1:16" ht="38.25" x14ac:dyDescent="0.2">
      <c r="A8" s="13" t="s">
        <v>27</v>
      </c>
      <c r="B8" s="25">
        <v>20</v>
      </c>
      <c r="C8" s="25">
        <v>4</v>
      </c>
      <c r="D8" s="25">
        <v>6</v>
      </c>
      <c r="E8" s="25">
        <v>0</v>
      </c>
      <c r="F8" s="25">
        <v>0</v>
      </c>
      <c r="G8" s="25">
        <v>0</v>
      </c>
      <c r="H8" s="25">
        <v>0</v>
      </c>
      <c r="I8" s="25">
        <f t="shared" ref="I8:I18" si="0">B8+C8+D8+E8+F8+G8+H8</f>
        <v>30</v>
      </c>
      <c r="J8" s="218">
        <f>(B8*82.45)+(C8*123.48)+(D8*161.91)+(E8*39.06)+(F8*52.67)+(G8*37.72)+(H8*39.1)</f>
        <v>3114.38</v>
      </c>
      <c r="K8" s="321">
        <v>0</v>
      </c>
      <c r="L8" s="321">
        <v>0</v>
      </c>
      <c r="M8" s="25">
        <v>1</v>
      </c>
      <c r="N8" s="25">
        <v>41</v>
      </c>
      <c r="O8" s="25">
        <f t="shared" ref="O8:O18" si="1">I8*M8*N8</f>
        <v>1230</v>
      </c>
      <c r="P8" s="321">
        <f t="shared" ref="P8:P18" si="2">(J8+K8+L8)*M8*N8</f>
        <v>127689.58</v>
      </c>
    </row>
    <row r="9" spans="1:16" ht="12.75" x14ac:dyDescent="0.2">
      <c r="A9" s="13" t="s">
        <v>28</v>
      </c>
      <c r="B9" s="25">
        <v>8</v>
      </c>
      <c r="C9" s="25">
        <v>0</v>
      </c>
      <c r="D9" s="25">
        <v>0</v>
      </c>
      <c r="E9" s="25">
        <v>0</v>
      </c>
      <c r="F9" s="25">
        <v>1</v>
      </c>
      <c r="G9" s="25">
        <v>0</v>
      </c>
      <c r="H9" s="25">
        <v>0</v>
      </c>
      <c r="I9" s="25">
        <f t="shared" si="0"/>
        <v>9</v>
      </c>
      <c r="J9" s="218">
        <f t="shared" ref="J9:J18" si="3">(B9*82.45)+(C9*123.48)+(D9*161.91)+(E9*39.06)+(F9*52.67)+(G9*37.72)+(H9*39.1)</f>
        <v>712.27</v>
      </c>
      <c r="K9" s="321">
        <v>0</v>
      </c>
      <c r="L9" s="321">
        <v>30</v>
      </c>
      <c r="M9" s="25">
        <v>1</v>
      </c>
      <c r="N9" s="59">
        <v>26</v>
      </c>
      <c r="O9" s="25">
        <f t="shared" si="1"/>
        <v>234</v>
      </c>
      <c r="P9" s="321">
        <f t="shared" si="2"/>
        <v>19299.02</v>
      </c>
    </row>
    <row r="10" spans="1:16" ht="51" x14ac:dyDescent="0.2">
      <c r="A10" s="13" t="s">
        <v>29</v>
      </c>
      <c r="B10" s="25">
        <v>11</v>
      </c>
      <c r="C10" s="25">
        <v>5</v>
      </c>
      <c r="D10" s="25">
        <v>0</v>
      </c>
      <c r="E10" s="25">
        <v>1</v>
      </c>
      <c r="F10" s="25">
        <v>0</v>
      </c>
      <c r="G10" s="25">
        <v>0</v>
      </c>
      <c r="H10" s="25">
        <v>0</v>
      </c>
      <c r="I10" s="25">
        <f t="shared" si="0"/>
        <v>17</v>
      </c>
      <c r="J10" s="218">
        <f t="shared" si="3"/>
        <v>1563.4099999999999</v>
      </c>
      <c r="K10" s="321">
        <v>0</v>
      </c>
      <c r="L10" s="321">
        <v>5</v>
      </c>
      <c r="M10" s="25">
        <v>1</v>
      </c>
      <c r="N10" s="59">
        <v>26</v>
      </c>
      <c r="O10" s="25">
        <f t="shared" si="1"/>
        <v>442</v>
      </c>
      <c r="P10" s="321">
        <f t="shared" si="2"/>
        <v>40778.659999999996</v>
      </c>
    </row>
    <row r="11" spans="1:16" ht="25.5" x14ac:dyDescent="0.2">
      <c r="A11" s="13" t="s">
        <v>30</v>
      </c>
      <c r="B11" s="25">
        <v>4</v>
      </c>
      <c r="C11" s="25">
        <v>0</v>
      </c>
      <c r="D11" s="25">
        <v>0</v>
      </c>
      <c r="E11" s="25">
        <v>0</v>
      </c>
      <c r="F11" s="25">
        <v>1</v>
      </c>
      <c r="G11" s="25">
        <v>1</v>
      </c>
      <c r="H11" s="25">
        <v>1</v>
      </c>
      <c r="I11" s="25">
        <f t="shared" si="0"/>
        <v>7</v>
      </c>
      <c r="J11" s="218">
        <f t="shared" si="3"/>
        <v>459.29000000000008</v>
      </c>
      <c r="K11" s="321">
        <v>0</v>
      </c>
      <c r="L11" s="321">
        <v>1</v>
      </c>
      <c r="M11" s="25">
        <v>1</v>
      </c>
      <c r="N11" s="59">
        <v>26</v>
      </c>
      <c r="O11" s="25">
        <f t="shared" si="1"/>
        <v>182</v>
      </c>
      <c r="P11" s="321">
        <f t="shared" si="2"/>
        <v>11967.540000000003</v>
      </c>
    </row>
    <row r="12" spans="1:16" ht="25.5" x14ac:dyDescent="0.2">
      <c r="A12" s="13" t="s">
        <v>31</v>
      </c>
      <c r="B12" s="25">
        <v>1</v>
      </c>
      <c r="C12" s="25">
        <v>0</v>
      </c>
      <c r="D12" s="25">
        <v>0</v>
      </c>
      <c r="E12" s="25">
        <v>0</v>
      </c>
      <c r="F12" s="25">
        <v>6</v>
      </c>
      <c r="G12" s="25">
        <v>0</v>
      </c>
      <c r="H12" s="25">
        <v>0</v>
      </c>
      <c r="I12" s="25">
        <f t="shared" si="0"/>
        <v>7</v>
      </c>
      <c r="J12" s="218">
        <f t="shared" si="3"/>
        <v>398.46999999999997</v>
      </c>
      <c r="K12" s="321">
        <v>0</v>
      </c>
      <c r="L12" s="321">
        <v>0</v>
      </c>
      <c r="M12" s="35">
        <v>4</v>
      </c>
      <c r="N12" s="59">
        <v>26</v>
      </c>
      <c r="O12" s="25">
        <f t="shared" si="1"/>
        <v>728</v>
      </c>
      <c r="P12" s="321">
        <f t="shared" si="2"/>
        <v>41440.879999999997</v>
      </c>
    </row>
    <row r="13" spans="1:16" ht="25.5" x14ac:dyDescent="0.2">
      <c r="A13" s="13" t="s">
        <v>47</v>
      </c>
      <c r="B13" s="25">
        <v>8</v>
      </c>
      <c r="C13" s="25">
        <v>0</v>
      </c>
      <c r="D13" s="25">
        <v>0</v>
      </c>
      <c r="E13" s="25">
        <v>0</v>
      </c>
      <c r="F13" s="25">
        <v>12</v>
      </c>
      <c r="G13" s="25">
        <v>2</v>
      </c>
      <c r="H13" s="25">
        <v>0</v>
      </c>
      <c r="I13" s="25">
        <f t="shared" si="0"/>
        <v>22</v>
      </c>
      <c r="J13" s="218">
        <f t="shared" si="3"/>
        <v>1367.08</v>
      </c>
      <c r="K13" s="321">
        <v>0</v>
      </c>
      <c r="L13" s="321">
        <v>100</v>
      </c>
      <c r="M13" s="35">
        <v>17</v>
      </c>
      <c r="N13" s="25">
        <v>10</v>
      </c>
      <c r="O13" s="25">
        <f t="shared" si="1"/>
        <v>3740</v>
      </c>
      <c r="P13" s="321">
        <f t="shared" si="2"/>
        <v>249403.6</v>
      </c>
    </row>
    <row r="14" spans="1:16" ht="25.5" x14ac:dyDescent="0.2">
      <c r="A14" s="13" t="s">
        <v>43</v>
      </c>
      <c r="B14" s="25">
        <v>8</v>
      </c>
      <c r="C14" s="25">
        <v>0</v>
      </c>
      <c r="D14" s="25">
        <v>0</v>
      </c>
      <c r="E14" s="25">
        <v>1</v>
      </c>
      <c r="F14" s="25">
        <v>0</v>
      </c>
      <c r="G14" s="25">
        <v>0</v>
      </c>
      <c r="H14" s="25">
        <v>0</v>
      </c>
      <c r="I14" s="25">
        <f t="shared" si="0"/>
        <v>9</v>
      </c>
      <c r="J14" s="218">
        <f t="shared" si="3"/>
        <v>698.66000000000008</v>
      </c>
      <c r="K14" s="321">
        <v>0</v>
      </c>
      <c r="L14" s="321">
        <v>5</v>
      </c>
      <c r="M14" s="25">
        <v>4</v>
      </c>
      <c r="N14" s="25">
        <v>10</v>
      </c>
      <c r="O14" s="25">
        <f t="shared" si="1"/>
        <v>360</v>
      </c>
      <c r="P14" s="321">
        <f t="shared" si="2"/>
        <v>28146.400000000001</v>
      </c>
    </row>
    <row r="15" spans="1:16" ht="63.75" x14ac:dyDescent="0.2">
      <c r="A15" s="13" t="s">
        <v>44</v>
      </c>
      <c r="B15" s="25">
        <v>1</v>
      </c>
      <c r="C15" s="25">
        <v>0</v>
      </c>
      <c r="D15" s="25">
        <v>0</v>
      </c>
      <c r="E15" s="25">
        <v>0</v>
      </c>
      <c r="F15" s="25">
        <v>93</v>
      </c>
      <c r="G15" s="25">
        <v>0</v>
      </c>
      <c r="H15" s="25">
        <v>0</v>
      </c>
      <c r="I15" s="25">
        <f>B15+C15+D15+E15+F15+G15+H15</f>
        <v>94</v>
      </c>
      <c r="J15" s="218">
        <f t="shared" si="3"/>
        <v>4980.76</v>
      </c>
      <c r="K15" s="321">
        <v>0</v>
      </c>
      <c r="L15" s="321">
        <v>5</v>
      </c>
      <c r="M15" s="25">
        <v>1</v>
      </c>
      <c r="N15" s="25">
        <v>10</v>
      </c>
      <c r="O15" s="25">
        <f t="shared" si="1"/>
        <v>940</v>
      </c>
      <c r="P15" s="321">
        <f t="shared" si="2"/>
        <v>49857.600000000006</v>
      </c>
    </row>
    <row r="16" spans="1:16" ht="25.5" x14ac:dyDescent="0.2">
      <c r="A16" s="6" t="s">
        <v>247</v>
      </c>
      <c r="B16" s="59">
        <v>8</v>
      </c>
      <c r="C16" s="59">
        <v>1</v>
      </c>
      <c r="D16" s="59">
        <v>0</v>
      </c>
      <c r="E16" s="59">
        <v>5</v>
      </c>
      <c r="F16" s="59">
        <v>0</v>
      </c>
      <c r="G16" s="59">
        <v>0</v>
      </c>
      <c r="H16" s="59">
        <v>0</v>
      </c>
      <c r="I16" s="59">
        <f>B16+C16+D16+E16+F16+G16+H16</f>
        <v>14</v>
      </c>
      <c r="J16" s="218">
        <f t="shared" ref="J16" si="4">(B16*82.45)+(C16*123.48)+(D16*161.91)+(E16*39.06)+(F16*52.67)+(G16*37.72)+(H16*39.1)</f>
        <v>978.38000000000011</v>
      </c>
      <c r="K16" s="321">
        <v>0</v>
      </c>
      <c r="L16" s="321">
        <f>'Table 2 Cert'!K15</f>
        <v>16666.666666666668</v>
      </c>
      <c r="M16" s="59">
        <v>17</v>
      </c>
      <c r="N16" s="59">
        <v>10</v>
      </c>
      <c r="O16" s="59">
        <f t="shared" ref="O16" si="5">I16*M16*N16</f>
        <v>2380</v>
      </c>
      <c r="P16" s="321">
        <f t="shared" ref="P16" si="6">(J16+K16+L16)*M16*N16</f>
        <v>2999657.933333334</v>
      </c>
    </row>
    <row r="17" spans="1:17" ht="38.25" x14ac:dyDescent="0.2">
      <c r="A17" s="13" t="s">
        <v>32</v>
      </c>
      <c r="B17" s="25">
        <v>8</v>
      </c>
      <c r="C17" s="25">
        <v>1</v>
      </c>
      <c r="D17" s="25">
        <v>1</v>
      </c>
      <c r="E17" s="25">
        <v>2</v>
      </c>
      <c r="F17" s="25">
        <v>0</v>
      </c>
      <c r="G17" s="25">
        <v>0</v>
      </c>
      <c r="H17" s="25">
        <v>0</v>
      </c>
      <c r="I17" s="25">
        <f t="shared" si="0"/>
        <v>12</v>
      </c>
      <c r="J17" s="218">
        <f t="shared" si="3"/>
        <v>1023.11</v>
      </c>
      <c r="K17" s="321">
        <v>0</v>
      </c>
      <c r="L17" s="321">
        <v>5</v>
      </c>
      <c r="M17" s="25">
        <v>4</v>
      </c>
      <c r="N17" s="25">
        <v>26</v>
      </c>
      <c r="O17" s="25">
        <f t="shared" si="1"/>
        <v>1248</v>
      </c>
      <c r="P17" s="321">
        <f t="shared" si="2"/>
        <v>106923.44000000002</v>
      </c>
    </row>
    <row r="18" spans="1:17" ht="25.5" x14ac:dyDescent="0.2">
      <c r="A18" s="13" t="s">
        <v>7</v>
      </c>
      <c r="B18" s="25">
        <v>2</v>
      </c>
      <c r="C18" s="25">
        <v>0</v>
      </c>
      <c r="D18" s="25">
        <v>0</v>
      </c>
      <c r="E18" s="25">
        <v>3</v>
      </c>
      <c r="F18" s="25">
        <v>0</v>
      </c>
      <c r="G18" s="25">
        <v>1</v>
      </c>
      <c r="H18" s="25">
        <v>0</v>
      </c>
      <c r="I18" s="25">
        <f t="shared" si="0"/>
        <v>6</v>
      </c>
      <c r="J18" s="218">
        <f t="shared" si="3"/>
        <v>319.80000000000007</v>
      </c>
      <c r="K18" s="321">
        <v>0</v>
      </c>
      <c r="L18" s="321">
        <v>2</v>
      </c>
      <c r="M18" s="25">
        <v>4</v>
      </c>
      <c r="N18" s="25">
        <v>26</v>
      </c>
      <c r="O18" s="25">
        <f t="shared" si="1"/>
        <v>624</v>
      </c>
      <c r="P18" s="321">
        <f t="shared" si="2"/>
        <v>33467.200000000004</v>
      </c>
      <c r="Q18" s="334"/>
    </row>
    <row r="19" spans="1:17" ht="25.5" x14ac:dyDescent="0.2">
      <c r="A19" s="176" t="s">
        <v>33</v>
      </c>
      <c r="B19" s="177">
        <v>108</v>
      </c>
      <c r="C19" s="177">
        <v>7</v>
      </c>
      <c r="D19" s="177">
        <v>9</v>
      </c>
      <c r="E19" s="177">
        <v>7</v>
      </c>
      <c r="F19" s="177">
        <v>113</v>
      </c>
      <c r="G19" s="177">
        <v>4</v>
      </c>
      <c r="H19" s="177">
        <v>1</v>
      </c>
      <c r="I19" s="177">
        <v>249</v>
      </c>
      <c r="J19" s="230">
        <f>SUM(J8:J18)</f>
        <v>15615.61</v>
      </c>
      <c r="K19" s="230">
        <f>SUM(K8:K18)</f>
        <v>0</v>
      </c>
      <c r="L19" s="322" t="s">
        <v>9</v>
      </c>
      <c r="M19" s="177" t="s">
        <v>9</v>
      </c>
      <c r="N19" s="177" t="s">
        <v>11</v>
      </c>
      <c r="O19" s="177" t="s">
        <v>11</v>
      </c>
      <c r="P19" s="230" t="s">
        <v>11</v>
      </c>
    </row>
    <row r="20" spans="1:17" ht="25.5" x14ac:dyDescent="0.2">
      <c r="A20" s="176" t="s">
        <v>10</v>
      </c>
      <c r="B20" s="177" t="s">
        <v>11</v>
      </c>
      <c r="C20" s="177" t="s">
        <v>11</v>
      </c>
      <c r="D20" s="177" t="s">
        <v>11</v>
      </c>
      <c r="E20" s="177" t="s">
        <v>11</v>
      </c>
      <c r="F20" s="177" t="s">
        <v>11</v>
      </c>
      <c r="G20" s="177" t="s">
        <v>11</v>
      </c>
      <c r="H20" s="177" t="s">
        <v>11</v>
      </c>
      <c r="I20" s="177" t="s">
        <v>11</v>
      </c>
      <c r="J20" s="230">
        <f>SUMPRODUCT(J8:J18,M8:M18,N8:N18)</f>
        <v>856384.52</v>
      </c>
      <c r="K20" s="230">
        <v>0</v>
      </c>
      <c r="L20" s="230">
        <f>SUMPRODUCT(L8:L18,M8:M18,N8:N18)</f>
        <v>2852247.333333334</v>
      </c>
      <c r="M20" s="177" t="s">
        <v>11</v>
      </c>
      <c r="N20" s="177">
        <v>26</v>
      </c>
      <c r="O20" s="177">
        <f>SUM(O8:O18)</f>
        <v>12108</v>
      </c>
      <c r="P20" s="230">
        <f>SUM(P8:P18)</f>
        <v>3708631.853333334</v>
      </c>
    </row>
    <row r="21" spans="1:17" x14ac:dyDescent="0.2">
      <c r="A21" s="4" t="s">
        <v>141</v>
      </c>
    </row>
    <row r="22" spans="1:17" x14ac:dyDescent="0.2">
      <c r="A22" s="4" t="s">
        <v>80</v>
      </c>
    </row>
    <row r="23" spans="1:17" x14ac:dyDescent="0.2">
      <c r="A23" s="41"/>
    </row>
  </sheetData>
  <mergeCells count="6">
    <mergeCell ref="A3:P3"/>
    <mergeCell ref="B5:L5"/>
    <mergeCell ref="M5:P5"/>
    <mergeCell ref="A4:P4"/>
    <mergeCell ref="A2:P2"/>
    <mergeCell ref="A5:A6"/>
  </mergeCells>
  <phoneticPr fontId="4" type="noConversion"/>
  <printOptions horizontalCentered="1" verticalCentered="1"/>
  <pageMargins left="0.75" right="0.75" top="1" bottom="1" header="0.5" footer="0.5"/>
  <pageSetup scale="6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zoomScaleNormal="100" workbookViewId="0">
      <selection activeCell="A3" sqref="A3:H3"/>
    </sheetView>
  </sheetViews>
  <sheetFormatPr defaultRowHeight="15" x14ac:dyDescent="0.25"/>
  <cols>
    <col min="1" max="1" width="24.85546875" style="262" customWidth="1"/>
    <col min="2" max="2" width="54.140625" style="262" customWidth="1"/>
    <col min="3" max="3" width="11.85546875" style="262" customWidth="1"/>
    <col min="4" max="4" width="12.85546875" style="262" customWidth="1"/>
    <col min="5" max="5" width="17.28515625" style="262" bestFit="1" customWidth="1"/>
    <col min="6" max="6" width="8.140625" style="262" customWidth="1"/>
    <col min="7" max="7" width="7.28515625" style="262" customWidth="1"/>
    <col min="8" max="8" width="11" style="262" customWidth="1"/>
    <col min="9" max="9" width="9.140625" style="262"/>
    <col min="10" max="10" width="12.7109375" style="262" bestFit="1" customWidth="1"/>
    <col min="11" max="16384" width="9.140625" style="262"/>
  </cols>
  <sheetData>
    <row r="2" spans="1:13" x14ac:dyDescent="0.25">
      <c r="A2" s="372" t="s">
        <v>187</v>
      </c>
      <c r="B2" s="372"/>
      <c r="C2" s="372"/>
      <c r="D2" s="372"/>
      <c r="E2" s="372"/>
      <c r="F2" s="372"/>
      <c r="G2" s="372"/>
      <c r="H2" s="372"/>
      <c r="I2" s="313"/>
      <c r="J2" s="313"/>
      <c r="K2" s="313"/>
      <c r="L2" s="313"/>
      <c r="M2" s="313"/>
    </row>
    <row r="3" spans="1:13" x14ac:dyDescent="0.25">
      <c r="A3" s="372" t="s">
        <v>195</v>
      </c>
      <c r="B3" s="372"/>
      <c r="C3" s="372"/>
      <c r="D3" s="372"/>
      <c r="E3" s="372"/>
      <c r="F3" s="372"/>
      <c r="G3" s="372"/>
      <c r="H3" s="372"/>
      <c r="I3" s="313"/>
      <c r="J3" s="313"/>
      <c r="K3" s="313"/>
      <c r="L3" s="313"/>
      <c r="M3" s="313"/>
    </row>
    <row r="5" spans="1:13" ht="15" customHeight="1" x14ac:dyDescent="0.25">
      <c r="A5" s="376" t="s">
        <v>232</v>
      </c>
      <c r="B5" s="377"/>
      <c r="C5" s="378" t="s">
        <v>226</v>
      </c>
      <c r="D5" s="378"/>
      <c r="E5" s="378"/>
      <c r="F5" s="368" t="s">
        <v>74</v>
      </c>
      <c r="G5" s="368"/>
      <c r="H5" s="368"/>
    </row>
    <row r="6" spans="1:13" ht="72" customHeight="1" x14ac:dyDescent="0.25">
      <c r="A6" s="185" t="s">
        <v>233</v>
      </c>
      <c r="B6" s="301" t="s">
        <v>234</v>
      </c>
      <c r="C6" s="293" t="s">
        <v>227</v>
      </c>
      <c r="D6" s="314" t="s">
        <v>196</v>
      </c>
      <c r="E6" s="293" t="s">
        <v>228</v>
      </c>
      <c r="F6" s="185" t="s">
        <v>81</v>
      </c>
      <c r="G6" s="265" t="s">
        <v>25</v>
      </c>
      <c r="H6" s="185" t="s">
        <v>26</v>
      </c>
    </row>
    <row r="7" spans="1:13" ht="75" x14ac:dyDescent="0.25">
      <c r="A7" s="315" t="s">
        <v>197</v>
      </c>
      <c r="B7" s="302" t="s">
        <v>230</v>
      </c>
      <c r="C7" s="312"/>
      <c r="D7" s="306">
        <v>44000</v>
      </c>
      <c r="E7" s="297">
        <v>225000</v>
      </c>
      <c r="F7" s="292">
        <v>6</v>
      </c>
      <c r="G7" s="310"/>
      <c r="H7" s="295">
        <f>E7*F7</f>
        <v>1350000</v>
      </c>
    </row>
    <row r="8" spans="1:13" ht="30" x14ac:dyDescent="0.25">
      <c r="A8" s="316" t="s">
        <v>200</v>
      </c>
      <c r="B8" s="298" t="s">
        <v>201</v>
      </c>
      <c r="C8" s="312"/>
      <c r="D8" s="306">
        <v>1000</v>
      </c>
      <c r="E8" s="297">
        <v>5000</v>
      </c>
      <c r="F8" s="292">
        <v>6</v>
      </c>
      <c r="G8" s="309"/>
      <c r="H8" s="295">
        <f t="shared" ref="H8:H10" si="0">E8*F8</f>
        <v>30000</v>
      </c>
    </row>
    <row r="9" spans="1:13" ht="30" x14ac:dyDescent="0.25">
      <c r="A9" s="316" t="s">
        <v>202</v>
      </c>
      <c r="B9" s="302" t="s">
        <v>229</v>
      </c>
      <c r="C9" s="312"/>
      <c r="D9" s="306">
        <v>1000</v>
      </c>
      <c r="E9" s="297">
        <v>5000</v>
      </c>
      <c r="F9" s="292">
        <v>6</v>
      </c>
      <c r="G9" s="309"/>
      <c r="H9" s="295">
        <f t="shared" si="0"/>
        <v>30000</v>
      </c>
    </row>
    <row r="10" spans="1:13" ht="30" x14ac:dyDescent="0.25">
      <c r="A10" s="317" t="s">
        <v>231</v>
      </c>
      <c r="B10" s="298" t="s">
        <v>203</v>
      </c>
      <c r="C10" s="312"/>
      <c r="D10" s="306">
        <v>200</v>
      </c>
      <c r="E10" s="297">
        <v>1000</v>
      </c>
      <c r="F10" s="292">
        <v>6</v>
      </c>
      <c r="G10" s="309"/>
      <c r="H10" s="295">
        <f t="shared" si="0"/>
        <v>6000</v>
      </c>
    </row>
    <row r="11" spans="1:13" ht="30" x14ac:dyDescent="0.25">
      <c r="A11" s="316" t="s">
        <v>198</v>
      </c>
      <c r="B11" s="298" t="s">
        <v>199</v>
      </c>
      <c r="C11" s="312">
        <v>58</v>
      </c>
      <c r="D11" s="306">
        <v>9000</v>
      </c>
      <c r="E11" s="297">
        <v>45000</v>
      </c>
      <c r="F11" s="292">
        <v>6</v>
      </c>
      <c r="G11" s="311">
        <f>C11*F11</f>
        <v>348</v>
      </c>
      <c r="H11" s="295">
        <f>E11*F11</f>
        <v>270000</v>
      </c>
      <c r="I11" s="320"/>
    </row>
    <row r="12" spans="1:13" x14ac:dyDescent="0.25">
      <c r="A12" s="317" t="s">
        <v>45</v>
      </c>
      <c r="B12" s="299"/>
      <c r="C12" s="305">
        <v>2</v>
      </c>
      <c r="D12" s="306">
        <f>(D11/C11)*C12</f>
        <v>310.34482758620692</v>
      </c>
      <c r="E12" s="297">
        <v>45000</v>
      </c>
      <c r="F12" s="31">
        <v>6</v>
      </c>
      <c r="G12" s="308">
        <f>C12*F12</f>
        <v>12</v>
      </c>
      <c r="H12" s="333">
        <f>G12*39.19</f>
        <v>470.28</v>
      </c>
    </row>
    <row r="13" spans="1:13" ht="14.25" customHeight="1" x14ac:dyDescent="0.25">
      <c r="A13" s="266" t="s">
        <v>8</v>
      </c>
      <c r="B13" s="264" t="s">
        <v>11</v>
      </c>
      <c r="C13" s="300">
        <f>SUM(C7:C12)</f>
        <v>60</v>
      </c>
      <c r="D13" s="307">
        <f>SUM(D7:D12)</f>
        <v>55510.34482758621</v>
      </c>
      <c r="E13" s="294">
        <f>SUM(E7:E12)</f>
        <v>326000</v>
      </c>
      <c r="F13" s="264" t="s">
        <v>11</v>
      </c>
      <c r="G13" s="264" t="s">
        <v>11</v>
      </c>
      <c r="H13" s="304" t="s">
        <v>11</v>
      </c>
      <c r="J13" s="263"/>
    </row>
    <row r="14" spans="1:13" x14ac:dyDescent="0.25">
      <c r="A14" s="266" t="s">
        <v>10</v>
      </c>
      <c r="B14" s="264" t="s">
        <v>11</v>
      </c>
      <c r="C14" s="264" t="s">
        <v>11</v>
      </c>
      <c r="D14" s="264" t="s">
        <v>11</v>
      </c>
      <c r="E14" s="264" t="s">
        <v>11</v>
      </c>
      <c r="F14" s="303">
        <v>6</v>
      </c>
      <c r="G14" s="178">
        <f>SUM(G8:G12)</f>
        <v>360</v>
      </c>
      <c r="H14" s="230">
        <f>SUM(H7:H12)</f>
        <v>1686470.28</v>
      </c>
    </row>
    <row r="16" spans="1:13" x14ac:dyDescent="0.25">
      <c r="B16" s="324" t="s">
        <v>248</v>
      </c>
      <c r="C16" s="323">
        <f>(D11+D12)*F14</f>
        <v>55862.068965517239</v>
      </c>
    </row>
    <row r="17" spans="2:3" x14ac:dyDescent="0.25">
      <c r="B17" s="324" t="s">
        <v>249</v>
      </c>
      <c r="C17" s="325">
        <f>H14-C16</f>
        <v>1630608.2110344828</v>
      </c>
    </row>
  </sheetData>
  <mergeCells count="5">
    <mergeCell ref="A2:H2"/>
    <mergeCell ref="A3:H3"/>
    <mergeCell ref="A5:B5"/>
    <mergeCell ref="F5:H5"/>
    <mergeCell ref="C5:E5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1"/>
  <sheetViews>
    <sheetView zoomScaleNormal="100" workbookViewId="0"/>
  </sheetViews>
  <sheetFormatPr defaultRowHeight="12.75" x14ac:dyDescent="0.2"/>
  <cols>
    <col min="1" max="1" width="16.5703125" style="5" customWidth="1"/>
    <col min="2" max="2" width="11.7109375" style="5" customWidth="1"/>
    <col min="3" max="3" width="11.42578125" style="5" customWidth="1"/>
    <col min="4" max="4" width="10.28515625" style="5" bestFit="1" customWidth="1"/>
    <col min="5" max="6" width="9.140625" style="5"/>
    <col min="7" max="7" width="11.5703125" style="5" bestFit="1" customWidth="1"/>
    <col min="8" max="8" width="10.28515625" style="5" customWidth="1"/>
    <col min="9" max="9" width="9.140625" style="5"/>
    <col min="10" max="10" width="11.28515625" style="5" bestFit="1" customWidth="1"/>
    <col min="11" max="11" width="9.28515625" style="5" bestFit="1" customWidth="1"/>
    <col min="12" max="12" width="11.140625" style="5" customWidth="1"/>
    <col min="13" max="13" width="16.140625" style="5" customWidth="1"/>
    <col min="14" max="14" width="9.140625" style="5"/>
    <col min="15" max="15" width="11.28515625" style="5" bestFit="1" customWidth="1"/>
    <col min="16" max="16384" width="9.140625" style="5"/>
  </cols>
  <sheetData>
    <row r="2" spans="1:16" x14ac:dyDescent="0.2">
      <c r="A2" s="372" t="s">
        <v>190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16" x14ac:dyDescent="0.2">
      <c r="A3" s="372" t="s">
        <v>188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</row>
    <row r="4" spans="1:16" x14ac:dyDescent="0.2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</row>
    <row r="5" spans="1:16" x14ac:dyDescent="0.2">
      <c r="A5" s="370" t="s">
        <v>1</v>
      </c>
      <c r="B5" s="379" t="s">
        <v>189</v>
      </c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</row>
    <row r="6" spans="1:16" ht="38.25" x14ac:dyDescent="0.2">
      <c r="A6" s="371"/>
      <c r="B6" s="204" t="s">
        <v>130</v>
      </c>
      <c r="C6" s="204" t="s">
        <v>131</v>
      </c>
      <c r="D6" s="204" t="s">
        <v>132</v>
      </c>
      <c r="E6" s="185" t="s">
        <v>135</v>
      </c>
      <c r="F6" s="204" t="s">
        <v>133</v>
      </c>
      <c r="G6" s="204" t="s">
        <v>140</v>
      </c>
      <c r="H6" s="204" t="s">
        <v>139</v>
      </c>
      <c r="I6" s="185" t="s">
        <v>12</v>
      </c>
      <c r="J6" s="185" t="s">
        <v>2</v>
      </c>
      <c r="K6" s="185" t="s">
        <v>14</v>
      </c>
      <c r="L6" s="185" t="s">
        <v>79</v>
      </c>
      <c r="M6" s="185" t="s">
        <v>236</v>
      </c>
      <c r="N6" s="185" t="s">
        <v>25</v>
      </c>
      <c r="O6" s="185" t="s">
        <v>26</v>
      </c>
    </row>
    <row r="7" spans="1:16" x14ac:dyDescent="0.2">
      <c r="A7" s="254"/>
      <c r="B7" s="31"/>
      <c r="C7" s="31"/>
      <c r="D7" s="31"/>
      <c r="E7" s="255"/>
      <c r="F7" s="31"/>
      <c r="G7" s="31"/>
      <c r="H7" s="31"/>
      <c r="I7" s="31"/>
      <c r="J7" s="19"/>
      <c r="K7" s="32"/>
      <c r="L7" s="32"/>
      <c r="M7" s="31"/>
      <c r="N7" s="31"/>
      <c r="O7" s="32"/>
    </row>
    <row r="8" spans="1:16" ht="25.5" x14ac:dyDescent="0.2">
      <c r="A8" s="14" t="s">
        <v>34</v>
      </c>
      <c r="B8" s="31">
        <v>5</v>
      </c>
      <c r="C8" s="31">
        <v>2</v>
      </c>
      <c r="D8" s="31">
        <v>0</v>
      </c>
      <c r="E8" s="31">
        <v>1</v>
      </c>
      <c r="F8" s="31">
        <v>0</v>
      </c>
      <c r="G8" s="31">
        <v>0</v>
      </c>
      <c r="H8" s="31">
        <v>0</v>
      </c>
      <c r="I8" s="31">
        <f>B8+C8+D8+E8+F8+G8+H8</f>
        <v>8</v>
      </c>
      <c r="J8" s="218">
        <f>(B8*82.45)+(C8*123.48)+(D8*161.91)+(E8*39.06)+(F8*52.67)+(G8*37.72)+(H8*39.1)</f>
        <v>698.27</v>
      </c>
      <c r="K8" s="296">
        <v>0</v>
      </c>
      <c r="L8" s="296">
        <v>0</v>
      </c>
      <c r="M8" s="31">
        <v>6</v>
      </c>
      <c r="N8" s="31">
        <f>I8*M8</f>
        <v>48</v>
      </c>
      <c r="O8" s="32">
        <f>(J8+K8+L8)*M8</f>
        <v>4189.62</v>
      </c>
    </row>
    <row r="9" spans="1:16" ht="38.25" x14ac:dyDescent="0.2">
      <c r="A9" s="14" t="s">
        <v>27</v>
      </c>
      <c r="B9" s="31">
        <v>7</v>
      </c>
      <c r="C9" s="31">
        <v>1</v>
      </c>
      <c r="D9" s="31">
        <v>1</v>
      </c>
      <c r="E9" s="31">
        <v>0</v>
      </c>
      <c r="F9" s="31">
        <v>0</v>
      </c>
      <c r="G9" s="31">
        <v>0</v>
      </c>
      <c r="H9" s="31">
        <v>0</v>
      </c>
      <c r="I9" s="31">
        <f t="shared" ref="I9:I16" si="0">B9+C9+D9+E9+F9+G9+H9</f>
        <v>9</v>
      </c>
      <c r="J9" s="218">
        <f t="shared" ref="J9:J16" si="1">(B9*82.45)+(C9*123.48)+(D9*161.91)+(E9*39.06)+(F9*52.67)+(G9*37.72)+(H9*39.1)</f>
        <v>862.54</v>
      </c>
      <c r="K9" s="296">
        <v>0</v>
      </c>
      <c r="L9" s="296">
        <v>0</v>
      </c>
      <c r="M9" s="31">
        <v>2</v>
      </c>
      <c r="N9" s="31">
        <f t="shared" ref="N9:N16" si="2">I9*M9</f>
        <v>18</v>
      </c>
      <c r="O9" s="32">
        <f t="shared" ref="O9:O16" si="3">(J9+K9+L9)*M9</f>
        <v>1725.08</v>
      </c>
    </row>
    <row r="10" spans="1:16" x14ac:dyDescent="0.2">
      <c r="A10" s="14" t="s">
        <v>28</v>
      </c>
      <c r="B10" s="31">
        <v>3</v>
      </c>
      <c r="C10" s="31">
        <v>1</v>
      </c>
      <c r="D10" s="31">
        <v>0</v>
      </c>
      <c r="E10" s="31">
        <v>0</v>
      </c>
      <c r="F10" s="31">
        <v>1</v>
      </c>
      <c r="G10" s="31">
        <v>0</v>
      </c>
      <c r="H10" s="31">
        <v>0</v>
      </c>
      <c r="I10" s="31">
        <f t="shared" si="0"/>
        <v>5</v>
      </c>
      <c r="J10" s="218">
        <f t="shared" si="1"/>
        <v>423.50000000000006</v>
      </c>
      <c r="K10" s="296">
        <v>0</v>
      </c>
      <c r="L10" s="296">
        <v>30</v>
      </c>
      <c r="M10" s="31">
        <v>2</v>
      </c>
      <c r="N10" s="31">
        <f t="shared" si="2"/>
        <v>10</v>
      </c>
      <c r="O10" s="32">
        <f t="shared" si="3"/>
        <v>907.00000000000011</v>
      </c>
    </row>
    <row r="11" spans="1:16" x14ac:dyDescent="0.2">
      <c r="A11" s="14" t="s">
        <v>35</v>
      </c>
      <c r="B11" s="31">
        <v>16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f t="shared" si="0"/>
        <v>16</v>
      </c>
      <c r="J11" s="218">
        <f t="shared" si="1"/>
        <v>1319.2</v>
      </c>
      <c r="K11" s="296">
        <v>0</v>
      </c>
      <c r="L11" s="296">
        <v>30</v>
      </c>
      <c r="M11" s="31">
        <v>2</v>
      </c>
      <c r="N11" s="31">
        <f t="shared" si="2"/>
        <v>32</v>
      </c>
      <c r="O11" s="32">
        <f t="shared" si="3"/>
        <v>2698.4</v>
      </c>
    </row>
    <row r="12" spans="1:16" x14ac:dyDescent="0.2">
      <c r="A12" s="6" t="s">
        <v>40</v>
      </c>
      <c r="B12" s="31">
        <v>8</v>
      </c>
      <c r="C12" s="31">
        <v>0</v>
      </c>
      <c r="D12" s="31">
        <v>0</v>
      </c>
      <c r="E12" s="31">
        <v>0</v>
      </c>
      <c r="F12" s="31">
        <v>38</v>
      </c>
      <c r="G12" s="31">
        <v>2</v>
      </c>
      <c r="H12" s="31">
        <v>2</v>
      </c>
      <c r="I12" s="31">
        <f t="shared" si="0"/>
        <v>50</v>
      </c>
      <c r="J12" s="218">
        <f t="shared" si="1"/>
        <v>2814.7</v>
      </c>
      <c r="K12" s="296">
        <v>0</v>
      </c>
      <c r="L12" s="296">
        <v>150</v>
      </c>
      <c r="M12" s="31">
        <v>1</v>
      </c>
      <c r="N12" s="31">
        <f t="shared" si="2"/>
        <v>50</v>
      </c>
      <c r="O12" s="32">
        <f t="shared" si="3"/>
        <v>2964.7</v>
      </c>
    </row>
    <row r="13" spans="1:16" ht="25.5" x14ac:dyDescent="0.2">
      <c r="A13" s="14" t="s">
        <v>41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f t="shared" si="0"/>
        <v>0</v>
      </c>
      <c r="J13" s="218">
        <f t="shared" si="1"/>
        <v>0</v>
      </c>
      <c r="K13" s="296">
        <v>0</v>
      </c>
      <c r="L13" s="219">
        <f>44467/3</f>
        <v>14822.333333333334</v>
      </c>
      <c r="M13" s="31">
        <v>1</v>
      </c>
      <c r="N13" s="31">
        <f t="shared" si="2"/>
        <v>0</v>
      </c>
      <c r="O13" s="32">
        <f t="shared" si="3"/>
        <v>14822.333333333334</v>
      </c>
    </row>
    <row r="14" spans="1:16" ht="25.5" x14ac:dyDescent="0.2">
      <c r="A14" s="14" t="s">
        <v>36</v>
      </c>
      <c r="B14" s="31">
        <v>22</v>
      </c>
      <c r="C14" s="31">
        <v>0</v>
      </c>
      <c r="D14" s="31">
        <v>0</v>
      </c>
      <c r="E14" s="31">
        <v>5</v>
      </c>
      <c r="F14" s="31">
        <v>2</v>
      </c>
      <c r="G14" s="31">
        <v>0</v>
      </c>
      <c r="H14" s="31">
        <v>0</v>
      </c>
      <c r="I14" s="31">
        <f t="shared" si="0"/>
        <v>29</v>
      </c>
      <c r="J14" s="218">
        <f t="shared" si="1"/>
        <v>2114.54</v>
      </c>
      <c r="K14" s="296">
        <v>0</v>
      </c>
      <c r="L14" s="296">
        <v>1</v>
      </c>
      <c r="M14" s="31">
        <v>2</v>
      </c>
      <c r="N14" s="31">
        <f t="shared" si="2"/>
        <v>58</v>
      </c>
      <c r="O14" s="32">
        <f t="shared" si="3"/>
        <v>4231.08</v>
      </c>
    </row>
    <row r="15" spans="1:16" ht="25.5" x14ac:dyDescent="0.2">
      <c r="A15" s="14" t="s">
        <v>37</v>
      </c>
      <c r="B15" s="31">
        <v>18</v>
      </c>
      <c r="C15" s="31">
        <v>1</v>
      </c>
      <c r="D15" s="31">
        <v>1</v>
      </c>
      <c r="E15" s="31">
        <v>1</v>
      </c>
      <c r="F15" s="31">
        <v>0</v>
      </c>
      <c r="G15" s="31">
        <v>0</v>
      </c>
      <c r="H15" s="31">
        <v>0</v>
      </c>
      <c r="I15" s="31">
        <f t="shared" si="0"/>
        <v>21</v>
      </c>
      <c r="J15" s="218">
        <f t="shared" si="1"/>
        <v>1808.5500000000002</v>
      </c>
      <c r="K15" s="296">
        <v>0</v>
      </c>
      <c r="L15" s="296">
        <v>3</v>
      </c>
      <c r="M15" s="31">
        <v>2</v>
      </c>
      <c r="N15" s="31">
        <f t="shared" si="2"/>
        <v>42</v>
      </c>
      <c r="O15" s="32">
        <f t="shared" si="3"/>
        <v>3623.1000000000004</v>
      </c>
    </row>
    <row r="16" spans="1:16" ht="25.5" x14ac:dyDescent="0.2">
      <c r="A16" s="14" t="s">
        <v>7</v>
      </c>
      <c r="B16" s="31">
        <v>8</v>
      </c>
      <c r="C16" s="31">
        <v>0</v>
      </c>
      <c r="D16" s="31">
        <v>0</v>
      </c>
      <c r="E16" s="31">
        <v>1</v>
      </c>
      <c r="F16" s="31">
        <v>0</v>
      </c>
      <c r="G16" s="31">
        <v>0</v>
      </c>
      <c r="H16" s="31">
        <v>0</v>
      </c>
      <c r="I16" s="31">
        <f t="shared" si="0"/>
        <v>9</v>
      </c>
      <c r="J16" s="218">
        <f t="shared" si="1"/>
        <v>698.66000000000008</v>
      </c>
      <c r="K16" s="296">
        <v>0</v>
      </c>
      <c r="L16" s="296">
        <v>1</v>
      </c>
      <c r="M16" s="31">
        <v>2</v>
      </c>
      <c r="N16" s="31">
        <f t="shared" si="2"/>
        <v>18</v>
      </c>
      <c r="O16" s="32">
        <f t="shared" si="3"/>
        <v>1399.3200000000002</v>
      </c>
      <c r="P16" s="335"/>
    </row>
    <row r="17" spans="1:15" ht="25.5" x14ac:dyDescent="0.2">
      <c r="A17" s="176" t="s">
        <v>33</v>
      </c>
      <c r="B17" s="177">
        <v>95</v>
      </c>
      <c r="C17" s="177">
        <v>5</v>
      </c>
      <c r="D17" s="177">
        <v>2</v>
      </c>
      <c r="E17" s="177">
        <v>8</v>
      </c>
      <c r="F17" s="177">
        <v>79</v>
      </c>
      <c r="G17" s="177">
        <v>2</v>
      </c>
      <c r="H17" s="177">
        <v>2</v>
      </c>
      <c r="I17" s="170" t="s">
        <v>9</v>
      </c>
      <c r="J17" s="230" t="s">
        <v>9</v>
      </c>
      <c r="K17" s="230">
        <v>0</v>
      </c>
      <c r="L17" s="230" t="s">
        <v>9</v>
      </c>
      <c r="M17" s="177" t="s">
        <v>11</v>
      </c>
      <c r="N17" s="177" t="s">
        <v>11</v>
      </c>
      <c r="O17" s="171" t="s">
        <v>11</v>
      </c>
    </row>
    <row r="18" spans="1:15" ht="25.5" x14ac:dyDescent="0.2">
      <c r="A18" s="176" t="s">
        <v>10</v>
      </c>
      <c r="B18" s="177" t="s">
        <v>11</v>
      </c>
      <c r="C18" s="177" t="s">
        <v>11</v>
      </c>
      <c r="D18" s="177" t="s">
        <v>11</v>
      </c>
      <c r="E18" s="177" t="s">
        <v>11</v>
      </c>
      <c r="F18" s="177" t="s">
        <v>11</v>
      </c>
      <c r="G18" s="177" t="s">
        <v>11</v>
      </c>
      <c r="H18" s="177" t="s">
        <v>11</v>
      </c>
      <c r="I18" s="177" t="s">
        <v>11</v>
      </c>
      <c r="J18" s="230">
        <f>SUMPRODUCT(J6:J16,M6:M16)</f>
        <v>21458.299999999996</v>
      </c>
      <c r="K18" s="230">
        <v>0</v>
      </c>
      <c r="L18" s="230">
        <f>SUMPRODUCT(L8:L16,M8:M16)</f>
        <v>15102.333333333334</v>
      </c>
      <c r="M18" s="177">
        <v>6</v>
      </c>
      <c r="N18" s="178">
        <f>SUM(N8:N16)</f>
        <v>276</v>
      </c>
      <c r="O18" s="171">
        <f>SUM(O8:O16)</f>
        <v>36560.633333333331</v>
      </c>
    </row>
    <row r="19" spans="1:15" x14ac:dyDescent="0.2">
      <c r="A19" s="5" t="s">
        <v>142</v>
      </c>
      <c r="B19" s="28"/>
      <c r="C19" s="28"/>
      <c r="D19" s="28"/>
      <c r="E19" s="28"/>
      <c r="F19" s="28"/>
      <c r="G19" s="28"/>
      <c r="H19" s="28"/>
      <c r="I19" s="28"/>
      <c r="J19" s="29"/>
      <c r="K19" s="28"/>
      <c r="L19" s="29"/>
      <c r="M19" s="28"/>
      <c r="N19" s="30"/>
      <c r="O19" s="29"/>
    </row>
    <row r="20" spans="1:15" x14ac:dyDescent="0.2">
      <c r="A20" s="42" t="s">
        <v>237</v>
      </c>
      <c r="B20" s="28"/>
      <c r="C20" s="28"/>
      <c r="D20" s="28"/>
      <c r="E20" s="28"/>
      <c r="F20" s="28"/>
      <c r="G20" s="28"/>
      <c r="H20" s="28"/>
      <c r="I20" s="28"/>
      <c r="J20" s="29"/>
      <c r="K20" s="28"/>
      <c r="L20" s="29"/>
      <c r="M20" s="28"/>
      <c r="N20" s="30"/>
      <c r="O20" s="29"/>
    </row>
    <row r="21" spans="1:15" x14ac:dyDescent="0.2">
      <c r="B21" s="28"/>
      <c r="C21" s="28"/>
      <c r="D21" s="28"/>
      <c r="E21" s="28"/>
      <c r="F21" s="28"/>
      <c r="G21" s="28"/>
      <c r="H21" s="28"/>
      <c r="I21" s="28"/>
      <c r="J21" s="29"/>
      <c r="K21" s="28"/>
      <c r="L21" s="29"/>
      <c r="M21" s="28"/>
      <c r="N21" s="30"/>
      <c r="O21" s="29"/>
    </row>
  </sheetData>
  <mergeCells count="6">
    <mergeCell ref="A3:O3"/>
    <mergeCell ref="B5:L5"/>
    <mergeCell ref="M5:O5"/>
    <mergeCell ref="A4:O4"/>
    <mergeCell ref="A2:O2"/>
    <mergeCell ref="A5:A6"/>
  </mergeCells>
  <phoneticPr fontId="4" type="noConversion"/>
  <printOptions horizontalCentered="1" verticalCentered="1"/>
  <pageMargins left="0.75" right="0.75" top="1" bottom="1" header="0.5" footer="0.5"/>
  <pageSetup scale="6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0"/>
  <sheetViews>
    <sheetView workbookViewId="0"/>
  </sheetViews>
  <sheetFormatPr defaultColWidth="9.140625" defaultRowHeight="12.75" x14ac:dyDescent="0.2"/>
  <cols>
    <col min="1" max="1" width="16.140625" style="60" customWidth="1"/>
    <col min="2" max="2" width="10.140625" style="60" customWidth="1"/>
    <col min="3" max="3" width="9.85546875" style="60" customWidth="1"/>
    <col min="4" max="4" width="10.28515625" style="60" customWidth="1"/>
    <col min="5" max="6" width="9.28515625" style="60" bestFit="1" customWidth="1"/>
    <col min="7" max="7" width="13.42578125" style="60" customWidth="1"/>
    <col min="8" max="8" width="9.28515625" style="60" bestFit="1" customWidth="1"/>
    <col min="9" max="9" width="12.28515625" style="77" bestFit="1" customWidth="1"/>
    <col min="10" max="10" width="9.28515625" style="60" bestFit="1" customWidth="1"/>
    <col min="11" max="11" width="9.28515625" style="60" customWidth="1"/>
    <col min="12" max="12" width="12.140625" style="60" customWidth="1"/>
    <col min="13" max="256" width="9.140625" style="60"/>
    <col min="257" max="257" width="16.140625" style="60" customWidth="1"/>
    <col min="258" max="258" width="10.140625" style="60" customWidth="1"/>
    <col min="259" max="259" width="9.85546875" style="60" customWidth="1"/>
    <col min="260" max="260" width="10.28515625" style="60" customWidth="1"/>
    <col min="261" max="262" width="9.28515625" style="60" bestFit="1" customWidth="1"/>
    <col min="263" max="263" width="13.42578125" style="60" customWidth="1"/>
    <col min="264" max="264" width="9.28515625" style="60" bestFit="1" customWidth="1"/>
    <col min="265" max="265" width="12.28515625" style="60" bestFit="1" customWidth="1"/>
    <col min="266" max="266" width="9.28515625" style="60" bestFit="1" customWidth="1"/>
    <col min="267" max="267" width="9.28515625" style="60" customWidth="1"/>
    <col min="268" max="268" width="12.140625" style="60" customWidth="1"/>
    <col min="269" max="512" width="9.140625" style="60"/>
    <col min="513" max="513" width="16.140625" style="60" customWidth="1"/>
    <col min="514" max="514" width="10.140625" style="60" customWidth="1"/>
    <col min="515" max="515" width="9.85546875" style="60" customWidth="1"/>
    <col min="516" max="516" width="10.28515625" style="60" customWidth="1"/>
    <col min="517" max="518" width="9.28515625" style="60" bestFit="1" customWidth="1"/>
    <col min="519" max="519" width="13.42578125" style="60" customWidth="1"/>
    <col min="520" max="520" width="9.28515625" style="60" bestFit="1" customWidth="1"/>
    <col min="521" max="521" width="12.28515625" style="60" bestFit="1" customWidth="1"/>
    <col min="522" max="522" width="9.28515625" style="60" bestFit="1" customWidth="1"/>
    <col min="523" max="523" width="9.28515625" style="60" customWidth="1"/>
    <col min="524" max="524" width="12.140625" style="60" customWidth="1"/>
    <col min="525" max="768" width="9.140625" style="60"/>
    <col min="769" max="769" width="16.140625" style="60" customWidth="1"/>
    <col min="770" max="770" width="10.140625" style="60" customWidth="1"/>
    <col min="771" max="771" width="9.85546875" style="60" customWidth="1"/>
    <col min="772" max="772" width="10.28515625" style="60" customWidth="1"/>
    <col min="773" max="774" width="9.28515625" style="60" bestFit="1" customWidth="1"/>
    <col min="775" max="775" width="13.42578125" style="60" customWidth="1"/>
    <col min="776" max="776" width="9.28515625" style="60" bestFit="1" customWidth="1"/>
    <col min="777" max="777" width="12.28515625" style="60" bestFit="1" customWidth="1"/>
    <col min="778" max="778" width="9.28515625" style="60" bestFit="1" customWidth="1"/>
    <col min="779" max="779" width="9.28515625" style="60" customWidth="1"/>
    <col min="780" max="780" width="12.140625" style="60" customWidth="1"/>
    <col min="781" max="1024" width="9.140625" style="60"/>
    <col min="1025" max="1025" width="16.140625" style="60" customWidth="1"/>
    <col min="1026" max="1026" width="10.140625" style="60" customWidth="1"/>
    <col min="1027" max="1027" width="9.85546875" style="60" customWidth="1"/>
    <col min="1028" max="1028" width="10.28515625" style="60" customWidth="1"/>
    <col min="1029" max="1030" width="9.28515625" style="60" bestFit="1" customWidth="1"/>
    <col min="1031" max="1031" width="13.42578125" style="60" customWidth="1"/>
    <col min="1032" max="1032" width="9.28515625" style="60" bestFit="1" customWidth="1"/>
    <col min="1033" max="1033" width="12.28515625" style="60" bestFit="1" customWidth="1"/>
    <col min="1034" max="1034" width="9.28515625" style="60" bestFit="1" customWidth="1"/>
    <col min="1035" max="1035" width="9.28515625" style="60" customWidth="1"/>
    <col min="1036" max="1036" width="12.140625" style="60" customWidth="1"/>
    <col min="1037" max="1280" width="9.140625" style="60"/>
    <col min="1281" max="1281" width="16.140625" style="60" customWidth="1"/>
    <col min="1282" max="1282" width="10.140625" style="60" customWidth="1"/>
    <col min="1283" max="1283" width="9.85546875" style="60" customWidth="1"/>
    <col min="1284" max="1284" width="10.28515625" style="60" customWidth="1"/>
    <col min="1285" max="1286" width="9.28515625" style="60" bestFit="1" customWidth="1"/>
    <col min="1287" max="1287" width="13.42578125" style="60" customWidth="1"/>
    <col min="1288" max="1288" width="9.28515625" style="60" bestFit="1" customWidth="1"/>
    <col min="1289" max="1289" width="12.28515625" style="60" bestFit="1" customWidth="1"/>
    <col min="1290" max="1290" width="9.28515625" style="60" bestFit="1" customWidth="1"/>
    <col min="1291" max="1291" width="9.28515625" style="60" customWidth="1"/>
    <col min="1292" max="1292" width="12.140625" style="60" customWidth="1"/>
    <col min="1293" max="1536" width="9.140625" style="60"/>
    <col min="1537" max="1537" width="16.140625" style="60" customWidth="1"/>
    <col min="1538" max="1538" width="10.140625" style="60" customWidth="1"/>
    <col min="1539" max="1539" width="9.85546875" style="60" customWidth="1"/>
    <col min="1540" max="1540" width="10.28515625" style="60" customWidth="1"/>
    <col min="1541" max="1542" width="9.28515625" style="60" bestFit="1" customWidth="1"/>
    <col min="1543" max="1543" width="13.42578125" style="60" customWidth="1"/>
    <col min="1544" max="1544" width="9.28515625" style="60" bestFit="1" customWidth="1"/>
    <col min="1545" max="1545" width="12.28515625" style="60" bestFit="1" customWidth="1"/>
    <col min="1546" max="1546" width="9.28515625" style="60" bestFit="1" customWidth="1"/>
    <col min="1547" max="1547" width="9.28515625" style="60" customWidth="1"/>
    <col min="1548" max="1548" width="12.140625" style="60" customWidth="1"/>
    <col min="1549" max="1792" width="9.140625" style="60"/>
    <col min="1793" max="1793" width="16.140625" style="60" customWidth="1"/>
    <col min="1794" max="1794" width="10.140625" style="60" customWidth="1"/>
    <col min="1795" max="1795" width="9.85546875" style="60" customWidth="1"/>
    <col min="1796" max="1796" width="10.28515625" style="60" customWidth="1"/>
    <col min="1797" max="1798" width="9.28515625" style="60" bestFit="1" customWidth="1"/>
    <col min="1799" max="1799" width="13.42578125" style="60" customWidth="1"/>
    <col min="1800" max="1800" width="9.28515625" style="60" bestFit="1" customWidth="1"/>
    <col min="1801" max="1801" width="12.28515625" style="60" bestFit="1" customWidth="1"/>
    <col min="1802" max="1802" width="9.28515625" style="60" bestFit="1" customWidth="1"/>
    <col min="1803" max="1803" width="9.28515625" style="60" customWidth="1"/>
    <col min="1804" max="1804" width="12.140625" style="60" customWidth="1"/>
    <col min="1805" max="2048" width="9.140625" style="60"/>
    <col min="2049" max="2049" width="16.140625" style="60" customWidth="1"/>
    <col min="2050" max="2050" width="10.140625" style="60" customWidth="1"/>
    <col min="2051" max="2051" width="9.85546875" style="60" customWidth="1"/>
    <col min="2052" max="2052" width="10.28515625" style="60" customWidth="1"/>
    <col min="2053" max="2054" width="9.28515625" style="60" bestFit="1" customWidth="1"/>
    <col min="2055" max="2055" width="13.42578125" style="60" customWidth="1"/>
    <col min="2056" max="2056" width="9.28515625" style="60" bestFit="1" customWidth="1"/>
    <col min="2057" max="2057" width="12.28515625" style="60" bestFit="1" customWidth="1"/>
    <col min="2058" max="2058" width="9.28515625" style="60" bestFit="1" customWidth="1"/>
    <col min="2059" max="2059" width="9.28515625" style="60" customWidth="1"/>
    <col min="2060" max="2060" width="12.140625" style="60" customWidth="1"/>
    <col min="2061" max="2304" width="9.140625" style="60"/>
    <col min="2305" max="2305" width="16.140625" style="60" customWidth="1"/>
    <col min="2306" max="2306" width="10.140625" style="60" customWidth="1"/>
    <col min="2307" max="2307" width="9.85546875" style="60" customWidth="1"/>
    <col min="2308" max="2308" width="10.28515625" style="60" customWidth="1"/>
    <col min="2309" max="2310" width="9.28515625" style="60" bestFit="1" customWidth="1"/>
    <col min="2311" max="2311" width="13.42578125" style="60" customWidth="1"/>
    <col min="2312" max="2312" width="9.28515625" style="60" bestFit="1" customWidth="1"/>
    <col min="2313" max="2313" width="12.28515625" style="60" bestFit="1" customWidth="1"/>
    <col min="2314" max="2314" width="9.28515625" style="60" bestFit="1" customWidth="1"/>
    <col min="2315" max="2315" width="9.28515625" style="60" customWidth="1"/>
    <col min="2316" max="2316" width="12.140625" style="60" customWidth="1"/>
    <col min="2317" max="2560" width="9.140625" style="60"/>
    <col min="2561" max="2561" width="16.140625" style="60" customWidth="1"/>
    <col min="2562" max="2562" width="10.140625" style="60" customWidth="1"/>
    <col min="2563" max="2563" width="9.85546875" style="60" customWidth="1"/>
    <col min="2564" max="2564" width="10.28515625" style="60" customWidth="1"/>
    <col min="2565" max="2566" width="9.28515625" style="60" bestFit="1" customWidth="1"/>
    <col min="2567" max="2567" width="13.42578125" style="60" customWidth="1"/>
    <col min="2568" max="2568" width="9.28515625" style="60" bestFit="1" customWidth="1"/>
    <col min="2569" max="2569" width="12.28515625" style="60" bestFit="1" customWidth="1"/>
    <col min="2570" max="2570" width="9.28515625" style="60" bestFit="1" customWidth="1"/>
    <col min="2571" max="2571" width="9.28515625" style="60" customWidth="1"/>
    <col min="2572" max="2572" width="12.140625" style="60" customWidth="1"/>
    <col min="2573" max="2816" width="9.140625" style="60"/>
    <col min="2817" max="2817" width="16.140625" style="60" customWidth="1"/>
    <col min="2818" max="2818" width="10.140625" style="60" customWidth="1"/>
    <col min="2819" max="2819" width="9.85546875" style="60" customWidth="1"/>
    <col min="2820" max="2820" width="10.28515625" style="60" customWidth="1"/>
    <col min="2821" max="2822" width="9.28515625" style="60" bestFit="1" customWidth="1"/>
    <col min="2823" max="2823" width="13.42578125" style="60" customWidth="1"/>
    <col min="2824" max="2824" width="9.28515625" style="60" bestFit="1" customWidth="1"/>
    <col min="2825" max="2825" width="12.28515625" style="60" bestFit="1" customWidth="1"/>
    <col min="2826" max="2826" width="9.28515625" style="60" bestFit="1" customWidth="1"/>
    <col min="2827" max="2827" width="9.28515625" style="60" customWidth="1"/>
    <col min="2828" max="2828" width="12.140625" style="60" customWidth="1"/>
    <col min="2829" max="3072" width="9.140625" style="60"/>
    <col min="3073" max="3073" width="16.140625" style="60" customWidth="1"/>
    <col min="3074" max="3074" width="10.140625" style="60" customWidth="1"/>
    <col min="3075" max="3075" width="9.85546875" style="60" customWidth="1"/>
    <col min="3076" max="3076" width="10.28515625" style="60" customWidth="1"/>
    <col min="3077" max="3078" width="9.28515625" style="60" bestFit="1" customWidth="1"/>
    <col min="3079" max="3079" width="13.42578125" style="60" customWidth="1"/>
    <col min="3080" max="3080" width="9.28515625" style="60" bestFit="1" customWidth="1"/>
    <col min="3081" max="3081" width="12.28515625" style="60" bestFit="1" customWidth="1"/>
    <col min="3082" max="3082" width="9.28515625" style="60" bestFit="1" customWidth="1"/>
    <col min="3083" max="3083" width="9.28515625" style="60" customWidth="1"/>
    <col min="3084" max="3084" width="12.140625" style="60" customWidth="1"/>
    <col min="3085" max="3328" width="9.140625" style="60"/>
    <col min="3329" max="3329" width="16.140625" style="60" customWidth="1"/>
    <col min="3330" max="3330" width="10.140625" style="60" customWidth="1"/>
    <col min="3331" max="3331" width="9.85546875" style="60" customWidth="1"/>
    <col min="3332" max="3332" width="10.28515625" style="60" customWidth="1"/>
    <col min="3333" max="3334" width="9.28515625" style="60" bestFit="1" customWidth="1"/>
    <col min="3335" max="3335" width="13.42578125" style="60" customWidth="1"/>
    <col min="3336" max="3336" width="9.28515625" style="60" bestFit="1" customWidth="1"/>
    <col min="3337" max="3337" width="12.28515625" style="60" bestFit="1" customWidth="1"/>
    <col min="3338" max="3338" width="9.28515625" style="60" bestFit="1" customWidth="1"/>
    <col min="3339" max="3339" width="9.28515625" style="60" customWidth="1"/>
    <col min="3340" max="3340" width="12.140625" style="60" customWidth="1"/>
    <col min="3341" max="3584" width="9.140625" style="60"/>
    <col min="3585" max="3585" width="16.140625" style="60" customWidth="1"/>
    <col min="3586" max="3586" width="10.140625" style="60" customWidth="1"/>
    <col min="3587" max="3587" width="9.85546875" style="60" customWidth="1"/>
    <col min="3588" max="3588" width="10.28515625" style="60" customWidth="1"/>
    <col min="3589" max="3590" width="9.28515625" style="60" bestFit="1" customWidth="1"/>
    <col min="3591" max="3591" width="13.42578125" style="60" customWidth="1"/>
    <col min="3592" max="3592" width="9.28515625" style="60" bestFit="1" customWidth="1"/>
    <col min="3593" max="3593" width="12.28515625" style="60" bestFit="1" customWidth="1"/>
    <col min="3594" max="3594" width="9.28515625" style="60" bestFit="1" customWidth="1"/>
    <col min="3595" max="3595" width="9.28515625" style="60" customWidth="1"/>
    <col min="3596" max="3596" width="12.140625" style="60" customWidth="1"/>
    <col min="3597" max="3840" width="9.140625" style="60"/>
    <col min="3841" max="3841" width="16.140625" style="60" customWidth="1"/>
    <col min="3842" max="3842" width="10.140625" style="60" customWidth="1"/>
    <col min="3843" max="3843" width="9.85546875" style="60" customWidth="1"/>
    <col min="3844" max="3844" width="10.28515625" style="60" customWidth="1"/>
    <col min="3845" max="3846" width="9.28515625" style="60" bestFit="1" customWidth="1"/>
    <col min="3847" max="3847" width="13.42578125" style="60" customWidth="1"/>
    <col min="3848" max="3848" width="9.28515625" style="60" bestFit="1" customWidth="1"/>
    <col min="3849" max="3849" width="12.28515625" style="60" bestFit="1" customWidth="1"/>
    <col min="3850" max="3850" width="9.28515625" style="60" bestFit="1" customWidth="1"/>
    <col min="3851" max="3851" width="9.28515625" style="60" customWidth="1"/>
    <col min="3852" max="3852" width="12.140625" style="60" customWidth="1"/>
    <col min="3853" max="4096" width="9.140625" style="60"/>
    <col min="4097" max="4097" width="16.140625" style="60" customWidth="1"/>
    <col min="4098" max="4098" width="10.140625" style="60" customWidth="1"/>
    <col min="4099" max="4099" width="9.85546875" style="60" customWidth="1"/>
    <col min="4100" max="4100" width="10.28515625" style="60" customWidth="1"/>
    <col min="4101" max="4102" width="9.28515625" style="60" bestFit="1" customWidth="1"/>
    <col min="4103" max="4103" width="13.42578125" style="60" customWidth="1"/>
    <col min="4104" max="4104" width="9.28515625" style="60" bestFit="1" customWidth="1"/>
    <col min="4105" max="4105" width="12.28515625" style="60" bestFit="1" customWidth="1"/>
    <col min="4106" max="4106" width="9.28515625" style="60" bestFit="1" customWidth="1"/>
    <col min="4107" max="4107" width="9.28515625" style="60" customWidth="1"/>
    <col min="4108" max="4108" width="12.140625" style="60" customWidth="1"/>
    <col min="4109" max="4352" width="9.140625" style="60"/>
    <col min="4353" max="4353" width="16.140625" style="60" customWidth="1"/>
    <col min="4354" max="4354" width="10.140625" style="60" customWidth="1"/>
    <col min="4355" max="4355" width="9.85546875" style="60" customWidth="1"/>
    <col min="4356" max="4356" width="10.28515625" style="60" customWidth="1"/>
    <col min="4357" max="4358" width="9.28515625" style="60" bestFit="1" customWidth="1"/>
    <col min="4359" max="4359" width="13.42578125" style="60" customWidth="1"/>
    <col min="4360" max="4360" width="9.28515625" style="60" bestFit="1" customWidth="1"/>
    <col min="4361" max="4361" width="12.28515625" style="60" bestFit="1" customWidth="1"/>
    <col min="4362" max="4362" width="9.28515625" style="60" bestFit="1" customWidth="1"/>
    <col min="4363" max="4363" width="9.28515625" style="60" customWidth="1"/>
    <col min="4364" max="4364" width="12.140625" style="60" customWidth="1"/>
    <col min="4365" max="4608" width="9.140625" style="60"/>
    <col min="4609" max="4609" width="16.140625" style="60" customWidth="1"/>
    <col min="4610" max="4610" width="10.140625" style="60" customWidth="1"/>
    <col min="4611" max="4611" width="9.85546875" style="60" customWidth="1"/>
    <col min="4612" max="4612" width="10.28515625" style="60" customWidth="1"/>
    <col min="4613" max="4614" width="9.28515625" style="60" bestFit="1" customWidth="1"/>
    <col min="4615" max="4615" width="13.42578125" style="60" customWidth="1"/>
    <col min="4616" max="4616" width="9.28515625" style="60" bestFit="1" customWidth="1"/>
    <col min="4617" max="4617" width="12.28515625" style="60" bestFit="1" customWidth="1"/>
    <col min="4618" max="4618" width="9.28515625" style="60" bestFit="1" customWidth="1"/>
    <col min="4619" max="4619" width="9.28515625" style="60" customWidth="1"/>
    <col min="4620" max="4620" width="12.140625" style="60" customWidth="1"/>
    <col min="4621" max="4864" width="9.140625" style="60"/>
    <col min="4865" max="4865" width="16.140625" style="60" customWidth="1"/>
    <col min="4866" max="4866" width="10.140625" style="60" customWidth="1"/>
    <col min="4867" max="4867" width="9.85546875" style="60" customWidth="1"/>
    <col min="4868" max="4868" width="10.28515625" style="60" customWidth="1"/>
    <col min="4869" max="4870" width="9.28515625" style="60" bestFit="1" customWidth="1"/>
    <col min="4871" max="4871" width="13.42578125" style="60" customWidth="1"/>
    <col min="4872" max="4872" width="9.28515625" style="60" bestFit="1" customWidth="1"/>
    <col min="4873" max="4873" width="12.28515625" style="60" bestFit="1" customWidth="1"/>
    <col min="4874" max="4874" width="9.28515625" style="60" bestFit="1" customWidth="1"/>
    <col min="4875" max="4875" width="9.28515625" style="60" customWidth="1"/>
    <col min="4876" max="4876" width="12.140625" style="60" customWidth="1"/>
    <col min="4877" max="5120" width="9.140625" style="60"/>
    <col min="5121" max="5121" width="16.140625" style="60" customWidth="1"/>
    <col min="5122" max="5122" width="10.140625" style="60" customWidth="1"/>
    <col min="5123" max="5123" width="9.85546875" style="60" customWidth="1"/>
    <col min="5124" max="5124" width="10.28515625" style="60" customWidth="1"/>
    <col min="5125" max="5126" width="9.28515625" style="60" bestFit="1" customWidth="1"/>
    <col min="5127" max="5127" width="13.42578125" style="60" customWidth="1"/>
    <col min="5128" max="5128" width="9.28515625" style="60" bestFit="1" customWidth="1"/>
    <col min="5129" max="5129" width="12.28515625" style="60" bestFit="1" customWidth="1"/>
    <col min="5130" max="5130" width="9.28515625" style="60" bestFit="1" customWidth="1"/>
    <col min="5131" max="5131" width="9.28515625" style="60" customWidth="1"/>
    <col min="5132" max="5132" width="12.140625" style="60" customWidth="1"/>
    <col min="5133" max="5376" width="9.140625" style="60"/>
    <col min="5377" max="5377" width="16.140625" style="60" customWidth="1"/>
    <col min="5378" max="5378" width="10.140625" style="60" customWidth="1"/>
    <col min="5379" max="5379" width="9.85546875" style="60" customWidth="1"/>
    <col min="5380" max="5380" width="10.28515625" style="60" customWidth="1"/>
    <col min="5381" max="5382" width="9.28515625" style="60" bestFit="1" customWidth="1"/>
    <col min="5383" max="5383" width="13.42578125" style="60" customWidth="1"/>
    <col min="5384" max="5384" width="9.28515625" style="60" bestFit="1" customWidth="1"/>
    <col min="5385" max="5385" width="12.28515625" style="60" bestFit="1" customWidth="1"/>
    <col min="5386" max="5386" width="9.28515625" style="60" bestFit="1" customWidth="1"/>
    <col min="5387" max="5387" width="9.28515625" style="60" customWidth="1"/>
    <col min="5388" max="5388" width="12.140625" style="60" customWidth="1"/>
    <col min="5389" max="5632" width="9.140625" style="60"/>
    <col min="5633" max="5633" width="16.140625" style="60" customWidth="1"/>
    <col min="5634" max="5634" width="10.140625" style="60" customWidth="1"/>
    <col min="5635" max="5635" width="9.85546875" style="60" customWidth="1"/>
    <col min="5636" max="5636" width="10.28515625" style="60" customWidth="1"/>
    <col min="5637" max="5638" width="9.28515625" style="60" bestFit="1" customWidth="1"/>
    <col min="5639" max="5639" width="13.42578125" style="60" customWidth="1"/>
    <col min="5640" max="5640" width="9.28515625" style="60" bestFit="1" customWidth="1"/>
    <col min="5641" max="5641" width="12.28515625" style="60" bestFit="1" customWidth="1"/>
    <col min="5642" max="5642" width="9.28515625" style="60" bestFit="1" customWidth="1"/>
    <col min="5643" max="5643" width="9.28515625" style="60" customWidth="1"/>
    <col min="5644" max="5644" width="12.140625" style="60" customWidth="1"/>
    <col min="5645" max="5888" width="9.140625" style="60"/>
    <col min="5889" max="5889" width="16.140625" style="60" customWidth="1"/>
    <col min="5890" max="5890" width="10.140625" style="60" customWidth="1"/>
    <col min="5891" max="5891" width="9.85546875" style="60" customWidth="1"/>
    <col min="5892" max="5892" width="10.28515625" style="60" customWidth="1"/>
    <col min="5893" max="5894" width="9.28515625" style="60" bestFit="1" customWidth="1"/>
    <col min="5895" max="5895" width="13.42578125" style="60" customWidth="1"/>
    <col min="5896" max="5896" width="9.28515625" style="60" bestFit="1" customWidth="1"/>
    <col min="5897" max="5897" width="12.28515625" style="60" bestFit="1" customWidth="1"/>
    <col min="5898" max="5898" width="9.28515625" style="60" bestFit="1" customWidth="1"/>
    <col min="5899" max="5899" width="9.28515625" style="60" customWidth="1"/>
    <col min="5900" max="5900" width="12.140625" style="60" customWidth="1"/>
    <col min="5901" max="6144" width="9.140625" style="60"/>
    <col min="6145" max="6145" width="16.140625" style="60" customWidth="1"/>
    <col min="6146" max="6146" width="10.140625" style="60" customWidth="1"/>
    <col min="6147" max="6147" width="9.85546875" style="60" customWidth="1"/>
    <col min="6148" max="6148" width="10.28515625" style="60" customWidth="1"/>
    <col min="6149" max="6150" width="9.28515625" style="60" bestFit="1" customWidth="1"/>
    <col min="6151" max="6151" width="13.42578125" style="60" customWidth="1"/>
    <col min="6152" max="6152" width="9.28515625" style="60" bestFit="1" customWidth="1"/>
    <col min="6153" max="6153" width="12.28515625" style="60" bestFit="1" customWidth="1"/>
    <col min="6154" max="6154" width="9.28515625" style="60" bestFit="1" customWidth="1"/>
    <col min="6155" max="6155" width="9.28515625" style="60" customWidth="1"/>
    <col min="6156" max="6156" width="12.140625" style="60" customWidth="1"/>
    <col min="6157" max="6400" width="9.140625" style="60"/>
    <col min="6401" max="6401" width="16.140625" style="60" customWidth="1"/>
    <col min="6402" max="6402" width="10.140625" style="60" customWidth="1"/>
    <col min="6403" max="6403" width="9.85546875" style="60" customWidth="1"/>
    <col min="6404" max="6404" width="10.28515625" style="60" customWidth="1"/>
    <col min="6405" max="6406" width="9.28515625" style="60" bestFit="1" customWidth="1"/>
    <col min="6407" max="6407" width="13.42578125" style="60" customWidth="1"/>
    <col min="6408" max="6408" width="9.28515625" style="60" bestFit="1" customWidth="1"/>
    <col min="6409" max="6409" width="12.28515625" style="60" bestFit="1" customWidth="1"/>
    <col min="6410" max="6410" width="9.28515625" style="60" bestFit="1" customWidth="1"/>
    <col min="6411" max="6411" width="9.28515625" style="60" customWidth="1"/>
    <col min="6412" max="6412" width="12.140625" style="60" customWidth="1"/>
    <col min="6413" max="6656" width="9.140625" style="60"/>
    <col min="6657" max="6657" width="16.140625" style="60" customWidth="1"/>
    <col min="6658" max="6658" width="10.140625" style="60" customWidth="1"/>
    <col min="6659" max="6659" width="9.85546875" style="60" customWidth="1"/>
    <col min="6660" max="6660" width="10.28515625" style="60" customWidth="1"/>
    <col min="6661" max="6662" width="9.28515625" style="60" bestFit="1" customWidth="1"/>
    <col min="6663" max="6663" width="13.42578125" style="60" customWidth="1"/>
    <col min="6664" max="6664" width="9.28515625" style="60" bestFit="1" customWidth="1"/>
    <col min="6665" max="6665" width="12.28515625" style="60" bestFit="1" customWidth="1"/>
    <col min="6666" max="6666" width="9.28515625" style="60" bestFit="1" customWidth="1"/>
    <col min="6667" max="6667" width="9.28515625" style="60" customWidth="1"/>
    <col min="6668" max="6668" width="12.140625" style="60" customWidth="1"/>
    <col min="6669" max="6912" width="9.140625" style="60"/>
    <col min="6913" max="6913" width="16.140625" style="60" customWidth="1"/>
    <col min="6914" max="6914" width="10.140625" style="60" customWidth="1"/>
    <col min="6915" max="6915" width="9.85546875" style="60" customWidth="1"/>
    <col min="6916" max="6916" width="10.28515625" style="60" customWidth="1"/>
    <col min="6917" max="6918" width="9.28515625" style="60" bestFit="1" customWidth="1"/>
    <col min="6919" max="6919" width="13.42578125" style="60" customWidth="1"/>
    <col min="6920" max="6920" width="9.28515625" style="60" bestFit="1" customWidth="1"/>
    <col min="6921" max="6921" width="12.28515625" style="60" bestFit="1" customWidth="1"/>
    <col min="6922" max="6922" width="9.28515625" style="60" bestFit="1" customWidth="1"/>
    <col min="6923" max="6923" width="9.28515625" style="60" customWidth="1"/>
    <col min="6924" max="6924" width="12.140625" style="60" customWidth="1"/>
    <col min="6925" max="7168" width="9.140625" style="60"/>
    <col min="7169" max="7169" width="16.140625" style="60" customWidth="1"/>
    <col min="7170" max="7170" width="10.140625" style="60" customWidth="1"/>
    <col min="7171" max="7171" width="9.85546875" style="60" customWidth="1"/>
    <col min="7172" max="7172" width="10.28515625" style="60" customWidth="1"/>
    <col min="7173" max="7174" width="9.28515625" style="60" bestFit="1" customWidth="1"/>
    <col min="7175" max="7175" width="13.42578125" style="60" customWidth="1"/>
    <col min="7176" max="7176" width="9.28515625" style="60" bestFit="1" customWidth="1"/>
    <col min="7177" max="7177" width="12.28515625" style="60" bestFit="1" customWidth="1"/>
    <col min="7178" max="7178" width="9.28515625" style="60" bestFit="1" customWidth="1"/>
    <col min="7179" max="7179" width="9.28515625" style="60" customWidth="1"/>
    <col min="7180" max="7180" width="12.140625" style="60" customWidth="1"/>
    <col min="7181" max="7424" width="9.140625" style="60"/>
    <col min="7425" max="7425" width="16.140625" style="60" customWidth="1"/>
    <col min="7426" max="7426" width="10.140625" style="60" customWidth="1"/>
    <col min="7427" max="7427" width="9.85546875" style="60" customWidth="1"/>
    <col min="7428" max="7428" width="10.28515625" style="60" customWidth="1"/>
    <col min="7429" max="7430" width="9.28515625" style="60" bestFit="1" customWidth="1"/>
    <col min="7431" max="7431" width="13.42578125" style="60" customWidth="1"/>
    <col min="7432" max="7432" width="9.28515625" style="60" bestFit="1" customWidth="1"/>
    <col min="7433" max="7433" width="12.28515625" style="60" bestFit="1" customWidth="1"/>
    <col min="7434" max="7434" width="9.28515625" style="60" bestFit="1" customWidth="1"/>
    <col min="7435" max="7435" width="9.28515625" style="60" customWidth="1"/>
    <col min="7436" max="7436" width="12.140625" style="60" customWidth="1"/>
    <col min="7437" max="7680" width="9.140625" style="60"/>
    <col min="7681" max="7681" width="16.140625" style="60" customWidth="1"/>
    <col min="7682" max="7682" width="10.140625" style="60" customWidth="1"/>
    <col min="7683" max="7683" width="9.85546875" style="60" customWidth="1"/>
    <col min="7684" max="7684" width="10.28515625" style="60" customWidth="1"/>
    <col min="7685" max="7686" width="9.28515625" style="60" bestFit="1" customWidth="1"/>
    <col min="7687" max="7687" width="13.42578125" style="60" customWidth="1"/>
    <col min="7688" max="7688" width="9.28515625" style="60" bestFit="1" customWidth="1"/>
    <col min="7689" max="7689" width="12.28515625" style="60" bestFit="1" customWidth="1"/>
    <col min="7690" max="7690" width="9.28515625" style="60" bestFit="1" customWidth="1"/>
    <col min="7691" max="7691" width="9.28515625" style="60" customWidth="1"/>
    <col min="7692" max="7692" width="12.140625" style="60" customWidth="1"/>
    <col min="7693" max="7936" width="9.140625" style="60"/>
    <col min="7937" max="7937" width="16.140625" style="60" customWidth="1"/>
    <col min="7938" max="7938" width="10.140625" style="60" customWidth="1"/>
    <col min="7939" max="7939" width="9.85546875" style="60" customWidth="1"/>
    <col min="7940" max="7940" width="10.28515625" style="60" customWidth="1"/>
    <col min="7941" max="7942" width="9.28515625" style="60" bestFit="1" customWidth="1"/>
    <col min="7943" max="7943" width="13.42578125" style="60" customWidth="1"/>
    <col min="7944" max="7944" width="9.28515625" style="60" bestFit="1" customWidth="1"/>
    <col min="7945" max="7945" width="12.28515625" style="60" bestFit="1" customWidth="1"/>
    <col min="7946" max="7946" width="9.28515625" style="60" bestFit="1" customWidth="1"/>
    <col min="7947" max="7947" width="9.28515625" style="60" customWidth="1"/>
    <col min="7948" max="7948" width="12.140625" style="60" customWidth="1"/>
    <col min="7949" max="8192" width="9.140625" style="60"/>
    <col min="8193" max="8193" width="16.140625" style="60" customWidth="1"/>
    <col min="8194" max="8194" width="10.140625" style="60" customWidth="1"/>
    <col min="8195" max="8195" width="9.85546875" style="60" customWidth="1"/>
    <col min="8196" max="8196" width="10.28515625" style="60" customWidth="1"/>
    <col min="8197" max="8198" width="9.28515625" style="60" bestFit="1" customWidth="1"/>
    <col min="8199" max="8199" width="13.42578125" style="60" customWidth="1"/>
    <col min="8200" max="8200" width="9.28515625" style="60" bestFit="1" customWidth="1"/>
    <col min="8201" max="8201" width="12.28515625" style="60" bestFit="1" customWidth="1"/>
    <col min="8202" max="8202" width="9.28515625" style="60" bestFit="1" customWidth="1"/>
    <col min="8203" max="8203" width="9.28515625" style="60" customWidth="1"/>
    <col min="8204" max="8204" width="12.140625" style="60" customWidth="1"/>
    <col min="8205" max="8448" width="9.140625" style="60"/>
    <col min="8449" max="8449" width="16.140625" style="60" customWidth="1"/>
    <col min="8450" max="8450" width="10.140625" style="60" customWidth="1"/>
    <col min="8451" max="8451" width="9.85546875" style="60" customWidth="1"/>
    <col min="8452" max="8452" width="10.28515625" style="60" customWidth="1"/>
    <col min="8453" max="8454" width="9.28515625" style="60" bestFit="1" customWidth="1"/>
    <col min="8455" max="8455" width="13.42578125" style="60" customWidth="1"/>
    <col min="8456" max="8456" width="9.28515625" style="60" bestFit="1" customWidth="1"/>
    <col min="8457" max="8457" width="12.28515625" style="60" bestFit="1" customWidth="1"/>
    <col min="8458" max="8458" width="9.28515625" style="60" bestFit="1" customWidth="1"/>
    <col min="8459" max="8459" width="9.28515625" style="60" customWidth="1"/>
    <col min="8460" max="8460" width="12.140625" style="60" customWidth="1"/>
    <col min="8461" max="8704" width="9.140625" style="60"/>
    <col min="8705" max="8705" width="16.140625" style="60" customWidth="1"/>
    <col min="8706" max="8706" width="10.140625" style="60" customWidth="1"/>
    <col min="8707" max="8707" width="9.85546875" style="60" customWidth="1"/>
    <col min="8708" max="8708" width="10.28515625" style="60" customWidth="1"/>
    <col min="8709" max="8710" width="9.28515625" style="60" bestFit="1" customWidth="1"/>
    <col min="8711" max="8711" width="13.42578125" style="60" customWidth="1"/>
    <col min="8712" max="8712" width="9.28515625" style="60" bestFit="1" customWidth="1"/>
    <col min="8713" max="8713" width="12.28515625" style="60" bestFit="1" customWidth="1"/>
    <col min="8714" max="8714" width="9.28515625" style="60" bestFit="1" customWidth="1"/>
    <col min="8715" max="8715" width="9.28515625" style="60" customWidth="1"/>
    <col min="8716" max="8716" width="12.140625" style="60" customWidth="1"/>
    <col min="8717" max="8960" width="9.140625" style="60"/>
    <col min="8961" max="8961" width="16.140625" style="60" customWidth="1"/>
    <col min="8962" max="8962" width="10.140625" style="60" customWidth="1"/>
    <col min="8963" max="8963" width="9.85546875" style="60" customWidth="1"/>
    <col min="8964" max="8964" width="10.28515625" style="60" customWidth="1"/>
    <col min="8965" max="8966" width="9.28515625" style="60" bestFit="1" customWidth="1"/>
    <col min="8967" max="8967" width="13.42578125" style="60" customWidth="1"/>
    <col min="8968" max="8968" width="9.28515625" style="60" bestFit="1" customWidth="1"/>
    <col min="8969" max="8969" width="12.28515625" style="60" bestFit="1" customWidth="1"/>
    <col min="8970" max="8970" width="9.28515625" style="60" bestFit="1" customWidth="1"/>
    <col min="8971" max="8971" width="9.28515625" style="60" customWidth="1"/>
    <col min="8972" max="8972" width="12.140625" style="60" customWidth="1"/>
    <col min="8973" max="9216" width="9.140625" style="60"/>
    <col min="9217" max="9217" width="16.140625" style="60" customWidth="1"/>
    <col min="9218" max="9218" width="10.140625" style="60" customWidth="1"/>
    <col min="9219" max="9219" width="9.85546875" style="60" customWidth="1"/>
    <col min="9220" max="9220" width="10.28515625" style="60" customWidth="1"/>
    <col min="9221" max="9222" width="9.28515625" style="60" bestFit="1" customWidth="1"/>
    <col min="9223" max="9223" width="13.42578125" style="60" customWidth="1"/>
    <col min="9224" max="9224" width="9.28515625" style="60" bestFit="1" customWidth="1"/>
    <col min="9225" max="9225" width="12.28515625" style="60" bestFit="1" customWidth="1"/>
    <col min="9226" max="9226" width="9.28515625" style="60" bestFit="1" customWidth="1"/>
    <col min="9227" max="9227" width="9.28515625" style="60" customWidth="1"/>
    <col min="9228" max="9228" width="12.140625" style="60" customWidth="1"/>
    <col min="9229" max="9472" width="9.140625" style="60"/>
    <col min="9473" max="9473" width="16.140625" style="60" customWidth="1"/>
    <col min="9474" max="9474" width="10.140625" style="60" customWidth="1"/>
    <col min="9475" max="9475" width="9.85546875" style="60" customWidth="1"/>
    <col min="9476" max="9476" width="10.28515625" style="60" customWidth="1"/>
    <col min="9477" max="9478" width="9.28515625" style="60" bestFit="1" customWidth="1"/>
    <col min="9479" max="9479" width="13.42578125" style="60" customWidth="1"/>
    <col min="9480" max="9480" width="9.28515625" style="60" bestFit="1" customWidth="1"/>
    <col min="9481" max="9481" width="12.28515625" style="60" bestFit="1" customWidth="1"/>
    <col min="9482" max="9482" width="9.28515625" style="60" bestFit="1" customWidth="1"/>
    <col min="9483" max="9483" width="9.28515625" style="60" customWidth="1"/>
    <col min="9484" max="9484" width="12.140625" style="60" customWidth="1"/>
    <col min="9485" max="9728" width="9.140625" style="60"/>
    <col min="9729" max="9729" width="16.140625" style="60" customWidth="1"/>
    <col min="9730" max="9730" width="10.140625" style="60" customWidth="1"/>
    <col min="9731" max="9731" width="9.85546875" style="60" customWidth="1"/>
    <col min="9732" max="9732" width="10.28515625" style="60" customWidth="1"/>
    <col min="9733" max="9734" width="9.28515625" style="60" bestFit="1" customWidth="1"/>
    <col min="9735" max="9735" width="13.42578125" style="60" customWidth="1"/>
    <col min="9736" max="9736" width="9.28515625" style="60" bestFit="1" customWidth="1"/>
    <col min="9737" max="9737" width="12.28515625" style="60" bestFit="1" customWidth="1"/>
    <col min="9738" max="9738" width="9.28515625" style="60" bestFit="1" customWidth="1"/>
    <col min="9739" max="9739" width="9.28515625" style="60" customWidth="1"/>
    <col min="9740" max="9740" width="12.140625" style="60" customWidth="1"/>
    <col min="9741" max="9984" width="9.140625" style="60"/>
    <col min="9985" max="9985" width="16.140625" style="60" customWidth="1"/>
    <col min="9986" max="9986" width="10.140625" style="60" customWidth="1"/>
    <col min="9987" max="9987" width="9.85546875" style="60" customWidth="1"/>
    <col min="9988" max="9988" width="10.28515625" style="60" customWidth="1"/>
    <col min="9989" max="9990" width="9.28515625" style="60" bestFit="1" customWidth="1"/>
    <col min="9991" max="9991" width="13.42578125" style="60" customWidth="1"/>
    <col min="9992" max="9992" width="9.28515625" style="60" bestFit="1" customWidth="1"/>
    <col min="9993" max="9993" width="12.28515625" style="60" bestFit="1" customWidth="1"/>
    <col min="9994" max="9994" width="9.28515625" style="60" bestFit="1" customWidth="1"/>
    <col min="9995" max="9995" width="9.28515625" style="60" customWidth="1"/>
    <col min="9996" max="9996" width="12.140625" style="60" customWidth="1"/>
    <col min="9997" max="10240" width="9.140625" style="60"/>
    <col min="10241" max="10241" width="16.140625" style="60" customWidth="1"/>
    <col min="10242" max="10242" width="10.140625" style="60" customWidth="1"/>
    <col min="10243" max="10243" width="9.85546875" style="60" customWidth="1"/>
    <col min="10244" max="10244" width="10.28515625" style="60" customWidth="1"/>
    <col min="10245" max="10246" width="9.28515625" style="60" bestFit="1" customWidth="1"/>
    <col min="10247" max="10247" width="13.42578125" style="60" customWidth="1"/>
    <col min="10248" max="10248" width="9.28515625" style="60" bestFit="1" customWidth="1"/>
    <col min="10249" max="10249" width="12.28515625" style="60" bestFit="1" customWidth="1"/>
    <col min="10250" max="10250" width="9.28515625" style="60" bestFit="1" customWidth="1"/>
    <col min="10251" max="10251" width="9.28515625" style="60" customWidth="1"/>
    <col min="10252" max="10252" width="12.140625" style="60" customWidth="1"/>
    <col min="10253" max="10496" width="9.140625" style="60"/>
    <col min="10497" max="10497" width="16.140625" style="60" customWidth="1"/>
    <col min="10498" max="10498" width="10.140625" style="60" customWidth="1"/>
    <col min="10499" max="10499" width="9.85546875" style="60" customWidth="1"/>
    <col min="10500" max="10500" width="10.28515625" style="60" customWidth="1"/>
    <col min="10501" max="10502" width="9.28515625" style="60" bestFit="1" customWidth="1"/>
    <col min="10503" max="10503" width="13.42578125" style="60" customWidth="1"/>
    <col min="10504" max="10504" width="9.28515625" style="60" bestFit="1" customWidth="1"/>
    <col min="10505" max="10505" width="12.28515625" style="60" bestFit="1" customWidth="1"/>
    <col min="10506" max="10506" width="9.28515625" style="60" bestFit="1" customWidth="1"/>
    <col min="10507" max="10507" width="9.28515625" style="60" customWidth="1"/>
    <col min="10508" max="10508" width="12.140625" style="60" customWidth="1"/>
    <col min="10509" max="10752" width="9.140625" style="60"/>
    <col min="10753" max="10753" width="16.140625" style="60" customWidth="1"/>
    <col min="10754" max="10754" width="10.140625" style="60" customWidth="1"/>
    <col min="10755" max="10755" width="9.85546875" style="60" customWidth="1"/>
    <col min="10756" max="10756" width="10.28515625" style="60" customWidth="1"/>
    <col min="10757" max="10758" width="9.28515625" style="60" bestFit="1" customWidth="1"/>
    <col min="10759" max="10759" width="13.42578125" style="60" customWidth="1"/>
    <col min="10760" max="10760" width="9.28515625" style="60" bestFit="1" customWidth="1"/>
    <col min="10761" max="10761" width="12.28515625" style="60" bestFit="1" customWidth="1"/>
    <col min="10762" max="10762" width="9.28515625" style="60" bestFit="1" customWidth="1"/>
    <col min="10763" max="10763" width="9.28515625" style="60" customWidth="1"/>
    <col min="10764" max="10764" width="12.140625" style="60" customWidth="1"/>
    <col min="10765" max="11008" width="9.140625" style="60"/>
    <col min="11009" max="11009" width="16.140625" style="60" customWidth="1"/>
    <col min="11010" max="11010" width="10.140625" style="60" customWidth="1"/>
    <col min="11011" max="11011" width="9.85546875" style="60" customWidth="1"/>
    <col min="11012" max="11012" width="10.28515625" style="60" customWidth="1"/>
    <col min="11013" max="11014" width="9.28515625" style="60" bestFit="1" customWidth="1"/>
    <col min="11015" max="11015" width="13.42578125" style="60" customWidth="1"/>
    <col min="11016" max="11016" width="9.28515625" style="60" bestFit="1" customWidth="1"/>
    <col min="11017" max="11017" width="12.28515625" style="60" bestFit="1" customWidth="1"/>
    <col min="11018" max="11018" width="9.28515625" style="60" bestFit="1" customWidth="1"/>
    <col min="11019" max="11019" width="9.28515625" style="60" customWidth="1"/>
    <col min="11020" max="11020" width="12.140625" style="60" customWidth="1"/>
    <col min="11021" max="11264" width="9.140625" style="60"/>
    <col min="11265" max="11265" width="16.140625" style="60" customWidth="1"/>
    <col min="11266" max="11266" width="10.140625" style="60" customWidth="1"/>
    <col min="11267" max="11267" width="9.85546875" style="60" customWidth="1"/>
    <col min="11268" max="11268" width="10.28515625" style="60" customWidth="1"/>
    <col min="11269" max="11270" width="9.28515625" style="60" bestFit="1" customWidth="1"/>
    <col min="11271" max="11271" width="13.42578125" style="60" customWidth="1"/>
    <col min="11272" max="11272" width="9.28515625" style="60" bestFit="1" customWidth="1"/>
    <col min="11273" max="11273" width="12.28515625" style="60" bestFit="1" customWidth="1"/>
    <col min="11274" max="11274" width="9.28515625" style="60" bestFit="1" customWidth="1"/>
    <col min="11275" max="11275" width="9.28515625" style="60" customWidth="1"/>
    <col min="11276" max="11276" width="12.140625" style="60" customWidth="1"/>
    <col min="11277" max="11520" width="9.140625" style="60"/>
    <col min="11521" max="11521" width="16.140625" style="60" customWidth="1"/>
    <col min="11522" max="11522" width="10.140625" style="60" customWidth="1"/>
    <col min="11523" max="11523" width="9.85546875" style="60" customWidth="1"/>
    <col min="11524" max="11524" width="10.28515625" style="60" customWidth="1"/>
    <col min="11525" max="11526" width="9.28515625" style="60" bestFit="1" customWidth="1"/>
    <col min="11527" max="11527" width="13.42578125" style="60" customWidth="1"/>
    <col min="11528" max="11528" width="9.28515625" style="60" bestFit="1" customWidth="1"/>
    <col min="11529" max="11529" width="12.28515625" style="60" bestFit="1" customWidth="1"/>
    <col min="11530" max="11530" width="9.28515625" style="60" bestFit="1" customWidth="1"/>
    <col min="11531" max="11531" width="9.28515625" style="60" customWidth="1"/>
    <col min="11532" max="11532" width="12.140625" style="60" customWidth="1"/>
    <col min="11533" max="11776" width="9.140625" style="60"/>
    <col min="11777" max="11777" width="16.140625" style="60" customWidth="1"/>
    <col min="11778" max="11778" width="10.140625" style="60" customWidth="1"/>
    <col min="11779" max="11779" width="9.85546875" style="60" customWidth="1"/>
    <col min="11780" max="11780" width="10.28515625" style="60" customWidth="1"/>
    <col min="11781" max="11782" width="9.28515625" style="60" bestFit="1" customWidth="1"/>
    <col min="11783" max="11783" width="13.42578125" style="60" customWidth="1"/>
    <col min="11784" max="11784" width="9.28515625" style="60" bestFit="1" customWidth="1"/>
    <col min="11785" max="11785" width="12.28515625" style="60" bestFit="1" customWidth="1"/>
    <col min="11786" max="11786" width="9.28515625" style="60" bestFit="1" customWidth="1"/>
    <col min="11787" max="11787" width="9.28515625" style="60" customWidth="1"/>
    <col min="11788" max="11788" width="12.140625" style="60" customWidth="1"/>
    <col min="11789" max="12032" width="9.140625" style="60"/>
    <col min="12033" max="12033" width="16.140625" style="60" customWidth="1"/>
    <col min="12034" max="12034" width="10.140625" style="60" customWidth="1"/>
    <col min="12035" max="12035" width="9.85546875" style="60" customWidth="1"/>
    <col min="12036" max="12036" width="10.28515625" style="60" customWidth="1"/>
    <col min="12037" max="12038" width="9.28515625" style="60" bestFit="1" customWidth="1"/>
    <col min="12039" max="12039" width="13.42578125" style="60" customWidth="1"/>
    <col min="12040" max="12040" width="9.28515625" style="60" bestFit="1" customWidth="1"/>
    <col min="12041" max="12041" width="12.28515625" style="60" bestFit="1" customWidth="1"/>
    <col min="12042" max="12042" width="9.28515625" style="60" bestFit="1" customWidth="1"/>
    <col min="12043" max="12043" width="9.28515625" style="60" customWidth="1"/>
    <col min="12044" max="12044" width="12.140625" style="60" customWidth="1"/>
    <col min="12045" max="12288" width="9.140625" style="60"/>
    <col min="12289" max="12289" width="16.140625" style="60" customWidth="1"/>
    <col min="12290" max="12290" width="10.140625" style="60" customWidth="1"/>
    <col min="12291" max="12291" width="9.85546875" style="60" customWidth="1"/>
    <col min="12292" max="12292" width="10.28515625" style="60" customWidth="1"/>
    <col min="12293" max="12294" width="9.28515625" style="60" bestFit="1" customWidth="1"/>
    <col min="12295" max="12295" width="13.42578125" style="60" customWidth="1"/>
    <col min="12296" max="12296" width="9.28515625" style="60" bestFit="1" customWidth="1"/>
    <col min="12297" max="12297" width="12.28515625" style="60" bestFit="1" customWidth="1"/>
    <col min="12298" max="12298" width="9.28515625" style="60" bestFit="1" customWidth="1"/>
    <col min="12299" max="12299" width="9.28515625" style="60" customWidth="1"/>
    <col min="12300" max="12300" width="12.140625" style="60" customWidth="1"/>
    <col min="12301" max="12544" width="9.140625" style="60"/>
    <col min="12545" max="12545" width="16.140625" style="60" customWidth="1"/>
    <col min="12546" max="12546" width="10.140625" style="60" customWidth="1"/>
    <col min="12547" max="12547" width="9.85546875" style="60" customWidth="1"/>
    <col min="12548" max="12548" width="10.28515625" style="60" customWidth="1"/>
    <col min="12549" max="12550" width="9.28515625" style="60" bestFit="1" customWidth="1"/>
    <col min="12551" max="12551" width="13.42578125" style="60" customWidth="1"/>
    <col min="12552" max="12552" width="9.28515625" style="60" bestFit="1" customWidth="1"/>
    <col min="12553" max="12553" width="12.28515625" style="60" bestFit="1" customWidth="1"/>
    <col min="12554" max="12554" width="9.28515625" style="60" bestFit="1" customWidth="1"/>
    <col min="12555" max="12555" width="9.28515625" style="60" customWidth="1"/>
    <col min="12556" max="12556" width="12.140625" style="60" customWidth="1"/>
    <col min="12557" max="12800" width="9.140625" style="60"/>
    <col min="12801" max="12801" width="16.140625" style="60" customWidth="1"/>
    <col min="12802" max="12802" width="10.140625" style="60" customWidth="1"/>
    <col min="12803" max="12803" width="9.85546875" style="60" customWidth="1"/>
    <col min="12804" max="12804" width="10.28515625" style="60" customWidth="1"/>
    <col min="12805" max="12806" width="9.28515625" style="60" bestFit="1" customWidth="1"/>
    <col min="12807" max="12807" width="13.42578125" style="60" customWidth="1"/>
    <col min="12808" max="12808" width="9.28515625" style="60" bestFit="1" customWidth="1"/>
    <col min="12809" max="12809" width="12.28515625" style="60" bestFit="1" customWidth="1"/>
    <col min="12810" max="12810" width="9.28515625" style="60" bestFit="1" customWidth="1"/>
    <col min="12811" max="12811" width="9.28515625" style="60" customWidth="1"/>
    <col min="12812" max="12812" width="12.140625" style="60" customWidth="1"/>
    <col min="12813" max="13056" width="9.140625" style="60"/>
    <col min="13057" max="13057" width="16.140625" style="60" customWidth="1"/>
    <col min="13058" max="13058" width="10.140625" style="60" customWidth="1"/>
    <col min="13059" max="13059" width="9.85546875" style="60" customWidth="1"/>
    <col min="13060" max="13060" width="10.28515625" style="60" customWidth="1"/>
    <col min="13061" max="13062" width="9.28515625" style="60" bestFit="1" customWidth="1"/>
    <col min="13063" max="13063" width="13.42578125" style="60" customWidth="1"/>
    <col min="13064" max="13064" width="9.28515625" style="60" bestFit="1" customWidth="1"/>
    <col min="13065" max="13065" width="12.28515625" style="60" bestFit="1" customWidth="1"/>
    <col min="13066" max="13066" width="9.28515625" style="60" bestFit="1" customWidth="1"/>
    <col min="13067" max="13067" width="9.28515625" style="60" customWidth="1"/>
    <col min="13068" max="13068" width="12.140625" style="60" customWidth="1"/>
    <col min="13069" max="13312" width="9.140625" style="60"/>
    <col min="13313" max="13313" width="16.140625" style="60" customWidth="1"/>
    <col min="13314" max="13314" width="10.140625" style="60" customWidth="1"/>
    <col min="13315" max="13315" width="9.85546875" style="60" customWidth="1"/>
    <col min="13316" max="13316" width="10.28515625" style="60" customWidth="1"/>
    <col min="13317" max="13318" width="9.28515625" style="60" bestFit="1" customWidth="1"/>
    <col min="13319" max="13319" width="13.42578125" style="60" customWidth="1"/>
    <col min="13320" max="13320" width="9.28515625" style="60" bestFit="1" customWidth="1"/>
    <col min="13321" max="13321" width="12.28515625" style="60" bestFit="1" customWidth="1"/>
    <col min="13322" max="13322" width="9.28515625" style="60" bestFit="1" customWidth="1"/>
    <col min="13323" max="13323" width="9.28515625" style="60" customWidth="1"/>
    <col min="13324" max="13324" width="12.140625" style="60" customWidth="1"/>
    <col min="13325" max="13568" width="9.140625" style="60"/>
    <col min="13569" max="13569" width="16.140625" style="60" customWidth="1"/>
    <col min="13570" max="13570" width="10.140625" style="60" customWidth="1"/>
    <col min="13571" max="13571" width="9.85546875" style="60" customWidth="1"/>
    <col min="13572" max="13572" width="10.28515625" style="60" customWidth="1"/>
    <col min="13573" max="13574" width="9.28515625" style="60" bestFit="1" customWidth="1"/>
    <col min="13575" max="13575" width="13.42578125" style="60" customWidth="1"/>
    <col min="13576" max="13576" width="9.28515625" style="60" bestFit="1" customWidth="1"/>
    <col min="13577" max="13577" width="12.28515625" style="60" bestFit="1" customWidth="1"/>
    <col min="13578" max="13578" width="9.28515625" style="60" bestFit="1" customWidth="1"/>
    <col min="13579" max="13579" width="9.28515625" style="60" customWidth="1"/>
    <col min="13580" max="13580" width="12.140625" style="60" customWidth="1"/>
    <col min="13581" max="13824" width="9.140625" style="60"/>
    <col min="13825" max="13825" width="16.140625" style="60" customWidth="1"/>
    <col min="13826" max="13826" width="10.140625" style="60" customWidth="1"/>
    <col min="13827" max="13827" width="9.85546875" style="60" customWidth="1"/>
    <col min="13828" max="13828" width="10.28515625" style="60" customWidth="1"/>
    <col min="13829" max="13830" width="9.28515625" style="60" bestFit="1" customWidth="1"/>
    <col min="13831" max="13831" width="13.42578125" style="60" customWidth="1"/>
    <col min="13832" max="13832" width="9.28515625" style="60" bestFit="1" customWidth="1"/>
    <col min="13833" max="13833" width="12.28515625" style="60" bestFit="1" customWidth="1"/>
    <col min="13834" max="13834" width="9.28515625" style="60" bestFit="1" customWidth="1"/>
    <col min="13835" max="13835" width="9.28515625" style="60" customWidth="1"/>
    <col min="13836" max="13836" width="12.140625" style="60" customWidth="1"/>
    <col min="13837" max="14080" width="9.140625" style="60"/>
    <col min="14081" max="14081" width="16.140625" style="60" customWidth="1"/>
    <col min="14082" max="14082" width="10.140625" style="60" customWidth="1"/>
    <col min="14083" max="14083" width="9.85546875" style="60" customWidth="1"/>
    <col min="14084" max="14084" width="10.28515625" style="60" customWidth="1"/>
    <col min="14085" max="14086" width="9.28515625" style="60" bestFit="1" customWidth="1"/>
    <col min="14087" max="14087" width="13.42578125" style="60" customWidth="1"/>
    <col min="14088" max="14088" width="9.28515625" style="60" bestFit="1" customWidth="1"/>
    <col min="14089" max="14089" width="12.28515625" style="60" bestFit="1" customWidth="1"/>
    <col min="14090" max="14090" width="9.28515625" style="60" bestFit="1" customWidth="1"/>
    <col min="14091" max="14091" width="9.28515625" style="60" customWidth="1"/>
    <col min="14092" max="14092" width="12.140625" style="60" customWidth="1"/>
    <col min="14093" max="14336" width="9.140625" style="60"/>
    <col min="14337" max="14337" width="16.140625" style="60" customWidth="1"/>
    <col min="14338" max="14338" width="10.140625" style="60" customWidth="1"/>
    <col min="14339" max="14339" width="9.85546875" style="60" customWidth="1"/>
    <col min="14340" max="14340" width="10.28515625" style="60" customWidth="1"/>
    <col min="14341" max="14342" width="9.28515625" style="60" bestFit="1" customWidth="1"/>
    <col min="14343" max="14343" width="13.42578125" style="60" customWidth="1"/>
    <col min="14344" max="14344" width="9.28515625" style="60" bestFit="1" customWidth="1"/>
    <col min="14345" max="14345" width="12.28515625" style="60" bestFit="1" customWidth="1"/>
    <col min="14346" max="14346" width="9.28515625" style="60" bestFit="1" customWidth="1"/>
    <col min="14347" max="14347" width="9.28515625" style="60" customWidth="1"/>
    <col min="14348" max="14348" width="12.140625" style="60" customWidth="1"/>
    <col min="14349" max="14592" width="9.140625" style="60"/>
    <col min="14593" max="14593" width="16.140625" style="60" customWidth="1"/>
    <col min="14594" max="14594" width="10.140625" style="60" customWidth="1"/>
    <col min="14595" max="14595" width="9.85546875" style="60" customWidth="1"/>
    <col min="14596" max="14596" width="10.28515625" style="60" customWidth="1"/>
    <col min="14597" max="14598" width="9.28515625" style="60" bestFit="1" customWidth="1"/>
    <col min="14599" max="14599" width="13.42578125" style="60" customWidth="1"/>
    <col min="14600" max="14600" width="9.28515625" style="60" bestFit="1" customWidth="1"/>
    <col min="14601" max="14601" width="12.28515625" style="60" bestFit="1" customWidth="1"/>
    <col min="14602" max="14602" width="9.28515625" style="60" bestFit="1" customWidth="1"/>
    <col min="14603" max="14603" width="9.28515625" style="60" customWidth="1"/>
    <col min="14604" max="14604" width="12.140625" style="60" customWidth="1"/>
    <col min="14605" max="14848" width="9.140625" style="60"/>
    <col min="14849" max="14849" width="16.140625" style="60" customWidth="1"/>
    <col min="14850" max="14850" width="10.140625" style="60" customWidth="1"/>
    <col min="14851" max="14851" width="9.85546875" style="60" customWidth="1"/>
    <col min="14852" max="14852" width="10.28515625" style="60" customWidth="1"/>
    <col min="14853" max="14854" width="9.28515625" style="60" bestFit="1" customWidth="1"/>
    <col min="14855" max="14855" width="13.42578125" style="60" customWidth="1"/>
    <col min="14856" max="14856" width="9.28515625" style="60" bestFit="1" customWidth="1"/>
    <col min="14857" max="14857" width="12.28515625" style="60" bestFit="1" customWidth="1"/>
    <col min="14858" max="14858" width="9.28515625" style="60" bestFit="1" customWidth="1"/>
    <col min="14859" max="14859" width="9.28515625" style="60" customWidth="1"/>
    <col min="14860" max="14860" width="12.140625" style="60" customWidth="1"/>
    <col min="14861" max="15104" width="9.140625" style="60"/>
    <col min="15105" max="15105" width="16.140625" style="60" customWidth="1"/>
    <col min="15106" max="15106" width="10.140625" style="60" customWidth="1"/>
    <col min="15107" max="15107" width="9.85546875" style="60" customWidth="1"/>
    <col min="15108" max="15108" width="10.28515625" style="60" customWidth="1"/>
    <col min="15109" max="15110" width="9.28515625" style="60" bestFit="1" customWidth="1"/>
    <col min="15111" max="15111" width="13.42578125" style="60" customWidth="1"/>
    <col min="15112" max="15112" width="9.28515625" style="60" bestFit="1" customWidth="1"/>
    <col min="15113" max="15113" width="12.28515625" style="60" bestFit="1" customWidth="1"/>
    <col min="15114" max="15114" width="9.28515625" style="60" bestFit="1" customWidth="1"/>
    <col min="15115" max="15115" width="9.28515625" style="60" customWidth="1"/>
    <col min="15116" max="15116" width="12.140625" style="60" customWidth="1"/>
    <col min="15117" max="15360" width="9.140625" style="60"/>
    <col min="15361" max="15361" width="16.140625" style="60" customWidth="1"/>
    <col min="15362" max="15362" width="10.140625" style="60" customWidth="1"/>
    <col min="15363" max="15363" width="9.85546875" style="60" customWidth="1"/>
    <col min="15364" max="15364" width="10.28515625" style="60" customWidth="1"/>
    <col min="15365" max="15366" width="9.28515625" style="60" bestFit="1" customWidth="1"/>
    <col min="15367" max="15367" width="13.42578125" style="60" customWidth="1"/>
    <col min="15368" max="15368" width="9.28515625" style="60" bestFit="1" customWidth="1"/>
    <col min="15369" max="15369" width="12.28515625" style="60" bestFit="1" customWidth="1"/>
    <col min="15370" max="15370" width="9.28515625" style="60" bestFit="1" customWidth="1"/>
    <col min="15371" max="15371" width="9.28515625" style="60" customWidth="1"/>
    <col min="15372" max="15372" width="12.140625" style="60" customWidth="1"/>
    <col min="15373" max="15616" width="9.140625" style="60"/>
    <col min="15617" max="15617" width="16.140625" style="60" customWidth="1"/>
    <col min="15618" max="15618" width="10.140625" style="60" customWidth="1"/>
    <col min="15619" max="15619" width="9.85546875" style="60" customWidth="1"/>
    <col min="15620" max="15620" width="10.28515625" style="60" customWidth="1"/>
    <col min="15621" max="15622" width="9.28515625" style="60" bestFit="1" customWidth="1"/>
    <col min="15623" max="15623" width="13.42578125" style="60" customWidth="1"/>
    <col min="15624" max="15624" width="9.28515625" style="60" bestFit="1" customWidth="1"/>
    <col min="15625" max="15625" width="12.28515625" style="60" bestFit="1" customWidth="1"/>
    <col min="15626" max="15626" width="9.28515625" style="60" bestFit="1" customWidth="1"/>
    <col min="15627" max="15627" width="9.28515625" style="60" customWidth="1"/>
    <col min="15628" max="15628" width="12.140625" style="60" customWidth="1"/>
    <col min="15629" max="15872" width="9.140625" style="60"/>
    <col min="15873" max="15873" width="16.140625" style="60" customWidth="1"/>
    <col min="15874" max="15874" width="10.140625" style="60" customWidth="1"/>
    <col min="15875" max="15875" width="9.85546875" style="60" customWidth="1"/>
    <col min="15876" max="15876" width="10.28515625" style="60" customWidth="1"/>
    <col min="15877" max="15878" width="9.28515625" style="60" bestFit="1" customWidth="1"/>
    <col min="15879" max="15879" width="13.42578125" style="60" customWidth="1"/>
    <col min="15880" max="15880" width="9.28515625" style="60" bestFit="1" customWidth="1"/>
    <col min="15881" max="15881" width="12.28515625" style="60" bestFit="1" customWidth="1"/>
    <col min="15882" max="15882" width="9.28515625" style="60" bestFit="1" customWidth="1"/>
    <col min="15883" max="15883" width="9.28515625" style="60" customWidth="1"/>
    <col min="15884" max="15884" width="12.140625" style="60" customWidth="1"/>
    <col min="15885" max="16128" width="9.140625" style="60"/>
    <col min="16129" max="16129" width="16.140625" style="60" customWidth="1"/>
    <col min="16130" max="16130" width="10.140625" style="60" customWidth="1"/>
    <col min="16131" max="16131" width="9.85546875" style="60" customWidth="1"/>
    <col min="16132" max="16132" width="10.28515625" style="60" customWidth="1"/>
    <col min="16133" max="16134" width="9.28515625" style="60" bestFit="1" customWidth="1"/>
    <col min="16135" max="16135" width="13.42578125" style="60" customWidth="1"/>
    <col min="16136" max="16136" width="9.28515625" style="60" bestFit="1" customWidth="1"/>
    <col min="16137" max="16137" width="12.28515625" style="60" bestFit="1" customWidth="1"/>
    <col min="16138" max="16138" width="9.28515625" style="60" bestFit="1" customWidth="1"/>
    <col min="16139" max="16139" width="9.28515625" style="60" customWidth="1"/>
    <col min="16140" max="16140" width="12.140625" style="60" customWidth="1"/>
    <col min="16141" max="16384" width="9.140625" style="60"/>
  </cols>
  <sheetData>
    <row r="2" spans="1:13" x14ac:dyDescent="0.2">
      <c r="A2" s="380" t="s">
        <v>244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1:13" x14ac:dyDescent="0.2">
      <c r="A3" s="380" t="s">
        <v>96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</row>
    <row r="4" spans="1:13" x14ac:dyDescent="0.2">
      <c r="A4" s="380" t="s">
        <v>97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</row>
    <row r="6" spans="1:13" x14ac:dyDescent="0.2">
      <c r="A6" s="384" t="s">
        <v>1</v>
      </c>
      <c r="B6" s="381" t="s">
        <v>189</v>
      </c>
      <c r="C6" s="382"/>
      <c r="D6" s="382"/>
      <c r="E6" s="382"/>
      <c r="F6" s="382"/>
      <c r="G6" s="382"/>
      <c r="H6" s="382"/>
      <c r="I6" s="383"/>
      <c r="J6" s="381" t="s">
        <v>0</v>
      </c>
      <c r="K6" s="382"/>
      <c r="L6" s="383"/>
    </row>
    <row r="7" spans="1:13" ht="38.25" x14ac:dyDescent="0.2">
      <c r="A7" s="384"/>
      <c r="B7" s="204" t="s">
        <v>130</v>
      </c>
      <c r="C7" s="204" t="s">
        <v>131</v>
      </c>
      <c r="D7" s="204" t="s">
        <v>132</v>
      </c>
      <c r="E7" s="185" t="s">
        <v>135</v>
      </c>
      <c r="F7" s="237" t="s">
        <v>98</v>
      </c>
      <c r="G7" s="237" t="s">
        <v>99</v>
      </c>
      <c r="H7" s="237" t="s">
        <v>14</v>
      </c>
      <c r="I7" s="238" t="s">
        <v>100</v>
      </c>
      <c r="J7" s="237" t="s">
        <v>101</v>
      </c>
      <c r="K7" s="237" t="s">
        <v>4</v>
      </c>
      <c r="L7" s="237" t="s">
        <v>42</v>
      </c>
      <c r="M7" s="62"/>
    </row>
    <row r="8" spans="1:13" x14ac:dyDescent="0.2">
      <c r="A8" s="61"/>
      <c r="B8" s="63"/>
      <c r="C8" s="63"/>
      <c r="D8" s="63"/>
      <c r="E8" s="63"/>
      <c r="F8" s="63"/>
      <c r="G8" s="63"/>
      <c r="H8" s="63"/>
      <c r="I8" s="64"/>
      <c r="J8" s="63"/>
      <c r="K8" s="63"/>
      <c r="L8" s="63"/>
    </row>
    <row r="9" spans="1:13" ht="51" x14ac:dyDescent="0.2">
      <c r="A9" s="61" t="s">
        <v>102</v>
      </c>
      <c r="B9" s="65">
        <v>12</v>
      </c>
      <c r="C9" s="65">
        <v>5</v>
      </c>
      <c r="D9" s="65">
        <v>5</v>
      </c>
      <c r="E9" s="65">
        <v>1</v>
      </c>
      <c r="F9" s="65">
        <f>B9+C9+D9+E9</f>
        <v>23</v>
      </c>
      <c r="G9" s="66">
        <f>(B9*82.45)+(C9*123.48)+(D9*161.91)+(E9*39.06)</f>
        <v>2455.4100000000003</v>
      </c>
      <c r="H9" s="65">
        <v>0</v>
      </c>
      <c r="I9" s="67">
        <v>17</v>
      </c>
      <c r="J9" s="319">
        <v>1064</v>
      </c>
      <c r="K9" s="65">
        <f>F9*J9</f>
        <v>24472</v>
      </c>
      <c r="L9" s="67">
        <f>(G9+H9+I9)*J9</f>
        <v>2630644.2400000002</v>
      </c>
    </row>
    <row r="10" spans="1:13" ht="25.5" x14ac:dyDescent="0.2">
      <c r="A10" s="61" t="s">
        <v>103</v>
      </c>
      <c r="B10" s="65">
        <v>3</v>
      </c>
      <c r="C10" s="65">
        <v>5</v>
      </c>
      <c r="D10" s="65">
        <v>3</v>
      </c>
      <c r="E10" s="65">
        <v>0</v>
      </c>
      <c r="F10" s="65">
        <f t="shared" ref="F10:F20" si="0">B10+C10+D10+E10</f>
        <v>11</v>
      </c>
      <c r="G10" s="66">
        <f t="shared" ref="G10:G20" si="1">(B10*82.45)+(C10*123.48)+(D10*161.91)+(E10*39.06)</f>
        <v>1350.48</v>
      </c>
      <c r="H10" s="65">
        <v>0</v>
      </c>
      <c r="I10" s="67">
        <v>0</v>
      </c>
      <c r="J10" s="319">
        <v>867</v>
      </c>
      <c r="K10" s="65">
        <f t="shared" ref="K10:K16" si="2">F10*J10</f>
        <v>9537</v>
      </c>
      <c r="L10" s="68">
        <f t="shared" ref="L10:L20" si="3">(G10+H10+I10)*J10</f>
        <v>1170866.1599999999</v>
      </c>
    </row>
    <row r="11" spans="1:13" ht="25.5" x14ac:dyDescent="0.2">
      <c r="A11" s="61" t="s">
        <v>104</v>
      </c>
      <c r="B11" s="65">
        <v>1</v>
      </c>
      <c r="C11" s="65">
        <v>1</v>
      </c>
      <c r="D11" s="65">
        <v>1</v>
      </c>
      <c r="E11" s="65">
        <v>1</v>
      </c>
      <c r="F11" s="65">
        <f t="shared" si="0"/>
        <v>4</v>
      </c>
      <c r="G11" s="66">
        <f t="shared" si="1"/>
        <v>406.90000000000003</v>
      </c>
      <c r="H11" s="65">
        <v>0</v>
      </c>
      <c r="I11" s="67">
        <v>5</v>
      </c>
      <c r="J11" s="319">
        <v>867</v>
      </c>
      <c r="K11" s="65">
        <f t="shared" si="2"/>
        <v>3468</v>
      </c>
      <c r="L11" s="67">
        <f t="shared" si="3"/>
        <v>357117.30000000005</v>
      </c>
    </row>
    <row r="12" spans="1:13" ht="38.25" x14ac:dyDescent="0.2">
      <c r="A12" s="61" t="s">
        <v>105</v>
      </c>
      <c r="B12" s="65">
        <v>5</v>
      </c>
      <c r="C12" s="65">
        <v>1</v>
      </c>
      <c r="D12" s="65">
        <v>0</v>
      </c>
      <c r="E12" s="65">
        <v>1</v>
      </c>
      <c r="F12" s="65">
        <f t="shared" si="0"/>
        <v>7</v>
      </c>
      <c r="G12" s="66">
        <f t="shared" si="1"/>
        <v>574.79</v>
      </c>
      <c r="H12" s="65">
        <v>0</v>
      </c>
      <c r="I12" s="67">
        <v>3</v>
      </c>
      <c r="J12" s="319">
        <v>867</v>
      </c>
      <c r="K12" s="65">
        <f t="shared" si="2"/>
        <v>6069</v>
      </c>
      <c r="L12" s="67">
        <f>(G12+H12+I12)*J12</f>
        <v>500943.93</v>
      </c>
    </row>
    <row r="13" spans="1:13" ht="38.25" x14ac:dyDescent="0.2">
      <c r="A13" s="61" t="s">
        <v>106</v>
      </c>
      <c r="B13" s="65">
        <v>1</v>
      </c>
      <c r="C13" s="65">
        <v>3</v>
      </c>
      <c r="D13" s="65">
        <v>5</v>
      </c>
      <c r="E13" s="65">
        <v>10</v>
      </c>
      <c r="F13" s="65">
        <f t="shared" si="0"/>
        <v>19</v>
      </c>
      <c r="G13" s="66">
        <f t="shared" si="1"/>
        <v>1653.04</v>
      </c>
      <c r="H13" s="65">
        <v>0</v>
      </c>
      <c r="I13" s="67">
        <v>5000</v>
      </c>
      <c r="J13" s="319">
        <v>150</v>
      </c>
      <c r="K13" s="65">
        <f t="shared" si="2"/>
        <v>2850</v>
      </c>
      <c r="L13" s="67">
        <f>(G13+H13+I13)*J13</f>
        <v>997956</v>
      </c>
    </row>
    <row r="14" spans="1:13" ht="25.5" x14ac:dyDescent="0.2">
      <c r="A14" s="61" t="s">
        <v>235</v>
      </c>
      <c r="B14" s="65">
        <v>0.5</v>
      </c>
      <c r="C14" s="65">
        <v>0</v>
      </c>
      <c r="D14" s="65">
        <v>0</v>
      </c>
      <c r="E14" s="65">
        <v>1</v>
      </c>
      <c r="F14" s="65">
        <f t="shared" si="0"/>
        <v>1.5</v>
      </c>
      <c r="G14" s="66">
        <f t="shared" si="1"/>
        <v>80.284999999999997</v>
      </c>
      <c r="H14" s="65">
        <v>0</v>
      </c>
      <c r="I14" s="67">
        <v>2</v>
      </c>
      <c r="J14" s="319">
        <v>20</v>
      </c>
      <c r="K14" s="65">
        <f t="shared" ref="K14" si="4">F14*J14</f>
        <v>30</v>
      </c>
      <c r="L14" s="67">
        <f>(G14+H14+I14)*J14</f>
        <v>1645.6999999999998</v>
      </c>
    </row>
    <row r="15" spans="1:13" ht="51" x14ac:dyDescent="0.2">
      <c r="A15" s="61" t="s">
        <v>107</v>
      </c>
      <c r="B15" s="65">
        <v>10</v>
      </c>
      <c r="C15" s="65">
        <v>5</v>
      </c>
      <c r="D15" s="65">
        <v>2</v>
      </c>
      <c r="E15" s="65">
        <v>25</v>
      </c>
      <c r="F15" s="65">
        <f t="shared" si="0"/>
        <v>42</v>
      </c>
      <c r="G15" s="66">
        <f t="shared" si="1"/>
        <v>2742.2200000000003</v>
      </c>
      <c r="H15" s="65">
        <v>0</v>
      </c>
      <c r="I15" s="67">
        <v>5</v>
      </c>
      <c r="J15" s="319">
        <v>867</v>
      </c>
      <c r="K15" s="65">
        <f t="shared" si="2"/>
        <v>36414</v>
      </c>
      <c r="L15" s="67">
        <f t="shared" si="3"/>
        <v>2381839.7400000002</v>
      </c>
    </row>
    <row r="16" spans="1:13" ht="38.25" x14ac:dyDescent="0.2">
      <c r="A16" s="61" t="s">
        <v>108</v>
      </c>
      <c r="B16" s="65">
        <v>5</v>
      </c>
      <c r="C16" s="65">
        <v>1</v>
      </c>
      <c r="D16" s="65">
        <v>0</v>
      </c>
      <c r="E16" s="65">
        <v>3</v>
      </c>
      <c r="F16" s="65">
        <f t="shared" si="0"/>
        <v>9</v>
      </c>
      <c r="G16" s="66">
        <f t="shared" si="1"/>
        <v>652.91000000000008</v>
      </c>
      <c r="H16" s="65">
        <v>0</v>
      </c>
      <c r="I16" s="67">
        <v>3</v>
      </c>
      <c r="J16" s="319">
        <v>1432</v>
      </c>
      <c r="K16" s="65">
        <f t="shared" si="2"/>
        <v>12888</v>
      </c>
      <c r="L16" s="67">
        <f t="shared" si="3"/>
        <v>939263.12000000011</v>
      </c>
    </row>
    <row r="17" spans="1:13" ht="38.25" x14ac:dyDescent="0.2">
      <c r="A17" s="273" t="s">
        <v>220</v>
      </c>
      <c r="B17" s="276">
        <v>6</v>
      </c>
      <c r="C17" s="276">
        <v>2</v>
      </c>
      <c r="D17" s="276">
        <v>1</v>
      </c>
      <c r="E17" s="276">
        <v>1.5</v>
      </c>
      <c r="F17" s="276">
        <f t="shared" si="0"/>
        <v>10.5</v>
      </c>
      <c r="G17" s="277">
        <f t="shared" si="1"/>
        <v>962.16000000000008</v>
      </c>
      <c r="H17" s="65">
        <v>0</v>
      </c>
      <c r="I17" s="67">
        <v>15</v>
      </c>
      <c r="J17" s="319">
        <v>6</v>
      </c>
      <c r="K17" s="65">
        <f t="shared" ref="K17:K19" si="5">F17*J17</f>
        <v>63</v>
      </c>
      <c r="L17" s="67">
        <f t="shared" ref="L17:L19" si="6">(G17+H17+I17)*J17</f>
        <v>5862.9600000000009</v>
      </c>
    </row>
    <row r="18" spans="1:13" ht="51" x14ac:dyDescent="0.2">
      <c r="A18" s="273" t="s">
        <v>221</v>
      </c>
      <c r="B18" s="276">
        <v>3</v>
      </c>
      <c r="C18" s="276">
        <v>1</v>
      </c>
      <c r="D18" s="276">
        <v>0</v>
      </c>
      <c r="E18" s="276">
        <v>1</v>
      </c>
      <c r="F18" s="276">
        <f t="shared" si="0"/>
        <v>5</v>
      </c>
      <c r="G18" s="277">
        <f t="shared" si="1"/>
        <v>409.89000000000004</v>
      </c>
      <c r="H18" s="65">
        <v>0</v>
      </c>
      <c r="I18" s="318">
        <v>1200</v>
      </c>
      <c r="J18" s="319">
        <v>6</v>
      </c>
      <c r="K18" s="65">
        <f t="shared" si="5"/>
        <v>30</v>
      </c>
      <c r="L18" s="67">
        <f t="shared" si="6"/>
        <v>9659.34</v>
      </c>
    </row>
    <row r="19" spans="1:13" ht="25.5" x14ac:dyDescent="0.2">
      <c r="A19" s="273" t="s">
        <v>222</v>
      </c>
      <c r="B19" s="274">
        <v>1.5</v>
      </c>
      <c r="C19" s="274">
        <v>0.5</v>
      </c>
      <c r="D19" s="274">
        <v>0</v>
      </c>
      <c r="E19" s="274">
        <v>1</v>
      </c>
      <c r="F19" s="274">
        <f t="shared" si="0"/>
        <v>3</v>
      </c>
      <c r="G19" s="66">
        <f t="shared" si="1"/>
        <v>224.47500000000002</v>
      </c>
      <c r="H19" s="65">
        <v>0</v>
      </c>
      <c r="I19" s="67">
        <v>3</v>
      </c>
      <c r="J19" s="65">
        <v>6</v>
      </c>
      <c r="K19" s="65">
        <f t="shared" si="5"/>
        <v>18</v>
      </c>
      <c r="L19" s="67">
        <f t="shared" si="6"/>
        <v>1364.8500000000001</v>
      </c>
    </row>
    <row r="20" spans="1:13" ht="18" customHeight="1" thickBot="1" x14ac:dyDescent="0.25">
      <c r="A20" s="69" t="s">
        <v>45</v>
      </c>
      <c r="B20" s="70">
        <v>4</v>
      </c>
      <c r="C20" s="70">
        <v>2</v>
      </c>
      <c r="D20" s="70">
        <v>2</v>
      </c>
      <c r="E20" s="70">
        <v>10</v>
      </c>
      <c r="F20" s="71">
        <f t="shared" si="0"/>
        <v>18</v>
      </c>
      <c r="G20" s="275">
        <f t="shared" si="1"/>
        <v>1291.1799999999998</v>
      </c>
      <c r="H20" s="71">
        <v>0</v>
      </c>
      <c r="I20" s="72">
        <v>5</v>
      </c>
      <c r="J20" s="71">
        <v>80</v>
      </c>
      <c r="K20" s="70">
        <v>1432</v>
      </c>
      <c r="L20" s="73">
        <f t="shared" si="3"/>
        <v>103694.39999999999</v>
      </c>
      <c r="M20" s="334"/>
    </row>
    <row r="21" spans="1:13" ht="13.5" thickTop="1" x14ac:dyDescent="0.2">
      <c r="A21" s="74"/>
      <c r="B21" s="75"/>
      <c r="C21" s="75"/>
      <c r="D21" s="75"/>
      <c r="E21" s="75"/>
      <c r="F21" s="75"/>
      <c r="G21" s="76"/>
      <c r="H21" s="75"/>
      <c r="I21" s="76"/>
      <c r="J21" s="75"/>
      <c r="K21" s="75"/>
      <c r="L21" s="76"/>
    </row>
    <row r="22" spans="1:13" ht="25.5" x14ac:dyDescent="0.2">
      <c r="A22" s="239" t="s">
        <v>8</v>
      </c>
      <c r="B22" s="240">
        <f t="shared" ref="B22:I22" si="7">SUM(B9:B20)</f>
        <v>52</v>
      </c>
      <c r="C22" s="240">
        <f t="shared" si="7"/>
        <v>26.5</v>
      </c>
      <c r="D22" s="240">
        <f t="shared" si="7"/>
        <v>19</v>
      </c>
      <c r="E22" s="240">
        <f t="shared" si="7"/>
        <v>55.5</v>
      </c>
      <c r="F22" s="240">
        <f t="shared" si="7"/>
        <v>153</v>
      </c>
      <c r="G22" s="241">
        <f t="shared" si="7"/>
        <v>12803.74</v>
      </c>
      <c r="H22" s="242">
        <f t="shared" si="7"/>
        <v>0</v>
      </c>
      <c r="I22" s="241">
        <f t="shared" si="7"/>
        <v>6258</v>
      </c>
      <c r="J22" s="240" t="s">
        <v>11</v>
      </c>
      <c r="K22" s="240" t="s">
        <v>11</v>
      </c>
      <c r="L22" s="241" t="s">
        <v>11</v>
      </c>
    </row>
    <row r="23" spans="1:13" ht="25.5" x14ac:dyDescent="0.2">
      <c r="A23" s="239" t="s">
        <v>10</v>
      </c>
      <c r="B23" s="240" t="s">
        <v>11</v>
      </c>
      <c r="C23" s="240" t="s">
        <v>11</v>
      </c>
      <c r="D23" s="240" t="s">
        <v>11</v>
      </c>
      <c r="E23" s="240" t="s">
        <v>11</v>
      </c>
      <c r="F23" s="240" t="s">
        <v>11</v>
      </c>
      <c r="G23" s="241">
        <f>SUMPRODUCT(G9:G20,J9:J20)</f>
        <v>8309454.7400000002</v>
      </c>
      <c r="H23" s="242">
        <v>0</v>
      </c>
      <c r="I23" s="241">
        <f>SUMPRODUCT(I9:I20,J9:J20)</f>
        <v>791403</v>
      </c>
      <c r="J23" s="240">
        <v>1432</v>
      </c>
      <c r="K23" s="240">
        <f>SUM(K9:K20)</f>
        <v>97271</v>
      </c>
      <c r="L23" s="241">
        <f>SUM(L9:L20)</f>
        <v>9100857.7400000021</v>
      </c>
    </row>
    <row r="25" spans="1:13" x14ac:dyDescent="0.2">
      <c r="A25" s="60" t="s">
        <v>109</v>
      </c>
    </row>
    <row r="26" spans="1:13" x14ac:dyDescent="0.2">
      <c r="A26" s="78"/>
    </row>
    <row r="28" spans="1:13" ht="15" x14ac:dyDescent="0.2">
      <c r="B28" s="79"/>
      <c r="C28" s="80"/>
      <c r="D28" s="80"/>
      <c r="E28" s="81"/>
      <c r="F28" s="81"/>
      <c r="G28" s="82"/>
    </row>
    <row r="29" spans="1:13" ht="15" x14ac:dyDescent="0.2">
      <c r="B29" s="81"/>
      <c r="C29" s="80"/>
      <c r="D29" s="80"/>
      <c r="E29" s="81"/>
      <c r="F29" s="83"/>
      <c r="G29" s="82"/>
    </row>
    <row r="30" spans="1:13" ht="15" x14ac:dyDescent="0.2">
      <c r="B30" s="81"/>
      <c r="C30" s="80"/>
      <c r="D30" s="80"/>
      <c r="E30" s="81"/>
      <c r="F30" s="84"/>
      <c r="G30" s="82"/>
    </row>
  </sheetData>
  <mergeCells count="6">
    <mergeCell ref="A2:L2"/>
    <mergeCell ref="A3:L3"/>
    <mergeCell ref="A4:L4"/>
    <mergeCell ref="B6:I6"/>
    <mergeCell ref="J6:L6"/>
    <mergeCell ref="A6:A7"/>
  </mergeCells>
  <hyperlinks>
    <hyperlink ref="E7" r:id="rId1" display="Clerical@ $29.93/hr"/>
  </hyperlinks>
  <printOptions horizontalCentered="1" verticalCentered="1"/>
  <pageMargins left="0.75" right="0.75" top="1" bottom="1" header="0.5" footer="0.5"/>
  <pageSetup scale="8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 2 Cert</vt:lpstr>
      <vt:lpstr>Table 3 Evap</vt:lpstr>
      <vt:lpstr>Table 4 Alt Fuel -BegUL</vt:lpstr>
      <vt:lpstr>Table 5 Alt fuel - Int Age</vt:lpstr>
      <vt:lpstr>Table 6 ABT</vt:lpstr>
      <vt:lpstr>Table 7 PLT</vt:lpstr>
      <vt:lpstr>Table 8 In-use</vt:lpstr>
      <vt:lpstr>Table 9 SEAs</vt:lpstr>
      <vt:lpstr>Table 10 TPEM Equip</vt:lpstr>
      <vt:lpstr>Table 11 TPEM Eng</vt:lpstr>
      <vt:lpstr>Table 12 Special Compliance</vt:lpstr>
      <vt:lpstr>Table 13 Respon Labor Rates</vt:lpstr>
      <vt:lpstr>Table 14 -Agency Burden</vt:lpstr>
      <vt:lpstr>Table 15 # of Reports</vt:lpstr>
      <vt:lpstr>Table 16 Respondent Tally</vt:lpstr>
    </vt:vector>
  </TitlesOfParts>
  <Company>EPA - OTAQ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OTAQ5Y20X41</dc:creator>
  <cp:lastModifiedBy>Courtney Kerwin</cp:lastModifiedBy>
  <cp:lastPrinted>2014-07-18T02:34:10Z</cp:lastPrinted>
  <dcterms:created xsi:type="dcterms:W3CDTF">2004-09-12T01:02:31Z</dcterms:created>
  <dcterms:modified xsi:type="dcterms:W3CDTF">2014-08-15T15:03:45Z</dcterms:modified>
</cp:coreProperties>
</file>