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10" yWindow="-45" windowWidth="19440" windowHeight="8055" tabRatio="906" activeTab="8"/>
  </bookViews>
  <sheets>
    <sheet name="1 - Init Submission" sheetId="1" r:id="rId1"/>
    <sheet name="2 - Newly Doc'd" sheetId="2" r:id="rId2"/>
    <sheet name="3 - Newly Doc'd" sheetId="3" r:id="rId3"/>
    <sheet name="4 - Newly Doc'd" sheetId="4" r:id="rId4"/>
    <sheet name="5 - End Term" sheetId="5" r:id="rId5"/>
    <sheet name="6 - Chg Residence" sheetId="6" r:id="rId6"/>
    <sheet name="7 - Data Correct" sheetId="7" r:id="rId7"/>
    <sheet name="8 - Data Correct" sheetId="8" r:id="rId8"/>
    <sheet name="SuppStmt Effort" sheetId="15" r:id="rId9"/>
    <sheet name="SuppStmt Cost" sheetId="9" r:id="rId10"/>
    <sheet name="SuppStmt EDCost" sheetId="16" r:id="rId11"/>
    <sheet name="State Data" sheetId="10" r:id="rId12"/>
    <sheet name="State Q&amp;A" sheetId="12" r:id="rId13"/>
    <sheet name="State Response Details" sheetId="17" r:id="rId14"/>
    <sheet name="Interface Development" sheetId="13" r:id="rId15"/>
    <sheet name="Non-COE-EDEN elements" sheetId="18" r:id="rId16"/>
  </sheets>
  <definedNames>
    <definedName name="_xlnm.Print_Area" localSheetId="0">'1 - Init Submission'!$A$1:$O$254</definedName>
    <definedName name="_xlnm.Print_Area" localSheetId="1">'2 - Newly Doc''d'!$A$1:$E$25</definedName>
    <definedName name="_xlnm.Print_Area" localSheetId="15">'Non-COE-EDEN elements'!$A$1:$F$73</definedName>
    <definedName name="_xlnm.Print_Area" localSheetId="11">'State Data'!$A$1:$AQ$66</definedName>
    <definedName name="_xlnm.Print_Area" localSheetId="12">'State Q&amp;A'!$A$1:$C$11</definedName>
    <definedName name="_xlnm.Print_Area" localSheetId="9">'SuppStmt Effort'!$I$1:$J$10</definedName>
  </definedNames>
  <calcPr calcId="145621" calcOnSave="0"/>
</workbook>
</file>

<file path=xl/calcChain.xml><?xml version="1.0" encoding="utf-8"?>
<calcChain xmlns="http://schemas.openxmlformats.org/spreadsheetml/2006/main">
  <c r="J86" i="15" l="1"/>
  <c r="J77" i="15"/>
  <c r="J68" i="15"/>
  <c r="J59" i="15"/>
  <c r="J50" i="15"/>
  <c r="J40" i="15"/>
  <c r="J31" i="15"/>
  <c r="J22" i="15"/>
  <c r="F27" i="15" l="1"/>
  <c r="F3" i="6" l="1"/>
  <c r="D5" i="16" l="1"/>
  <c r="E73" i="18" l="1"/>
  <c r="D73" i="18"/>
  <c r="F55" i="18"/>
  <c r="F54" i="18"/>
  <c r="F53" i="18"/>
  <c r="F52" i="18"/>
  <c r="F51" i="18"/>
  <c r="F72" i="18"/>
  <c r="F71" i="18"/>
  <c r="F70" i="18"/>
  <c r="F69" i="18"/>
  <c r="F68" i="18"/>
  <c r="F67" i="18"/>
  <c r="F66" i="18"/>
  <c r="F65" i="18"/>
  <c r="F64" i="18"/>
  <c r="F63" i="18"/>
  <c r="F62" i="18"/>
  <c r="F61" i="18"/>
  <c r="F60" i="18"/>
  <c r="F59" i="18"/>
  <c r="F58" i="18"/>
  <c r="F57" i="18"/>
  <c r="F56" i="18"/>
  <c r="F50" i="18"/>
  <c r="F49" i="18"/>
  <c r="F48" i="18"/>
  <c r="F47" i="18"/>
  <c r="F22" i="18"/>
  <c r="F46" i="18"/>
  <c r="F45" i="18"/>
  <c r="F44" i="18"/>
  <c r="F43" i="18"/>
  <c r="F42" i="18"/>
  <c r="F41" i="18"/>
  <c r="F40" i="18"/>
  <c r="F39" i="18"/>
  <c r="F38" i="18"/>
  <c r="F37" i="18"/>
  <c r="F36" i="18"/>
  <c r="F35" i="18"/>
  <c r="F34" i="18"/>
  <c r="F33" i="18"/>
  <c r="F32" i="18"/>
  <c r="F31" i="18"/>
  <c r="F30" i="18"/>
  <c r="F29" i="18"/>
  <c r="F21" i="18"/>
  <c r="F28" i="18"/>
  <c r="F27" i="18"/>
  <c r="F26" i="18"/>
  <c r="F25" i="18"/>
  <c r="F24" i="18"/>
  <c r="F23" i="18"/>
  <c r="F20" i="18"/>
  <c r="F19" i="18"/>
  <c r="F18" i="18"/>
  <c r="F17" i="18"/>
  <c r="F16" i="18"/>
  <c r="F15" i="18"/>
  <c r="F14" i="18"/>
  <c r="F13" i="18"/>
  <c r="F12" i="18"/>
  <c r="F11" i="18"/>
  <c r="F10" i="18"/>
  <c r="F9" i="18"/>
  <c r="F8" i="18"/>
  <c r="F7" i="18"/>
  <c r="F6" i="18"/>
  <c r="F5" i="18"/>
  <c r="F4" i="18"/>
  <c r="F3" i="18"/>
  <c r="F2" i="18"/>
  <c r="F73" i="18" l="1"/>
  <c r="J10" i="16"/>
  <c r="J9" i="16"/>
  <c r="J8" i="16"/>
  <c r="J6" i="16"/>
  <c r="H3" i="8"/>
  <c r="I3" i="7"/>
  <c r="J3" i="6"/>
  <c r="G7" i="4"/>
  <c r="I4" i="2"/>
  <c r="J4" i="16" s="1"/>
  <c r="F5" i="16" l="1"/>
  <c r="F4" i="16"/>
  <c r="E17" i="16"/>
  <c r="E18" i="16"/>
  <c r="E11" i="16"/>
  <c r="E12" i="16"/>
  <c r="D7" i="16"/>
  <c r="D8" i="16" s="1"/>
  <c r="D6" i="16"/>
  <c r="F6" i="16" s="1"/>
  <c r="F73" i="9"/>
  <c r="H73" i="9" s="1"/>
  <c r="C73" i="9"/>
  <c r="E73" i="9" s="1"/>
  <c r="G73" i="9"/>
  <c r="F65" i="9"/>
  <c r="H65" i="9" s="1"/>
  <c r="C65" i="9"/>
  <c r="E65" i="9" s="1"/>
  <c r="F57" i="9"/>
  <c r="H57" i="9" s="1"/>
  <c r="C57" i="9"/>
  <c r="D57" i="9" s="1"/>
  <c r="F49" i="9"/>
  <c r="H49" i="9" s="1"/>
  <c r="C49" i="9"/>
  <c r="E49" i="9" s="1"/>
  <c r="F33" i="9"/>
  <c r="G33" i="9" s="1"/>
  <c r="C33" i="9"/>
  <c r="D33" i="9" s="1"/>
  <c r="F25" i="9"/>
  <c r="C25" i="9"/>
  <c r="E25" i="9" s="1"/>
  <c r="H25" i="9"/>
  <c r="D9" i="16" l="1"/>
  <c r="F8" i="16"/>
  <c r="F7" i="16"/>
  <c r="E33" i="9"/>
  <c r="D73" i="9"/>
  <c r="E57" i="9"/>
  <c r="D65" i="9"/>
  <c r="G65" i="9"/>
  <c r="G57" i="9"/>
  <c r="D49" i="9"/>
  <c r="G49" i="9"/>
  <c r="H33" i="9"/>
  <c r="G25" i="9"/>
  <c r="D25" i="9"/>
  <c r="E83" i="15"/>
  <c r="E74" i="15"/>
  <c r="E65" i="15"/>
  <c r="E56" i="15"/>
  <c r="E47" i="15"/>
  <c r="E37" i="15"/>
  <c r="E28" i="15"/>
  <c r="D10" i="16" l="1"/>
  <c r="F9" i="16"/>
  <c r="D11" i="16"/>
  <c r="J11" i="12"/>
  <c r="J2" i="12"/>
  <c r="F10" i="16" l="1"/>
  <c r="D14" i="16"/>
  <c r="D12" i="16"/>
  <c r="A10" i="12"/>
  <c r="D15" i="16" l="1"/>
  <c r="F14" i="16"/>
  <c r="F11" i="16"/>
  <c r="F12" i="16"/>
  <c r="B2" i="12"/>
  <c r="B4" i="12"/>
  <c r="B15" i="12"/>
  <c r="B13" i="12"/>
  <c r="B11" i="12"/>
  <c r="B8" i="12"/>
  <c r="B6" i="12"/>
  <c r="F15" i="16" l="1"/>
  <c r="D16" i="16"/>
  <c r="F16" i="16" s="1"/>
  <c r="F18" i="16" s="1"/>
  <c r="F17" i="16"/>
  <c r="D17" i="16"/>
  <c r="B3" i="7"/>
  <c r="A11" i="12"/>
  <c r="C11" i="4" s="1"/>
  <c r="D11" i="4" s="1"/>
  <c r="F45" i="15" s="1"/>
  <c r="C5" i="4"/>
  <c r="D5" i="4" s="1"/>
  <c r="D18" i="16" l="1"/>
  <c r="E45" i="15"/>
  <c r="F40" i="9" s="1"/>
  <c r="C40" i="9"/>
  <c r="M6" i="15"/>
  <c r="F46" i="15"/>
  <c r="E36" i="10"/>
  <c r="E37" i="10"/>
  <c r="E39" i="10"/>
  <c r="E43" i="10"/>
  <c r="AT56" i="10"/>
  <c r="AU56" i="10"/>
  <c r="AV56" i="10"/>
  <c r="B13" i="5" s="1"/>
  <c r="L5" i="5" s="1"/>
  <c r="J7" i="16" s="1"/>
  <c r="AT57" i="10"/>
  <c r="AU57" i="10"/>
  <c r="AV57" i="10"/>
  <c r="AW6" i="10"/>
  <c r="AW7" i="10"/>
  <c r="E7" i="10" s="1"/>
  <c r="AW8" i="10"/>
  <c r="E8" i="10" s="1"/>
  <c r="AW9" i="10"/>
  <c r="E9" i="10" s="1"/>
  <c r="AW10" i="10"/>
  <c r="E10" i="10" s="1"/>
  <c r="AW11" i="10"/>
  <c r="E11" i="10" s="1"/>
  <c r="AW12" i="10"/>
  <c r="E12" i="10" s="1"/>
  <c r="AW13" i="10"/>
  <c r="E13" i="10" s="1"/>
  <c r="AW14" i="10"/>
  <c r="E14" i="10" s="1"/>
  <c r="AW15" i="10"/>
  <c r="E15" i="10" s="1"/>
  <c r="AW16" i="10"/>
  <c r="E16" i="10" s="1"/>
  <c r="AW17" i="10"/>
  <c r="E17" i="10" s="1"/>
  <c r="AW18" i="10"/>
  <c r="E18" i="10" s="1"/>
  <c r="AW19" i="10"/>
  <c r="E19" i="10" s="1"/>
  <c r="AW20" i="10"/>
  <c r="E20" i="10" s="1"/>
  <c r="AW21" i="10"/>
  <c r="E21" i="10" s="1"/>
  <c r="AW22" i="10"/>
  <c r="E22" i="10" s="1"/>
  <c r="AW23" i="10"/>
  <c r="E23" i="10" s="1"/>
  <c r="AW24" i="10"/>
  <c r="E24" i="10" s="1"/>
  <c r="AW25" i="10"/>
  <c r="E25" i="10" s="1"/>
  <c r="AW26" i="10"/>
  <c r="E26" i="10" s="1"/>
  <c r="AW27" i="10"/>
  <c r="E27" i="10" s="1"/>
  <c r="AW28" i="10"/>
  <c r="E28" i="10" s="1"/>
  <c r="AW29" i="10"/>
  <c r="E29" i="10" s="1"/>
  <c r="AW30" i="10"/>
  <c r="E30" i="10" s="1"/>
  <c r="AW31" i="10"/>
  <c r="E31" i="10" s="1"/>
  <c r="AW32" i="10"/>
  <c r="E32" i="10" s="1"/>
  <c r="AW33" i="10"/>
  <c r="E33" i="10" s="1"/>
  <c r="AW34" i="10"/>
  <c r="E34" i="10" s="1"/>
  <c r="AW35" i="10"/>
  <c r="E35" i="10" s="1"/>
  <c r="AW36" i="10"/>
  <c r="AW37" i="10"/>
  <c r="AW38" i="10"/>
  <c r="E38" i="10" s="1"/>
  <c r="AW39" i="10"/>
  <c r="AW40" i="10"/>
  <c r="E40" i="10" s="1"/>
  <c r="AW41" i="10"/>
  <c r="E41" i="10" s="1"/>
  <c r="AW42" i="10"/>
  <c r="E42" i="10" s="1"/>
  <c r="AW43" i="10"/>
  <c r="AW44" i="10"/>
  <c r="E44" i="10" s="1"/>
  <c r="AW45" i="10"/>
  <c r="E45" i="10" s="1"/>
  <c r="AW46" i="10"/>
  <c r="E46" i="10" s="1"/>
  <c r="AW47" i="10"/>
  <c r="E47" i="10" s="1"/>
  <c r="AW48" i="10"/>
  <c r="E48" i="10" s="1"/>
  <c r="AW49" i="10"/>
  <c r="E49" i="10" s="1"/>
  <c r="AW50" i="10"/>
  <c r="E50" i="10" s="1"/>
  <c r="AW51" i="10"/>
  <c r="E51" i="10" s="1"/>
  <c r="AW52" i="10"/>
  <c r="E52" i="10" s="1"/>
  <c r="AW53" i="10"/>
  <c r="E53" i="10" s="1"/>
  <c r="AW54" i="10"/>
  <c r="E54" i="10" s="1"/>
  <c r="AW5" i="10"/>
  <c r="E5" i="10" s="1"/>
  <c r="AW56" i="10" l="1"/>
  <c r="AW57" i="10"/>
  <c r="E6" i="10"/>
  <c r="E40" i="9"/>
  <c r="D40" i="9"/>
  <c r="H40" i="9"/>
  <c r="G40" i="9"/>
  <c r="E46" i="15"/>
  <c r="C41" i="9"/>
  <c r="F48" i="15"/>
  <c r="F249" i="1"/>
  <c r="E249" i="1"/>
  <c r="D249" i="1"/>
  <c r="F222" i="1"/>
  <c r="E222" i="1"/>
  <c r="F195" i="1"/>
  <c r="E195" i="1"/>
  <c r="E168" i="1"/>
  <c r="E141" i="1"/>
  <c r="F114" i="1"/>
  <c r="F87" i="1"/>
  <c r="D8" i="13"/>
  <c r="F7" i="13"/>
  <c r="E7" i="13"/>
  <c r="D7" i="13"/>
  <c r="E6" i="13"/>
  <c r="D6" i="13"/>
  <c r="D5" i="13"/>
  <c r="D4" i="13"/>
  <c r="F3" i="13"/>
  <c r="E3" i="13"/>
  <c r="D3" i="13"/>
  <c r="E2" i="13"/>
  <c r="D2" i="13"/>
  <c r="E41" i="9" l="1"/>
  <c r="E42" i="9" s="1"/>
  <c r="E43" i="9" s="1"/>
  <c r="M6" i="9" s="1"/>
  <c r="D41" i="9"/>
  <c r="D42" i="9" s="1"/>
  <c r="D43" i="9" s="1"/>
  <c r="C42" i="9"/>
  <c r="C43" i="9" s="1"/>
  <c r="L6" i="9" s="1"/>
  <c r="F41" i="9"/>
  <c r="E48" i="15"/>
  <c r="F50" i="15"/>
  <c r="F49" i="15"/>
  <c r="D10" i="13"/>
  <c r="D9" i="13"/>
  <c r="E50" i="15" l="1"/>
  <c r="E51" i="15" s="1"/>
  <c r="E49" i="15"/>
  <c r="H41" i="9"/>
  <c r="H42" i="9" s="1"/>
  <c r="H43" i="9" s="1"/>
  <c r="N6" i="9" s="1"/>
  <c r="G41" i="9"/>
  <c r="G42" i="9" s="1"/>
  <c r="G43" i="9" s="1"/>
  <c r="F42" i="9"/>
  <c r="F43" i="9" s="1"/>
  <c r="K6" i="15"/>
  <c r="P6" i="9" s="1"/>
  <c r="Q6" i="9" s="1"/>
  <c r="R6" i="9" s="1"/>
  <c r="F51" i="15"/>
  <c r="E10" i="13"/>
  <c r="E9" i="13"/>
  <c r="F10" i="13"/>
  <c r="F9" i="13"/>
  <c r="G3" i="13"/>
  <c r="G4" i="13"/>
  <c r="G5" i="13"/>
  <c r="G6" i="13"/>
  <c r="G7" i="13"/>
  <c r="G8" i="13"/>
  <c r="G2" i="13"/>
  <c r="G10" i="13" l="1"/>
  <c r="G9" i="13"/>
  <c r="G141" i="1"/>
  <c r="G87" i="1"/>
  <c r="G60" i="1"/>
  <c r="G33" i="1"/>
  <c r="A4" i="12"/>
  <c r="D6" i="2" s="1"/>
  <c r="A6" i="12"/>
  <c r="D9" i="2" s="1"/>
  <c r="A8" i="12"/>
  <c r="C3" i="3" s="1"/>
  <c r="A2" i="12"/>
  <c r="D3" i="2" l="1"/>
  <c r="C3" i="8"/>
  <c r="D3" i="8" s="1"/>
  <c r="D3" i="7"/>
  <c r="E3" i="7" s="1"/>
  <c r="E3" i="6"/>
  <c r="D3" i="6"/>
  <c r="C3" i="6"/>
  <c r="D8" i="5"/>
  <c r="D3" i="5"/>
  <c r="M9" i="15" l="1"/>
  <c r="F73" i="15"/>
  <c r="M10" i="15"/>
  <c r="F82" i="15"/>
  <c r="E13" i="5"/>
  <c r="M3" i="5" s="1"/>
  <c r="G243" i="1"/>
  <c r="G238" i="1"/>
  <c r="G233" i="1"/>
  <c r="G216" i="1"/>
  <c r="G211" i="1"/>
  <c r="G206" i="1"/>
  <c r="G189" i="1"/>
  <c r="G184" i="1"/>
  <c r="G179" i="1"/>
  <c r="G162" i="1"/>
  <c r="G157" i="1"/>
  <c r="G152" i="1"/>
  <c r="G135" i="1"/>
  <c r="G130" i="1"/>
  <c r="G125" i="1"/>
  <c r="G108" i="1"/>
  <c r="G103" i="1"/>
  <c r="G98" i="1"/>
  <c r="G81" i="1"/>
  <c r="G76" i="1"/>
  <c r="G71" i="1"/>
  <c r="G54" i="1"/>
  <c r="G49" i="1"/>
  <c r="G44" i="1"/>
  <c r="G27" i="1"/>
  <c r="G22" i="1"/>
  <c r="G17" i="1"/>
  <c r="M8" i="15" l="1"/>
  <c r="F64" i="15"/>
  <c r="F75" i="15"/>
  <c r="C64" i="9"/>
  <c r="E73" i="15"/>
  <c r="F84" i="15"/>
  <c r="C72" i="9"/>
  <c r="E82" i="15"/>
  <c r="D56" i="10"/>
  <c r="B3" i="5" s="1"/>
  <c r="E3" i="5" s="1"/>
  <c r="K3" i="5" s="1"/>
  <c r="D57" i="10"/>
  <c r="E3" i="2"/>
  <c r="E72" i="9" l="1"/>
  <c r="E74" i="9" s="1"/>
  <c r="E75" i="9" s="1"/>
  <c r="M10" i="9" s="1"/>
  <c r="C74" i="9"/>
  <c r="C75" i="9" s="1"/>
  <c r="L10" i="9" s="1"/>
  <c r="D72" i="9"/>
  <c r="D74" i="9" s="1"/>
  <c r="D75" i="9" s="1"/>
  <c r="F77" i="15"/>
  <c r="F76" i="15"/>
  <c r="E64" i="9"/>
  <c r="E66" i="9" s="1"/>
  <c r="E67" i="9" s="1"/>
  <c r="M9" i="9" s="1"/>
  <c r="C66" i="9"/>
  <c r="C67" i="9" s="1"/>
  <c r="L9" i="9" s="1"/>
  <c r="D64" i="9"/>
  <c r="D66" i="9" s="1"/>
  <c r="D67" i="9" s="1"/>
  <c r="E64" i="15"/>
  <c r="C56" i="9"/>
  <c r="F66" i="15"/>
  <c r="F72" i="9"/>
  <c r="E84" i="15"/>
  <c r="F86" i="15"/>
  <c r="F85" i="15"/>
  <c r="E75" i="15"/>
  <c r="F64" i="9"/>
  <c r="Z55" i="10"/>
  <c r="AB55" i="10" s="1"/>
  <c r="P55" i="10"/>
  <c r="Q55" i="10"/>
  <c r="K9" i="15" l="1"/>
  <c r="P9" i="9" s="1"/>
  <c r="Q9" i="9" s="1"/>
  <c r="R9" i="9" s="1"/>
  <c r="F78" i="15"/>
  <c r="F67" i="15"/>
  <c r="F68" i="15"/>
  <c r="K10" i="15"/>
  <c r="P10" i="9" s="1"/>
  <c r="Q10" i="9" s="1"/>
  <c r="R10" i="9" s="1"/>
  <c r="F87" i="15"/>
  <c r="E77" i="15"/>
  <c r="E78" i="15" s="1"/>
  <c r="E76" i="15"/>
  <c r="H72" i="9"/>
  <c r="H74" i="9" s="1"/>
  <c r="H75" i="9" s="1"/>
  <c r="N10" i="9" s="1"/>
  <c r="G72" i="9"/>
  <c r="G74" i="9" s="1"/>
  <c r="G75" i="9" s="1"/>
  <c r="F74" i="9"/>
  <c r="F75" i="9" s="1"/>
  <c r="E56" i="9"/>
  <c r="E58" i="9" s="1"/>
  <c r="E59" i="9" s="1"/>
  <c r="M8" i="9" s="1"/>
  <c r="C58" i="9"/>
  <c r="C59" i="9" s="1"/>
  <c r="L8" i="9" s="1"/>
  <c r="D56" i="9"/>
  <c r="D58" i="9" s="1"/>
  <c r="D59" i="9" s="1"/>
  <c r="F66" i="9"/>
  <c r="F67" i="9" s="1"/>
  <c r="H64" i="9"/>
  <c r="H66" i="9" s="1"/>
  <c r="H67" i="9" s="1"/>
  <c r="N9" i="9" s="1"/>
  <c r="G64" i="9"/>
  <c r="G66" i="9" s="1"/>
  <c r="G67" i="9" s="1"/>
  <c r="E85" i="15"/>
  <c r="E86" i="15"/>
  <c r="E87" i="15" s="1"/>
  <c r="F56" i="9"/>
  <c r="E66" i="15"/>
  <c r="AC55" i="10"/>
  <c r="K56" i="10"/>
  <c r="F17" i="1" s="1"/>
  <c r="H17" i="1" s="1"/>
  <c r="AI56" i="10"/>
  <c r="F179" i="1" s="1"/>
  <c r="H179" i="1" s="1"/>
  <c r="AA56" i="10"/>
  <c r="F125" i="1" s="1"/>
  <c r="H125" i="1" s="1"/>
  <c r="S56" i="10"/>
  <c r="F71" i="1" s="1"/>
  <c r="H71" i="1" s="1"/>
  <c r="G195" i="1"/>
  <c r="G168" i="1"/>
  <c r="E68" i="15" l="1"/>
  <c r="E69" i="15" s="1"/>
  <c r="E67" i="15"/>
  <c r="G56" i="9"/>
  <c r="G58" i="9" s="1"/>
  <c r="G59" i="9" s="1"/>
  <c r="F58" i="9"/>
  <c r="F59" i="9" s="1"/>
  <c r="H56" i="9"/>
  <c r="H58" i="9" s="1"/>
  <c r="H59" i="9" s="1"/>
  <c r="N8" i="9" s="1"/>
  <c r="K8" i="15"/>
  <c r="P8" i="9" s="1"/>
  <c r="Q8" i="9" s="1"/>
  <c r="R8" i="9" s="1"/>
  <c r="F69" i="15"/>
  <c r="G114" i="1"/>
  <c r="G222" i="1"/>
  <c r="I19" i="10" l="1"/>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6" i="10"/>
  <c r="I7" i="10"/>
  <c r="I8" i="10"/>
  <c r="I9" i="10"/>
  <c r="I10" i="10"/>
  <c r="I11" i="10"/>
  <c r="I12" i="10"/>
  <c r="I13" i="10"/>
  <c r="I14" i="10"/>
  <c r="I15" i="10"/>
  <c r="I16" i="10"/>
  <c r="I17" i="10"/>
  <c r="I18" i="10"/>
  <c r="I5" i="10"/>
  <c r="B57" i="10"/>
  <c r="B56" i="10"/>
  <c r="G249" i="1"/>
  <c r="AM16" i="10" l="1"/>
  <c r="AL16" i="10" s="1"/>
  <c r="AQ16" i="10"/>
  <c r="AP16" i="10" s="1"/>
  <c r="AE16" i="10"/>
  <c r="AD16" i="10" s="1"/>
  <c r="AH16" i="10"/>
  <c r="W16" i="10"/>
  <c r="V16" i="10" s="1"/>
  <c r="Z16" i="10"/>
  <c r="J16" i="10"/>
  <c r="O16" i="10"/>
  <c r="N16" i="10" s="1"/>
  <c r="R16" i="10"/>
  <c r="AM8" i="10"/>
  <c r="AL8" i="10" s="1"/>
  <c r="AQ8" i="10"/>
  <c r="AP8" i="10" s="1"/>
  <c r="AE8" i="10"/>
  <c r="AD8" i="10" s="1"/>
  <c r="AH8" i="10"/>
  <c r="R8" i="10"/>
  <c r="Z8" i="10"/>
  <c r="J8" i="10"/>
  <c r="O8" i="10"/>
  <c r="N8" i="10" s="1"/>
  <c r="W8" i="10"/>
  <c r="V8" i="10" s="1"/>
  <c r="AQ49" i="10"/>
  <c r="AP49" i="10" s="1"/>
  <c r="AE49" i="10"/>
  <c r="AD49" i="10" s="1"/>
  <c r="R49" i="10"/>
  <c r="AH49" i="10"/>
  <c r="AM49" i="10"/>
  <c r="AL49" i="10" s="1"/>
  <c r="W49" i="10"/>
  <c r="V49" i="10" s="1"/>
  <c r="Z49" i="10"/>
  <c r="J49" i="10"/>
  <c r="O49" i="10"/>
  <c r="N49" i="10" s="1"/>
  <c r="AH41" i="10"/>
  <c r="AM41" i="10"/>
  <c r="AL41" i="10" s="1"/>
  <c r="AE41" i="10"/>
  <c r="AD41" i="10" s="1"/>
  <c r="W41" i="10"/>
  <c r="V41" i="10" s="1"/>
  <c r="R41" i="10"/>
  <c r="AQ41" i="10"/>
  <c r="AP41" i="10" s="1"/>
  <c r="J41" i="10"/>
  <c r="O41" i="10"/>
  <c r="N41" i="10" s="1"/>
  <c r="Z41" i="10"/>
  <c r="AE33" i="10"/>
  <c r="AD33" i="10" s="1"/>
  <c r="AM33" i="10"/>
  <c r="AL33" i="10" s="1"/>
  <c r="AH33" i="10"/>
  <c r="AQ33" i="10"/>
  <c r="AP33" i="10" s="1"/>
  <c r="R33" i="10"/>
  <c r="W33" i="10"/>
  <c r="V33" i="10" s="1"/>
  <c r="Z33" i="10"/>
  <c r="J33" i="10"/>
  <c r="O33" i="10"/>
  <c r="N33" i="10" s="1"/>
  <c r="AH29" i="10"/>
  <c r="AM29" i="10"/>
  <c r="AL29" i="10" s="1"/>
  <c r="AE29" i="10"/>
  <c r="AD29" i="10" s="1"/>
  <c r="Z29" i="10"/>
  <c r="R29" i="10"/>
  <c r="J29" i="10"/>
  <c r="AQ29" i="10"/>
  <c r="AP29" i="10" s="1"/>
  <c r="W29" i="10"/>
  <c r="V29" i="10" s="1"/>
  <c r="O29" i="10"/>
  <c r="N29" i="10" s="1"/>
  <c r="AM21" i="10"/>
  <c r="AL21" i="10" s="1"/>
  <c r="AQ21" i="10"/>
  <c r="AP21" i="10" s="1"/>
  <c r="Z21" i="10"/>
  <c r="W21" i="10"/>
  <c r="V21" i="10" s="1"/>
  <c r="AH21" i="10"/>
  <c r="R21" i="10"/>
  <c r="AE21" i="10"/>
  <c r="AD21" i="10" s="1"/>
  <c r="J21" i="10"/>
  <c r="O21" i="10"/>
  <c r="N21" i="10" s="1"/>
  <c r="AH15" i="10"/>
  <c r="AQ15" i="10"/>
  <c r="AP15" i="10" s="1"/>
  <c r="W15" i="10"/>
  <c r="V15" i="10" s="1"/>
  <c r="J15" i="10"/>
  <c r="AM15" i="10"/>
  <c r="AL15" i="10" s="1"/>
  <c r="AE15" i="10"/>
  <c r="AD15" i="10" s="1"/>
  <c r="Z15" i="10"/>
  <c r="R15" i="10"/>
  <c r="O15" i="10"/>
  <c r="N15" i="10" s="1"/>
  <c r="AH11" i="10"/>
  <c r="AQ11" i="10"/>
  <c r="AP11" i="10" s="1"/>
  <c r="AE11" i="10"/>
  <c r="AD11" i="10" s="1"/>
  <c r="W11" i="10"/>
  <c r="V11" i="10" s="1"/>
  <c r="J11" i="10"/>
  <c r="Z11" i="10"/>
  <c r="R11" i="10"/>
  <c r="AM11" i="10"/>
  <c r="AL11" i="10" s="1"/>
  <c r="O11" i="10"/>
  <c r="N11" i="10" s="1"/>
  <c r="AQ48" i="10"/>
  <c r="AP48" i="10" s="1"/>
  <c r="AM48" i="10"/>
  <c r="AL48" i="10" s="1"/>
  <c r="AH48" i="10"/>
  <c r="W48" i="10"/>
  <c r="V48" i="10" s="1"/>
  <c r="R48" i="10"/>
  <c r="AE48" i="10"/>
  <c r="AD48" i="10" s="1"/>
  <c r="Z48" i="10"/>
  <c r="J48" i="10"/>
  <c r="O48" i="10"/>
  <c r="N48" i="10" s="1"/>
  <c r="AQ40" i="10"/>
  <c r="AP40" i="10" s="1"/>
  <c r="AE40" i="10"/>
  <c r="AD40" i="10" s="1"/>
  <c r="AM40" i="10"/>
  <c r="AL40" i="10" s="1"/>
  <c r="AH40" i="10"/>
  <c r="Z40" i="10"/>
  <c r="R40" i="10"/>
  <c r="J40" i="10"/>
  <c r="O40" i="10"/>
  <c r="N40" i="10" s="1"/>
  <c r="W40" i="10"/>
  <c r="V40" i="10" s="1"/>
  <c r="AQ36" i="10"/>
  <c r="AP36" i="10" s="1"/>
  <c r="AH36" i="10"/>
  <c r="AE36" i="10"/>
  <c r="AD36" i="10" s="1"/>
  <c r="AM36" i="10"/>
  <c r="AL36" i="10" s="1"/>
  <c r="Z36" i="10"/>
  <c r="W36" i="10"/>
  <c r="V36" i="10" s="1"/>
  <c r="R36" i="10"/>
  <c r="J36" i="10"/>
  <c r="O36" i="10"/>
  <c r="N36" i="10" s="1"/>
  <c r="AQ28" i="10"/>
  <c r="AP28" i="10" s="1"/>
  <c r="AE28" i="10"/>
  <c r="AD28" i="10" s="1"/>
  <c r="AM28" i="10"/>
  <c r="AL28" i="10" s="1"/>
  <c r="AH28" i="10"/>
  <c r="Z28" i="10"/>
  <c r="R28" i="10"/>
  <c r="W28" i="10"/>
  <c r="V28" i="10" s="1"/>
  <c r="O28" i="10"/>
  <c r="N28" i="10" s="1"/>
  <c r="J28" i="10"/>
  <c r="AM20" i="10"/>
  <c r="AL20" i="10" s="1"/>
  <c r="AQ20" i="10"/>
  <c r="AP20" i="10" s="1"/>
  <c r="AE20" i="10"/>
  <c r="AD20" i="10" s="1"/>
  <c r="AH20" i="10"/>
  <c r="Z20" i="10"/>
  <c r="W20" i="10"/>
  <c r="V20" i="10" s="1"/>
  <c r="R20" i="10"/>
  <c r="O20" i="10"/>
  <c r="N20" i="10" s="1"/>
  <c r="J20" i="10"/>
  <c r="AQ18" i="10"/>
  <c r="AP18" i="10" s="1"/>
  <c r="AM18" i="10"/>
  <c r="AL18" i="10" s="1"/>
  <c r="AH18" i="10"/>
  <c r="Z18" i="10"/>
  <c r="R18" i="10"/>
  <c r="AE18" i="10"/>
  <c r="AD18" i="10" s="1"/>
  <c r="J18" i="10"/>
  <c r="O18" i="10"/>
  <c r="N18" i="10" s="1"/>
  <c r="W18" i="10"/>
  <c r="V18" i="10" s="1"/>
  <c r="AQ14" i="10"/>
  <c r="AP14" i="10" s="1"/>
  <c r="AM14" i="10"/>
  <c r="AL14" i="10" s="1"/>
  <c r="AH14" i="10"/>
  <c r="AE14" i="10"/>
  <c r="AD14" i="10" s="1"/>
  <c r="Z14" i="10"/>
  <c r="R14" i="10"/>
  <c r="W14" i="10"/>
  <c r="V14" i="10" s="1"/>
  <c r="O14" i="10"/>
  <c r="N14" i="10" s="1"/>
  <c r="J14" i="10"/>
  <c r="AQ10" i="10"/>
  <c r="AP10" i="10" s="1"/>
  <c r="AM10" i="10"/>
  <c r="AL10" i="10" s="1"/>
  <c r="AH10" i="10"/>
  <c r="Z10" i="10"/>
  <c r="R10" i="10"/>
  <c r="W10" i="10"/>
  <c r="V10" i="10" s="1"/>
  <c r="AE10" i="10"/>
  <c r="AD10" i="10" s="1"/>
  <c r="O10" i="10"/>
  <c r="N10" i="10" s="1"/>
  <c r="J10" i="10"/>
  <c r="AQ6" i="10"/>
  <c r="AP6" i="10" s="1"/>
  <c r="AM6" i="10"/>
  <c r="AL6" i="10" s="1"/>
  <c r="AE6" i="10"/>
  <c r="AD6" i="10" s="1"/>
  <c r="AH6" i="10"/>
  <c r="Z6" i="10"/>
  <c r="R6" i="10"/>
  <c r="O6" i="10"/>
  <c r="N6" i="10" s="1"/>
  <c r="W6" i="10"/>
  <c r="V6" i="10" s="1"/>
  <c r="J6" i="10"/>
  <c r="AQ51" i="10"/>
  <c r="AP51" i="10" s="1"/>
  <c r="AE51" i="10"/>
  <c r="AD51" i="10" s="1"/>
  <c r="AM51" i="10"/>
  <c r="AL51" i="10" s="1"/>
  <c r="R51" i="10"/>
  <c r="AH51" i="10"/>
  <c r="Z51" i="10"/>
  <c r="J51" i="10"/>
  <c r="W51" i="10"/>
  <c r="V51" i="10" s="1"/>
  <c r="O51" i="10"/>
  <c r="N51" i="10" s="1"/>
  <c r="AQ47" i="10"/>
  <c r="AP47" i="10" s="1"/>
  <c r="AH47" i="10"/>
  <c r="AE47" i="10"/>
  <c r="AD47" i="10" s="1"/>
  <c r="AM47" i="10"/>
  <c r="AL47" i="10" s="1"/>
  <c r="Z47" i="10"/>
  <c r="W47" i="10"/>
  <c r="V47" i="10" s="1"/>
  <c r="O47" i="10"/>
  <c r="N47" i="10" s="1"/>
  <c r="R47" i="10"/>
  <c r="J47" i="10"/>
  <c r="AQ43" i="10"/>
  <c r="AP43" i="10" s="1"/>
  <c r="AE43" i="10"/>
  <c r="AD43" i="10" s="1"/>
  <c r="AM43" i="10"/>
  <c r="AL43" i="10" s="1"/>
  <c r="AH43" i="10"/>
  <c r="R43" i="10"/>
  <c r="W43" i="10"/>
  <c r="V43" i="10" s="1"/>
  <c r="J43" i="10"/>
  <c r="Z43" i="10"/>
  <c r="O43" i="10"/>
  <c r="N43" i="10" s="1"/>
  <c r="AQ39" i="10"/>
  <c r="AP39" i="10" s="1"/>
  <c r="AM39" i="10"/>
  <c r="AL39" i="10" s="1"/>
  <c r="W39" i="10"/>
  <c r="V39" i="10" s="1"/>
  <c r="AH39" i="10"/>
  <c r="Z39" i="10"/>
  <c r="O39" i="10"/>
  <c r="N39" i="10" s="1"/>
  <c r="AE39" i="10"/>
  <c r="AD39" i="10" s="1"/>
  <c r="R39" i="10"/>
  <c r="J39" i="10"/>
  <c r="AQ35" i="10"/>
  <c r="AP35" i="10" s="1"/>
  <c r="AH35" i="10"/>
  <c r="AE35" i="10"/>
  <c r="AD35" i="10" s="1"/>
  <c r="W35" i="10"/>
  <c r="V35" i="10" s="1"/>
  <c r="R35" i="10"/>
  <c r="AM35" i="10"/>
  <c r="AL35" i="10" s="1"/>
  <c r="Z35" i="10"/>
  <c r="J35" i="10"/>
  <c r="O35" i="10"/>
  <c r="N35" i="10" s="1"/>
  <c r="AM31" i="10"/>
  <c r="AL31" i="10" s="1"/>
  <c r="AQ31" i="10"/>
  <c r="AP31" i="10" s="1"/>
  <c r="AH31" i="10"/>
  <c r="W31" i="10"/>
  <c r="V31" i="10" s="1"/>
  <c r="J31" i="10"/>
  <c r="Z31" i="10"/>
  <c r="AE31" i="10"/>
  <c r="AD31" i="10" s="1"/>
  <c r="O31" i="10"/>
  <c r="N31" i="10" s="1"/>
  <c r="R31" i="10"/>
  <c r="AH27" i="10"/>
  <c r="AQ27" i="10"/>
  <c r="AP27" i="10" s="1"/>
  <c r="AE27" i="10"/>
  <c r="AD27" i="10" s="1"/>
  <c r="W27" i="10"/>
  <c r="V27" i="10" s="1"/>
  <c r="J27" i="10"/>
  <c r="Z27" i="10"/>
  <c r="R27" i="10"/>
  <c r="AM27" i="10"/>
  <c r="AL27" i="10" s="1"/>
  <c r="O27" i="10"/>
  <c r="N27" i="10" s="1"/>
  <c r="AH23" i="10"/>
  <c r="AQ23" i="10"/>
  <c r="AP23" i="10" s="1"/>
  <c r="W23" i="10"/>
  <c r="V23" i="10" s="1"/>
  <c r="J23" i="10"/>
  <c r="Z23" i="10"/>
  <c r="O23" i="10"/>
  <c r="N23" i="10" s="1"/>
  <c r="AM23" i="10"/>
  <c r="AL23" i="10" s="1"/>
  <c r="AE23" i="10"/>
  <c r="AD23" i="10" s="1"/>
  <c r="R23" i="10"/>
  <c r="AH19" i="10"/>
  <c r="AQ19" i="10"/>
  <c r="AP19" i="10" s="1"/>
  <c r="AE19" i="10"/>
  <c r="AD19" i="10" s="1"/>
  <c r="W19" i="10"/>
  <c r="V19" i="10" s="1"/>
  <c r="J19" i="10"/>
  <c r="AM19" i="10"/>
  <c r="AL19" i="10" s="1"/>
  <c r="Z19" i="10"/>
  <c r="R19" i="10"/>
  <c r="O19" i="10"/>
  <c r="N19" i="10" s="1"/>
  <c r="AM12" i="10"/>
  <c r="AL12" i="10" s="1"/>
  <c r="AQ12" i="10"/>
  <c r="AP12" i="10" s="1"/>
  <c r="AE12" i="10"/>
  <c r="AD12" i="10" s="1"/>
  <c r="AH12" i="10"/>
  <c r="R12" i="10"/>
  <c r="Z12" i="10"/>
  <c r="W12" i="10"/>
  <c r="V12" i="10" s="1"/>
  <c r="O12" i="10"/>
  <c r="N12" i="10" s="1"/>
  <c r="J12" i="10"/>
  <c r="AQ53" i="10"/>
  <c r="AP53" i="10" s="1"/>
  <c r="AH53" i="10"/>
  <c r="AE53" i="10"/>
  <c r="AD53" i="10" s="1"/>
  <c r="AM53" i="10"/>
  <c r="AL53" i="10" s="1"/>
  <c r="Z53" i="10"/>
  <c r="W53" i="10"/>
  <c r="V53" i="10" s="1"/>
  <c r="R53" i="10"/>
  <c r="J53" i="10"/>
  <c r="O53" i="10"/>
  <c r="N53" i="10" s="1"/>
  <c r="AQ45" i="10"/>
  <c r="AP45" i="10" s="1"/>
  <c r="AE45" i="10"/>
  <c r="AD45" i="10" s="1"/>
  <c r="AH45" i="10"/>
  <c r="Z45" i="10"/>
  <c r="W45" i="10"/>
  <c r="V45" i="10" s="1"/>
  <c r="R45" i="10"/>
  <c r="AM45" i="10"/>
  <c r="AL45" i="10" s="1"/>
  <c r="J45" i="10"/>
  <c r="O45" i="10"/>
  <c r="N45" i="10" s="1"/>
  <c r="AE37" i="10"/>
  <c r="AD37" i="10" s="1"/>
  <c r="AQ37" i="10"/>
  <c r="AP37" i="10" s="1"/>
  <c r="Z37" i="10"/>
  <c r="W37" i="10"/>
  <c r="V37" i="10" s="1"/>
  <c r="R37" i="10"/>
  <c r="AH37" i="10"/>
  <c r="J37" i="10"/>
  <c r="O37" i="10"/>
  <c r="N37" i="10" s="1"/>
  <c r="AM37" i="10"/>
  <c r="AL37" i="10" s="1"/>
  <c r="AM25" i="10"/>
  <c r="AL25" i="10" s="1"/>
  <c r="AE25" i="10"/>
  <c r="AD25" i="10" s="1"/>
  <c r="W25" i="10"/>
  <c r="V25" i="10" s="1"/>
  <c r="R25" i="10"/>
  <c r="AH25" i="10"/>
  <c r="J25" i="10"/>
  <c r="AQ25" i="10"/>
  <c r="AP25" i="10" s="1"/>
  <c r="O25" i="10"/>
  <c r="N25" i="10" s="1"/>
  <c r="Z25" i="10"/>
  <c r="AQ5" i="10"/>
  <c r="AP5" i="10" s="1"/>
  <c r="AM5" i="10"/>
  <c r="AL5" i="10" s="1"/>
  <c r="AE5" i="10"/>
  <c r="AD5" i="10" s="1"/>
  <c r="R5" i="10"/>
  <c r="AH5" i="10"/>
  <c r="Z5" i="10"/>
  <c r="O5" i="10"/>
  <c r="N5" i="10" s="1"/>
  <c r="W5" i="10"/>
  <c r="V5" i="10" s="1"/>
  <c r="J5" i="10"/>
  <c r="AH7" i="10"/>
  <c r="AQ7" i="10"/>
  <c r="AP7" i="10" s="1"/>
  <c r="W7" i="10"/>
  <c r="V7" i="10" s="1"/>
  <c r="J7" i="10"/>
  <c r="Z7" i="10"/>
  <c r="AE7" i="10"/>
  <c r="AD7" i="10" s="1"/>
  <c r="AM7" i="10"/>
  <c r="AL7" i="10" s="1"/>
  <c r="O7" i="10"/>
  <c r="N7" i="10" s="1"/>
  <c r="R7" i="10"/>
  <c r="AQ52" i="10"/>
  <c r="AP52" i="10" s="1"/>
  <c r="AM52" i="10"/>
  <c r="AL52" i="10" s="1"/>
  <c r="AE52" i="10"/>
  <c r="AD52" i="10" s="1"/>
  <c r="Z52" i="10"/>
  <c r="W52" i="10"/>
  <c r="V52" i="10" s="1"/>
  <c r="R52" i="10"/>
  <c r="J52" i="10"/>
  <c r="O52" i="10"/>
  <c r="N52" i="10" s="1"/>
  <c r="AH52" i="10"/>
  <c r="AQ44" i="10"/>
  <c r="AP44" i="10" s="1"/>
  <c r="AM44" i="10"/>
  <c r="AL44" i="10" s="1"/>
  <c r="AH44" i="10"/>
  <c r="AE44" i="10"/>
  <c r="AD44" i="10" s="1"/>
  <c r="Z44" i="10"/>
  <c r="W44" i="10"/>
  <c r="V44" i="10" s="1"/>
  <c r="R44" i="10"/>
  <c r="J44" i="10"/>
  <c r="O44" i="10"/>
  <c r="N44" i="10" s="1"/>
  <c r="AQ32" i="10"/>
  <c r="AP32" i="10" s="1"/>
  <c r="AH32" i="10"/>
  <c r="AE32" i="10"/>
  <c r="AD32" i="10" s="1"/>
  <c r="AM32" i="10"/>
  <c r="AL32" i="10" s="1"/>
  <c r="W32" i="10"/>
  <c r="V32" i="10" s="1"/>
  <c r="R32" i="10"/>
  <c r="Z32" i="10"/>
  <c r="J32" i="10"/>
  <c r="O32" i="10"/>
  <c r="N32" i="10" s="1"/>
  <c r="AM24" i="10"/>
  <c r="AL24" i="10" s="1"/>
  <c r="AQ24" i="10"/>
  <c r="AP24" i="10" s="1"/>
  <c r="AE24" i="10"/>
  <c r="AD24" i="10" s="1"/>
  <c r="AH24" i="10"/>
  <c r="Z24" i="10"/>
  <c r="J24" i="10"/>
  <c r="W24" i="10"/>
  <c r="V24" i="10" s="1"/>
  <c r="R24" i="10"/>
  <c r="O24" i="10"/>
  <c r="N24" i="10" s="1"/>
  <c r="AM17" i="10"/>
  <c r="AL17" i="10" s="1"/>
  <c r="AE17" i="10"/>
  <c r="AD17" i="10" s="1"/>
  <c r="AQ17" i="10"/>
  <c r="AP17" i="10" s="1"/>
  <c r="R17" i="10"/>
  <c r="W17" i="10"/>
  <c r="V17" i="10" s="1"/>
  <c r="AH17" i="10"/>
  <c r="Z17" i="10"/>
  <c r="J17" i="10"/>
  <c r="O17" i="10"/>
  <c r="N17" i="10" s="1"/>
  <c r="AM13" i="10"/>
  <c r="AL13" i="10" s="1"/>
  <c r="AH13" i="10"/>
  <c r="Z13" i="10"/>
  <c r="J13" i="10"/>
  <c r="R13" i="10"/>
  <c r="O13" i="10"/>
  <c r="N13" i="10" s="1"/>
  <c r="AQ13" i="10"/>
  <c r="AP13" i="10" s="1"/>
  <c r="AE13" i="10"/>
  <c r="AD13" i="10" s="1"/>
  <c r="W13" i="10"/>
  <c r="V13" i="10" s="1"/>
  <c r="AM9" i="10"/>
  <c r="AL9" i="10" s="1"/>
  <c r="AE9" i="10"/>
  <c r="AD9" i="10" s="1"/>
  <c r="W9" i="10"/>
  <c r="V9" i="10" s="1"/>
  <c r="AH9" i="10"/>
  <c r="AQ9" i="10"/>
  <c r="AP9" i="10" s="1"/>
  <c r="Z9" i="10"/>
  <c r="J9" i="10"/>
  <c r="O9" i="10"/>
  <c r="N9" i="10" s="1"/>
  <c r="R9" i="10"/>
  <c r="AQ54" i="10"/>
  <c r="AP54" i="10" s="1"/>
  <c r="AM54" i="10"/>
  <c r="AL54" i="10" s="1"/>
  <c r="AH54" i="10"/>
  <c r="AE54" i="10"/>
  <c r="AD54" i="10" s="1"/>
  <c r="Z54" i="10"/>
  <c r="R54" i="10"/>
  <c r="J54" i="10"/>
  <c r="O54" i="10"/>
  <c r="N54" i="10" s="1"/>
  <c r="W54" i="10"/>
  <c r="V54" i="10" s="1"/>
  <c r="AQ50" i="10"/>
  <c r="AP50" i="10" s="1"/>
  <c r="AM50" i="10"/>
  <c r="AL50" i="10" s="1"/>
  <c r="AH50" i="10"/>
  <c r="Z50" i="10"/>
  <c r="R50" i="10"/>
  <c r="AE50" i="10"/>
  <c r="AD50" i="10" s="1"/>
  <c r="W50" i="10"/>
  <c r="V50" i="10" s="1"/>
  <c r="J50" i="10"/>
  <c r="O50" i="10"/>
  <c r="N50" i="10" s="1"/>
  <c r="AQ46" i="10"/>
  <c r="AP46" i="10" s="1"/>
  <c r="AM46" i="10"/>
  <c r="AL46" i="10" s="1"/>
  <c r="Z46" i="10"/>
  <c r="R46" i="10"/>
  <c r="AE46" i="10"/>
  <c r="AD46" i="10" s="1"/>
  <c r="J46" i="10"/>
  <c r="O46" i="10"/>
  <c r="N46" i="10" s="1"/>
  <c r="AH46" i="10"/>
  <c r="W46" i="10"/>
  <c r="V46" i="10" s="1"/>
  <c r="AQ42" i="10"/>
  <c r="AP42" i="10" s="1"/>
  <c r="AM42" i="10"/>
  <c r="AL42" i="10" s="1"/>
  <c r="AH42" i="10"/>
  <c r="Z42" i="10"/>
  <c r="R42" i="10"/>
  <c r="W42" i="10"/>
  <c r="V42" i="10" s="1"/>
  <c r="J42" i="10"/>
  <c r="O42" i="10"/>
  <c r="N42" i="10" s="1"/>
  <c r="AE42" i="10"/>
  <c r="AD42" i="10" s="1"/>
  <c r="AQ38" i="10"/>
  <c r="AP38" i="10" s="1"/>
  <c r="AM38" i="10"/>
  <c r="AL38" i="10" s="1"/>
  <c r="AH38" i="10"/>
  <c r="Z38" i="10"/>
  <c r="R38" i="10"/>
  <c r="AE38" i="10"/>
  <c r="AD38" i="10" s="1"/>
  <c r="J38" i="10"/>
  <c r="O38" i="10"/>
  <c r="N38" i="10" s="1"/>
  <c r="W38" i="10"/>
  <c r="V38" i="10" s="1"/>
  <c r="AQ34" i="10"/>
  <c r="AP34" i="10" s="1"/>
  <c r="AM34" i="10"/>
  <c r="AL34" i="10" s="1"/>
  <c r="Z34" i="10"/>
  <c r="R34" i="10"/>
  <c r="AH34" i="10"/>
  <c r="J34" i="10"/>
  <c r="O34" i="10"/>
  <c r="N34" i="10" s="1"/>
  <c r="AE34" i="10"/>
  <c r="AD34" i="10" s="1"/>
  <c r="W34" i="10"/>
  <c r="V34" i="10" s="1"/>
  <c r="AQ30" i="10"/>
  <c r="AP30" i="10" s="1"/>
  <c r="AM30" i="10"/>
  <c r="AL30" i="10" s="1"/>
  <c r="AE30" i="10"/>
  <c r="AD30" i="10" s="1"/>
  <c r="Z30" i="10"/>
  <c r="R30" i="10"/>
  <c r="W30" i="10"/>
  <c r="V30" i="10" s="1"/>
  <c r="AH30" i="10"/>
  <c r="O30" i="10"/>
  <c r="N30" i="10" s="1"/>
  <c r="J30" i="10"/>
  <c r="AQ26" i="10"/>
  <c r="AP26" i="10" s="1"/>
  <c r="AM26" i="10"/>
  <c r="AL26" i="10" s="1"/>
  <c r="AH26" i="10"/>
  <c r="Z26" i="10"/>
  <c r="R26" i="10"/>
  <c r="AE26" i="10"/>
  <c r="AD26" i="10" s="1"/>
  <c r="W26" i="10"/>
  <c r="V26" i="10" s="1"/>
  <c r="O26" i="10"/>
  <c r="N26" i="10" s="1"/>
  <c r="J26" i="10"/>
  <c r="AQ22" i="10"/>
  <c r="AP22" i="10" s="1"/>
  <c r="AM22" i="10"/>
  <c r="AL22" i="10" s="1"/>
  <c r="AH22" i="10"/>
  <c r="AE22" i="10"/>
  <c r="AD22" i="10" s="1"/>
  <c r="Z22" i="10"/>
  <c r="R22" i="10"/>
  <c r="W22" i="10"/>
  <c r="V22" i="10" s="1"/>
  <c r="O22" i="10"/>
  <c r="N22" i="10" s="1"/>
  <c r="J22" i="10"/>
  <c r="F57" i="10"/>
  <c r="G57" i="10"/>
  <c r="H57" i="10"/>
  <c r="E57" i="10"/>
  <c r="C57" i="10"/>
  <c r="E56" i="10"/>
  <c r="C56" i="10"/>
  <c r="B6" i="2" s="1"/>
  <c r="C6" i="2" s="1"/>
  <c r="E6" i="2" s="1"/>
  <c r="E11" i="2" s="1"/>
  <c r="AQ55" i="10"/>
  <c r="M4" i="15" l="1"/>
  <c r="B8" i="5"/>
  <c r="B9" i="2"/>
  <c r="C9" i="2" s="1"/>
  <c r="AK22" i="10"/>
  <c r="AJ22" i="10"/>
  <c r="AK38" i="10"/>
  <c r="AJ38" i="10"/>
  <c r="P6" i="10"/>
  <c r="Q6" i="10"/>
  <c r="AF6" i="10"/>
  <c r="AG6" i="10"/>
  <c r="P10" i="10"/>
  <c r="Q10" i="10"/>
  <c r="AB10" i="10"/>
  <c r="AC10" i="10"/>
  <c r="M14" i="10"/>
  <c r="L14" i="10"/>
  <c r="AB14" i="10"/>
  <c r="AC14" i="10"/>
  <c r="AR14" i="10"/>
  <c r="AS14" i="10"/>
  <c r="AF18" i="10"/>
  <c r="AG18" i="10"/>
  <c r="AN18" i="10"/>
  <c r="AO18" i="10"/>
  <c r="U20" i="10"/>
  <c r="T20" i="10"/>
  <c r="AF20" i="10"/>
  <c r="AG20" i="10"/>
  <c r="Q28" i="10"/>
  <c r="P28" i="10"/>
  <c r="AJ28" i="10"/>
  <c r="AK28" i="10"/>
  <c r="Q36" i="10"/>
  <c r="P36" i="10"/>
  <c r="AB36" i="10"/>
  <c r="AC36" i="10"/>
  <c r="AR36" i="10"/>
  <c r="AS36" i="10"/>
  <c r="U40" i="10"/>
  <c r="T40" i="10"/>
  <c r="AF40" i="10"/>
  <c r="AG40" i="10"/>
  <c r="AB48" i="10"/>
  <c r="AC48" i="10"/>
  <c r="AJ48" i="10"/>
  <c r="AK48" i="10"/>
  <c r="AN11" i="10"/>
  <c r="AO11" i="10"/>
  <c r="X11" i="10"/>
  <c r="Y11" i="10"/>
  <c r="P15" i="10"/>
  <c r="Q15" i="10"/>
  <c r="AN15" i="10"/>
  <c r="AO15" i="10"/>
  <c r="AJ15" i="10"/>
  <c r="AK15" i="10"/>
  <c r="T21" i="10"/>
  <c r="U21" i="10"/>
  <c r="AR21" i="10"/>
  <c r="AS21" i="10"/>
  <c r="AR29" i="10"/>
  <c r="AS29" i="10"/>
  <c r="AF29" i="10"/>
  <c r="AG29" i="10"/>
  <c r="L33" i="10"/>
  <c r="M33" i="10"/>
  <c r="AR33" i="10"/>
  <c r="AS33" i="10"/>
  <c r="AB41" i="10"/>
  <c r="AC41" i="10"/>
  <c r="T41" i="10"/>
  <c r="U41" i="10"/>
  <c r="AJ41" i="10"/>
  <c r="AK41" i="10"/>
  <c r="X49" i="10"/>
  <c r="Y49" i="10"/>
  <c r="AF49" i="10"/>
  <c r="AG49" i="10"/>
  <c r="L8" i="10"/>
  <c r="M8" i="10"/>
  <c r="AF8" i="10"/>
  <c r="AG8" i="10"/>
  <c r="P16" i="10"/>
  <c r="Q16" i="10"/>
  <c r="AJ16" i="10"/>
  <c r="AK16" i="10"/>
  <c r="U22" i="10"/>
  <c r="T22" i="10"/>
  <c r="AN22" i="10"/>
  <c r="AO22" i="10"/>
  <c r="X26" i="10"/>
  <c r="Y26" i="10"/>
  <c r="AK26" i="10"/>
  <c r="AJ26" i="10"/>
  <c r="Q30" i="10"/>
  <c r="P30" i="10"/>
  <c r="AB30" i="10"/>
  <c r="AC30" i="10"/>
  <c r="X34" i="10"/>
  <c r="Y34" i="10"/>
  <c r="AK34" i="10"/>
  <c r="AJ34" i="10"/>
  <c r="AR34" i="10"/>
  <c r="AS34" i="10"/>
  <c r="AF38" i="10"/>
  <c r="AG38" i="10"/>
  <c r="AN38" i="10"/>
  <c r="AO38" i="10"/>
  <c r="L42" i="10"/>
  <c r="M42" i="10"/>
  <c r="AK42" i="10"/>
  <c r="AJ42" i="10"/>
  <c r="AK46" i="10"/>
  <c r="AJ46" i="10"/>
  <c r="U46" i="10"/>
  <c r="T46" i="10"/>
  <c r="P50" i="10"/>
  <c r="Q50" i="10"/>
  <c r="U50" i="10"/>
  <c r="T50" i="10"/>
  <c r="AR50" i="10"/>
  <c r="AS50" i="10"/>
  <c r="U54" i="10"/>
  <c r="T54" i="10"/>
  <c r="AN54" i="10"/>
  <c r="AO54" i="10"/>
  <c r="L9" i="10"/>
  <c r="M9" i="10"/>
  <c r="X9" i="10"/>
  <c r="Y9" i="10"/>
  <c r="AF13" i="10"/>
  <c r="AG13" i="10"/>
  <c r="L13" i="10"/>
  <c r="M13" i="10"/>
  <c r="P17" i="10"/>
  <c r="Q17" i="10"/>
  <c r="X17" i="10"/>
  <c r="Y17" i="10"/>
  <c r="AN17" i="10"/>
  <c r="AO17" i="10"/>
  <c r="L24" i="10"/>
  <c r="M24" i="10"/>
  <c r="AR24" i="10"/>
  <c r="AS24" i="10"/>
  <c r="AB32" i="10"/>
  <c r="AC32" i="10"/>
  <c r="AF32" i="10"/>
  <c r="AG32" i="10"/>
  <c r="L44" i="10"/>
  <c r="M44" i="10"/>
  <c r="AF44" i="10"/>
  <c r="AG44" i="10"/>
  <c r="AJ52" i="10"/>
  <c r="AK52" i="10"/>
  <c r="X52" i="10"/>
  <c r="Y52" i="10"/>
  <c r="AR52" i="10"/>
  <c r="AS52" i="10"/>
  <c r="AF7" i="10"/>
  <c r="AG7" i="10"/>
  <c r="AR7" i="10"/>
  <c r="AS7" i="10"/>
  <c r="P5" i="10"/>
  <c r="Q5" i="10"/>
  <c r="N56" i="10"/>
  <c r="E44" i="1" s="1"/>
  <c r="N57" i="10"/>
  <c r="C60" i="1" s="1"/>
  <c r="AF5" i="10"/>
  <c r="AG5" i="10"/>
  <c r="AD56" i="10"/>
  <c r="E152" i="1" s="1"/>
  <c r="AD57" i="10"/>
  <c r="P25" i="10"/>
  <c r="Q25" i="10"/>
  <c r="T25" i="10"/>
  <c r="U25" i="10"/>
  <c r="AN37" i="10"/>
  <c r="AO37" i="10"/>
  <c r="T37" i="10"/>
  <c r="U37" i="10"/>
  <c r="AF37" i="10"/>
  <c r="AG37" i="10"/>
  <c r="T45" i="10"/>
  <c r="U45" i="10"/>
  <c r="AF45" i="10"/>
  <c r="AG45" i="10"/>
  <c r="T53" i="10"/>
  <c r="U53" i="10"/>
  <c r="AF53" i="10"/>
  <c r="AG53" i="10"/>
  <c r="Q12" i="10"/>
  <c r="P12" i="10"/>
  <c r="AJ12" i="10"/>
  <c r="AK12" i="10"/>
  <c r="P19" i="10"/>
  <c r="Q19" i="10"/>
  <c r="M19" i="10"/>
  <c r="L19" i="10"/>
  <c r="AJ19" i="10"/>
  <c r="AK19" i="10"/>
  <c r="P23" i="10"/>
  <c r="Q23" i="10"/>
  <c r="AR23" i="10"/>
  <c r="AS23" i="10"/>
  <c r="T27" i="10"/>
  <c r="U27" i="10"/>
  <c r="AF27" i="10"/>
  <c r="AG27" i="10"/>
  <c r="P31" i="10"/>
  <c r="Q31" i="10"/>
  <c r="X31" i="10"/>
  <c r="Y31" i="10"/>
  <c r="P35" i="10"/>
  <c r="Q35" i="10"/>
  <c r="T35" i="10"/>
  <c r="U35" i="10"/>
  <c r="AR35" i="10"/>
  <c r="AS35" i="10"/>
  <c r="P39" i="10"/>
  <c r="Q39" i="10"/>
  <c r="AN39" i="10"/>
  <c r="AO39" i="10"/>
  <c r="M43" i="10"/>
  <c r="L43" i="10"/>
  <c r="AN43" i="10"/>
  <c r="AO43" i="10"/>
  <c r="T47" i="10"/>
  <c r="U47" i="10"/>
  <c r="AN47" i="10"/>
  <c r="AO47" i="10"/>
  <c r="P51" i="10"/>
  <c r="Q51" i="10"/>
  <c r="AJ51" i="10"/>
  <c r="AK51" i="10"/>
  <c r="AR51" i="10"/>
  <c r="AS51" i="10"/>
  <c r="U6" i="10"/>
  <c r="T6" i="10"/>
  <c r="AN6" i="10"/>
  <c r="AO6" i="10"/>
  <c r="AF10" i="10"/>
  <c r="AG10" i="10"/>
  <c r="AK10" i="10"/>
  <c r="AJ10" i="10"/>
  <c r="P14" i="10"/>
  <c r="Q14" i="10"/>
  <c r="AF14" i="10"/>
  <c r="AG14" i="10"/>
  <c r="X18" i="10"/>
  <c r="Y18" i="10"/>
  <c r="U18" i="10"/>
  <c r="T18" i="10"/>
  <c r="AR18" i="10"/>
  <c r="AS18" i="10"/>
  <c r="X20" i="10"/>
  <c r="Y20" i="10"/>
  <c r="AR20" i="10"/>
  <c r="AS20" i="10"/>
  <c r="X28" i="10"/>
  <c r="Y28" i="10"/>
  <c r="AN28" i="10"/>
  <c r="AO28" i="10"/>
  <c r="L36" i="10"/>
  <c r="M36" i="10"/>
  <c r="AN36" i="10"/>
  <c r="AO36" i="10"/>
  <c r="X40" i="10"/>
  <c r="Y40" i="10"/>
  <c r="AB40" i="10"/>
  <c r="AC40" i="10"/>
  <c r="AR40" i="10"/>
  <c r="AS40" i="10"/>
  <c r="AF48" i="10"/>
  <c r="AG48" i="10"/>
  <c r="AN48" i="10"/>
  <c r="AO48" i="10"/>
  <c r="U11" i="10"/>
  <c r="T11" i="10"/>
  <c r="AF11" i="10"/>
  <c r="AG11" i="10"/>
  <c r="T15" i="10"/>
  <c r="U15" i="10"/>
  <c r="L15" i="10"/>
  <c r="M15" i="10"/>
  <c r="P21" i="10"/>
  <c r="Q21" i="10"/>
  <c r="AJ21" i="10"/>
  <c r="AK21" i="10"/>
  <c r="AN21" i="10"/>
  <c r="AO21" i="10"/>
  <c r="L29" i="10"/>
  <c r="M29" i="10"/>
  <c r="AN29" i="10"/>
  <c r="AO29" i="10"/>
  <c r="AB33" i="10"/>
  <c r="AC33" i="10"/>
  <c r="AJ33" i="10"/>
  <c r="AK33" i="10"/>
  <c r="P41" i="10"/>
  <c r="Q41" i="10"/>
  <c r="X41" i="10"/>
  <c r="Y41" i="10"/>
  <c r="P49" i="10"/>
  <c r="Q49" i="10"/>
  <c r="AN49" i="10"/>
  <c r="AO49" i="10"/>
  <c r="AR49" i="10"/>
  <c r="AS49" i="10"/>
  <c r="AB8" i="10"/>
  <c r="AC8" i="10"/>
  <c r="AR8" i="10"/>
  <c r="AS8" i="10"/>
  <c r="L16" i="10"/>
  <c r="M16" i="10"/>
  <c r="AF16" i="10"/>
  <c r="AG16" i="10"/>
  <c r="X22" i="10"/>
  <c r="Y22" i="10"/>
  <c r="P26" i="10"/>
  <c r="Q26" i="10"/>
  <c r="AB26" i="10"/>
  <c r="AC26" i="10"/>
  <c r="M30" i="10"/>
  <c r="L30" i="10"/>
  <c r="U30" i="10"/>
  <c r="T30" i="10"/>
  <c r="AR30" i="10"/>
  <c r="AS30" i="10"/>
  <c r="L34" i="10"/>
  <c r="M34" i="10"/>
  <c r="AN34" i="10"/>
  <c r="AO34" i="10"/>
  <c r="M38" i="10"/>
  <c r="L38" i="10"/>
  <c r="P42" i="10"/>
  <c r="Q42" i="10"/>
  <c r="AB42" i="10"/>
  <c r="AC42" i="10"/>
  <c r="X46" i="10"/>
  <c r="Y46" i="10"/>
  <c r="AF46" i="10"/>
  <c r="AG46" i="10"/>
  <c r="AR46" i="10"/>
  <c r="AS46" i="10"/>
  <c r="AF50" i="10"/>
  <c r="AG50" i="10"/>
  <c r="AN50" i="10"/>
  <c r="AO50" i="10"/>
  <c r="M54" i="10"/>
  <c r="L54" i="10"/>
  <c r="AK54" i="10"/>
  <c r="AJ54" i="10"/>
  <c r="P9" i="10"/>
  <c r="Q9" i="10"/>
  <c r="AJ9" i="10"/>
  <c r="AK9" i="10"/>
  <c r="X13" i="10"/>
  <c r="Y13" i="10"/>
  <c r="T13" i="10"/>
  <c r="U13" i="10"/>
  <c r="AN13" i="10"/>
  <c r="AO13" i="10"/>
  <c r="AJ17" i="10"/>
  <c r="AK17" i="10"/>
  <c r="AF17" i="10"/>
  <c r="AG17" i="10"/>
  <c r="X24" i="10"/>
  <c r="Y24" i="10"/>
  <c r="AF24" i="10"/>
  <c r="AG24" i="10"/>
  <c r="L32" i="10"/>
  <c r="M32" i="10"/>
  <c r="AN32" i="10"/>
  <c r="AO32" i="10"/>
  <c r="Q44" i="10"/>
  <c r="P44" i="10"/>
  <c r="AB44" i="10"/>
  <c r="AC44" i="10"/>
  <c r="AR44" i="10"/>
  <c r="AS44" i="10"/>
  <c r="U52" i="10"/>
  <c r="T52" i="10"/>
  <c r="AN52" i="10"/>
  <c r="AO52" i="10"/>
  <c r="AN7" i="10"/>
  <c r="AO7" i="10"/>
  <c r="X7" i="10"/>
  <c r="Y7" i="10"/>
  <c r="Y5" i="10"/>
  <c r="X5" i="10"/>
  <c r="V56" i="10"/>
  <c r="E98" i="1" s="1"/>
  <c r="V57" i="10"/>
  <c r="U5" i="10"/>
  <c r="T5" i="10"/>
  <c r="AB25" i="10"/>
  <c r="AC25" i="10"/>
  <c r="AJ25" i="10"/>
  <c r="AK25" i="10"/>
  <c r="AN25" i="10"/>
  <c r="AO25" i="10"/>
  <c r="AJ37" i="10"/>
  <c r="AK37" i="10"/>
  <c r="AR37" i="10"/>
  <c r="AS37" i="10"/>
  <c r="AN45" i="10"/>
  <c r="AO45" i="10"/>
  <c r="AJ45" i="10"/>
  <c r="AK45" i="10"/>
  <c r="L53" i="10"/>
  <c r="M53" i="10"/>
  <c r="AN53" i="10"/>
  <c r="AO53" i="10"/>
  <c r="L12" i="10"/>
  <c r="M12" i="10"/>
  <c r="T12" i="10"/>
  <c r="U12" i="10"/>
  <c r="AN12" i="10"/>
  <c r="AO12" i="10"/>
  <c r="AN19" i="10"/>
  <c r="AO19" i="10"/>
  <c r="AR19" i="10"/>
  <c r="AS19" i="10"/>
  <c r="AN23" i="10"/>
  <c r="AO23" i="10"/>
  <c r="X23" i="10"/>
  <c r="Y23" i="10"/>
  <c r="AN27" i="10"/>
  <c r="AO27" i="10"/>
  <c r="X27" i="10"/>
  <c r="Y27" i="10"/>
  <c r="T31" i="10"/>
  <c r="U31" i="10"/>
  <c r="M31" i="10"/>
  <c r="L31" i="10"/>
  <c r="AN31" i="10"/>
  <c r="AO31" i="10"/>
  <c r="AN35" i="10"/>
  <c r="AO35" i="10"/>
  <c r="AK35" i="10"/>
  <c r="AJ35" i="10"/>
  <c r="AF39" i="10"/>
  <c r="AG39" i="10"/>
  <c r="X39" i="10"/>
  <c r="Y39" i="10"/>
  <c r="AB43" i="10"/>
  <c r="AC43" i="10"/>
  <c r="AJ43" i="10"/>
  <c r="AK43" i="10"/>
  <c r="M47" i="10"/>
  <c r="L47" i="10"/>
  <c r="AB47" i="10"/>
  <c r="AC47" i="10"/>
  <c r="AR47" i="10"/>
  <c r="AS47" i="10"/>
  <c r="AB51" i="10"/>
  <c r="AC51" i="10"/>
  <c r="AF51" i="10"/>
  <c r="AG51" i="10"/>
  <c r="M22" i="10"/>
  <c r="L22" i="10"/>
  <c r="AB22" i="10"/>
  <c r="AC22" i="10"/>
  <c r="AR22" i="10"/>
  <c r="AS22" i="10"/>
  <c r="AF26" i="10"/>
  <c r="AG26" i="10"/>
  <c r="AN26" i="10"/>
  <c r="AO26" i="10"/>
  <c r="AK30" i="10"/>
  <c r="AJ30" i="10"/>
  <c r="AF30" i="10"/>
  <c r="AG30" i="10"/>
  <c r="AF34" i="10"/>
  <c r="AG34" i="10"/>
  <c r="U34" i="10"/>
  <c r="T34" i="10"/>
  <c r="X38" i="10"/>
  <c r="Y38" i="10"/>
  <c r="U38" i="10"/>
  <c r="T38" i="10"/>
  <c r="AR38" i="10"/>
  <c r="AS38" i="10"/>
  <c r="X42" i="10"/>
  <c r="Y42" i="10"/>
  <c r="AN42" i="10"/>
  <c r="AO42" i="10"/>
  <c r="P46" i="10"/>
  <c r="Q46" i="10"/>
  <c r="AB46" i="10"/>
  <c r="AC46" i="10"/>
  <c r="L50" i="10"/>
  <c r="M50" i="10"/>
  <c r="AB50" i="10"/>
  <c r="AC50" i="10"/>
  <c r="X54" i="10"/>
  <c r="Y54" i="10"/>
  <c r="AB54" i="10"/>
  <c r="AC54" i="10"/>
  <c r="AR54" i="10"/>
  <c r="AS54" i="10"/>
  <c r="AB9" i="10"/>
  <c r="AC9" i="10"/>
  <c r="AF9" i="10"/>
  <c r="AG9" i="10"/>
  <c r="AR13" i="10"/>
  <c r="AS13" i="10"/>
  <c r="AB13" i="10"/>
  <c r="AC13" i="10"/>
  <c r="L17" i="10"/>
  <c r="M17" i="10"/>
  <c r="T17" i="10"/>
  <c r="U17" i="10"/>
  <c r="P24" i="10"/>
  <c r="Q24" i="10"/>
  <c r="AB24" i="10"/>
  <c r="AC24" i="10"/>
  <c r="AN24" i="10"/>
  <c r="AO24" i="10"/>
  <c r="U32" i="10"/>
  <c r="T32" i="10"/>
  <c r="AJ32" i="10"/>
  <c r="AK32" i="10"/>
  <c r="U44" i="10"/>
  <c r="T44" i="10"/>
  <c r="AK44" i="10"/>
  <c r="AJ44" i="10"/>
  <c r="Q52" i="10"/>
  <c r="P52" i="10"/>
  <c r="AB52" i="10"/>
  <c r="AC52" i="10"/>
  <c r="U7" i="10"/>
  <c r="T7" i="10"/>
  <c r="AB7" i="10"/>
  <c r="AC7" i="10"/>
  <c r="AJ7" i="10"/>
  <c r="AK7" i="10"/>
  <c r="AC5" i="10"/>
  <c r="AB5" i="10"/>
  <c r="AO5" i="10"/>
  <c r="AN5" i="10"/>
  <c r="AL56" i="10"/>
  <c r="E206" i="1" s="1"/>
  <c r="AL57" i="10"/>
  <c r="AR25" i="10"/>
  <c r="AS25" i="10"/>
  <c r="X25" i="10"/>
  <c r="Y25" i="10"/>
  <c r="P37" i="10"/>
  <c r="Q37" i="10"/>
  <c r="X37" i="10"/>
  <c r="Y37" i="10"/>
  <c r="P45" i="10"/>
  <c r="Q45" i="10"/>
  <c r="X45" i="10"/>
  <c r="Y45" i="10"/>
  <c r="AR45" i="10"/>
  <c r="AS45" i="10"/>
  <c r="X53" i="10"/>
  <c r="Y53" i="10"/>
  <c r="AJ53" i="10"/>
  <c r="AK53" i="10"/>
  <c r="X12" i="10"/>
  <c r="Y12" i="10"/>
  <c r="AF12" i="10"/>
  <c r="AG12" i="10"/>
  <c r="T19" i="10"/>
  <c r="U19" i="10"/>
  <c r="X19" i="10"/>
  <c r="Y19" i="10"/>
  <c r="T23" i="10"/>
  <c r="U23" i="10"/>
  <c r="AB23" i="10"/>
  <c r="AC23" i="10"/>
  <c r="AJ23" i="10"/>
  <c r="AK23" i="10"/>
  <c r="AB27" i="10"/>
  <c r="AC27" i="10"/>
  <c r="AR27" i="10"/>
  <c r="AS27" i="10"/>
  <c r="AF31" i="10"/>
  <c r="AG31" i="10"/>
  <c r="AK31" i="10"/>
  <c r="AJ31" i="10"/>
  <c r="M35" i="10"/>
  <c r="L35" i="10"/>
  <c r="X35" i="10"/>
  <c r="Y35" i="10"/>
  <c r="M39" i="10"/>
  <c r="L39" i="10"/>
  <c r="AB39" i="10"/>
  <c r="AC39" i="10"/>
  <c r="AR39" i="10"/>
  <c r="AS39" i="10"/>
  <c r="X43" i="10"/>
  <c r="Y43" i="10"/>
  <c r="AF43" i="10"/>
  <c r="AG43" i="10"/>
  <c r="P47" i="10"/>
  <c r="Q47" i="10"/>
  <c r="AF47" i="10"/>
  <c r="AG47" i="10"/>
  <c r="X51" i="10"/>
  <c r="Y51" i="10"/>
  <c r="T51" i="10"/>
  <c r="U51" i="10"/>
  <c r="M6" i="10"/>
  <c r="L6" i="10"/>
  <c r="AC6" i="10"/>
  <c r="AB6" i="10"/>
  <c r="AR6" i="10"/>
  <c r="AS6" i="10"/>
  <c r="X10" i="10"/>
  <c r="Y10" i="10"/>
  <c r="AN10" i="10"/>
  <c r="AO10" i="10"/>
  <c r="X14" i="10"/>
  <c r="Y14" i="10"/>
  <c r="AK14" i="10"/>
  <c r="AJ14" i="10"/>
  <c r="P18" i="10"/>
  <c r="Q18" i="10"/>
  <c r="AB18" i="10"/>
  <c r="AC18" i="10"/>
  <c r="L20" i="10"/>
  <c r="M20" i="10"/>
  <c r="AB20" i="10"/>
  <c r="AC20" i="10"/>
  <c r="AN20" i="10"/>
  <c r="AO20" i="10"/>
  <c r="U28" i="10"/>
  <c r="T28" i="10"/>
  <c r="AF28" i="10"/>
  <c r="AG28" i="10"/>
  <c r="U36" i="10"/>
  <c r="T36" i="10"/>
  <c r="AF36" i="10"/>
  <c r="AG36" i="10"/>
  <c r="P40" i="10"/>
  <c r="Q40" i="10"/>
  <c r="AJ40" i="10"/>
  <c r="AK40" i="10"/>
  <c r="Q48" i="10"/>
  <c r="P48" i="10"/>
  <c r="U48" i="10"/>
  <c r="T48" i="10"/>
  <c r="AR48" i="10"/>
  <c r="AS48" i="10"/>
  <c r="AB11" i="10"/>
  <c r="AC11" i="10"/>
  <c r="AR11" i="10"/>
  <c r="AS11" i="10"/>
  <c r="AB15" i="10"/>
  <c r="AC15" i="10"/>
  <c r="X15" i="10"/>
  <c r="Y15" i="10"/>
  <c r="L21" i="10"/>
  <c r="M21" i="10"/>
  <c r="X21" i="10"/>
  <c r="Y21" i="10"/>
  <c r="P29" i="10"/>
  <c r="Q29" i="10"/>
  <c r="T29" i="10"/>
  <c r="U29" i="10"/>
  <c r="AJ29" i="10"/>
  <c r="AK29" i="10"/>
  <c r="X33" i="10"/>
  <c r="Y33" i="10"/>
  <c r="AN33" i="10"/>
  <c r="AO33" i="10"/>
  <c r="L41" i="10"/>
  <c r="M41" i="10"/>
  <c r="AF41" i="10"/>
  <c r="AG41" i="10"/>
  <c r="L49" i="10"/>
  <c r="M49" i="10"/>
  <c r="AJ49" i="10"/>
  <c r="AK49" i="10"/>
  <c r="X8" i="10"/>
  <c r="Y8" i="10"/>
  <c r="T8" i="10"/>
  <c r="U8" i="10"/>
  <c r="AN8" i="10"/>
  <c r="AO8" i="10"/>
  <c r="AB16" i="10"/>
  <c r="AC16" i="10"/>
  <c r="AR16" i="10"/>
  <c r="AS16" i="10"/>
  <c r="P22" i="10"/>
  <c r="Q22" i="10"/>
  <c r="AF22" i="10"/>
  <c r="AG22" i="10"/>
  <c r="L26" i="10"/>
  <c r="M26" i="10"/>
  <c r="T26" i="10"/>
  <c r="U26" i="10"/>
  <c r="AR26" i="10"/>
  <c r="AS26" i="10"/>
  <c r="X30" i="10"/>
  <c r="Y30" i="10"/>
  <c r="AN30" i="10"/>
  <c r="AO30" i="10"/>
  <c r="P34" i="10"/>
  <c r="Q34" i="10"/>
  <c r="AB34" i="10"/>
  <c r="AC34" i="10"/>
  <c r="P38" i="10"/>
  <c r="Q38" i="10"/>
  <c r="AB38" i="10"/>
  <c r="AC38" i="10"/>
  <c r="AF42" i="10"/>
  <c r="AG42" i="10"/>
  <c r="U42" i="10"/>
  <c r="T42" i="10"/>
  <c r="AR42" i="10"/>
  <c r="AS42" i="10"/>
  <c r="M46" i="10"/>
  <c r="L46" i="10"/>
  <c r="AN46" i="10"/>
  <c r="AO46" i="10"/>
  <c r="X50" i="10"/>
  <c r="Y50" i="10"/>
  <c r="AK50" i="10"/>
  <c r="AJ50" i="10"/>
  <c r="P54" i="10"/>
  <c r="Q54" i="10"/>
  <c r="AF54" i="10"/>
  <c r="AG54" i="10"/>
  <c r="U9" i="10"/>
  <c r="T9" i="10"/>
  <c r="AR9" i="10"/>
  <c r="AS9" i="10"/>
  <c r="AN9" i="10"/>
  <c r="AO9" i="10"/>
  <c r="P13" i="10"/>
  <c r="Q13" i="10"/>
  <c r="AJ13" i="10"/>
  <c r="AK13" i="10"/>
  <c r="AB17" i="10"/>
  <c r="AC17" i="10"/>
  <c r="AR17" i="10"/>
  <c r="AS17" i="10"/>
  <c r="U24" i="10"/>
  <c r="T24" i="10"/>
  <c r="AJ24" i="10"/>
  <c r="AK24" i="10"/>
  <c r="Q32" i="10"/>
  <c r="P32" i="10"/>
  <c r="X32" i="10"/>
  <c r="Y32" i="10"/>
  <c r="AR32" i="10"/>
  <c r="AS32" i="10"/>
  <c r="X44" i="10"/>
  <c r="Y44" i="10"/>
  <c r="AN44" i="10"/>
  <c r="AO44" i="10"/>
  <c r="L52" i="10"/>
  <c r="M52" i="10"/>
  <c r="AF52" i="10"/>
  <c r="AG52" i="10"/>
  <c r="P7" i="10"/>
  <c r="Q7" i="10"/>
  <c r="M7" i="10"/>
  <c r="L7" i="10"/>
  <c r="M5" i="10"/>
  <c r="L5" i="10"/>
  <c r="AK5" i="10"/>
  <c r="AJ5" i="10"/>
  <c r="AS5" i="10"/>
  <c r="AR5" i="10"/>
  <c r="AP57" i="10"/>
  <c r="AP56" i="10"/>
  <c r="E233" i="1" s="1"/>
  <c r="L25" i="10"/>
  <c r="M25" i="10"/>
  <c r="AF25" i="10"/>
  <c r="AG25" i="10"/>
  <c r="L37" i="10"/>
  <c r="M37" i="10"/>
  <c r="AB37" i="10"/>
  <c r="AC37" i="10"/>
  <c r="L45" i="10"/>
  <c r="M45" i="10"/>
  <c r="AB45" i="10"/>
  <c r="AC45" i="10"/>
  <c r="P53" i="10"/>
  <c r="Q53" i="10"/>
  <c r="AB53" i="10"/>
  <c r="AC53" i="10"/>
  <c r="AR53" i="10"/>
  <c r="AS53" i="10"/>
  <c r="AB12" i="10"/>
  <c r="AC12" i="10"/>
  <c r="AR12" i="10"/>
  <c r="AS12" i="10"/>
  <c r="AB19" i="10"/>
  <c r="AC19" i="10"/>
  <c r="AF19" i="10"/>
  <c r="AG19" i="10"/>
  <c r="AF23" i="10"/>
  <c r="AG23" i="10"/>
  <c r="M23" i="10"/>
  <c r="L23" i="10"/>
  <c r="P27" i="10"/>
  <c r="Q27" i="10"/>
  <c r="L27" i="10"/>
  <c r="M27" i="10"/>
  <c r="AJ27" i="10"/>
  <c r="AK27" i="10"/>
  <c r="AB31" i="10"/>
  <c r="AC31" i="10"/>
  <c r="AR31" i="10"/>
  <c r="AS31" i="10"/>
  <c r="AB35" i="10"/>
  <c r="AC35" i="10"/>
  <c r="AF35" i="10"/>
  <c r="AG35" i="10"/>
  <c r="T39" i="10"/>
  <c r="U39" i="10"/>
  <c r="AK39" i="10"/>
  <c r="AJ39" i="10"/>
  <c r="P43" i="10"/>
  <c r="Q43" i="10"/>
  <c r="T43" i="10"/>
  <c r="U43" i="10"/>
  <c r="AR43" i="10"/>
  <c r="AS43" i="10"/>
  <c r="X47" i="10"/>
  <c r="Y47" i="10"/>
  <c r="AK47" i="10"/>
  <c r="AJ47" i="10"/>
  <c r="M51" i="10"/>
  <c r="L51" i="10"/>
  <c r="AN51" i="10"/>
  <c r="AO51" i="10"/>
  <c r="X6" i="10"/>
  <c r="Y6" i="10"/>
  <c r="AJ6" i="10"/>
  <c r="AK6" i="10"/>
  <c r="L10" i="10"/>
  <c r="M10" i="10"/>
  <c r="T10" i="10"/>
  <c r="U10" i="10"/>
  <c r="AR10" i="10"/>
  <c r="AS10" i="10"/>
  <c r="U14" i="10"/>
  <c r="T14" i="10"/>
  <c r="AN14" i="10"/>
  <c r="AO14" i="10"/>
  <c r="L18" i="10"/>
  <c r="M18" i="10"/>
  <c r="AK18" i="10"/>
  <c r="AJ18" i="10"/>
  <c r="Q20" i="10"/>
  <c r="P20" i="10"/>
  <c r="AJ20" i="10"/>
  <c r="AK20" i="10"/>
  <c r="L28" i="10"/>
  <c r="M28" i="10"/>
  <c r="AB28" i="10"/>
  <c r="AC28" i="10"/>
  <c r="AR28" i="10"/>
  <c r="AS28" i="10"/>
  <c r="X36" i="10"/>
  <c r="Y36" i="10"/>
  <c r="AK36" i="10"/>
  <c r="AJ36" i="10"/>
  <c r="L40" i="10"/>
  <c r="M40" i="10"/>
  <c r="AN40" i="10"/>
  <c r="AO40" i="10"/>
  <c r="L48" i="10"/>
  <c r="M48" i="10"/>
  <c r="X48" i="10"/>
  <c r="Y48" i="10"/>
  <c r="P11" i="10"/>
  <c r="Q11" i="10"/>
  <c r="L11" i="10"/>
  <c r="M11" i="10"/>
  <c r="AJ11" i="10"/>
  <c r="AK11" i="10"/>
  <c r="AF15" i="10"/>
  <c r="AG15" i="10"/>
  <c r="AR15" i="10"/>
  <c r="AS15" i="10"/>
  <c r="AF21" i="10"/>
  <c r="AG21" i="10"/>
  <c r="AB21" i="10"/>
  <c r="AC21" i="10"/>
  <c r="X29" i="10"/>
  <c r="Y29" i="10"/>
  <c r="AB29" i="10"/>
  <c r="AC29" i="10"/>
  <c r="P33" i="10"/>
  <c r="Q33" i="10"/>
  <c r="T33" i="10"/>
  <c r="U33" i="10"/>
  <c r="AF33" i="10"/>
  <c r="AG33" i="10"/>
  <c r="AR41" i="10"/>
  <c r="AS41" i="10"/>
  <c r="AN41" i="10"/>
  <c r="AO41" i="10"/>
  <c r="AB49" i="10"/>
  <c r="AC49" i="10"/>
  <c r="T49" i="10"/>
  <c r="U49" i="10"/>
  <c r="Q8" i="10"/>
  <c r="P8" i="10"/>
  <c r="AJ8" i="10"/>
  <c r="AK8" i="10"/>
  <c r="U16" i="10"/>
  <c r="T16" i="10"/>
  <c r="X16" i="10"/>
  <c r="Y16" i="10"/>
  <c r="AN16" i="10"/>
  <c r="AO16" i="10"/>
  <c r="W57" i="10"/>
  <c r="W56" i="10"/>
  <c r="F98" i="1" s="1"/>
  <c r="H98" i="1" s="1"/>
  <c r="R57" i="10"/>
  <c r="R56" i="10"/>
  <c r="E71" i="1" s="1"/>
  <c r="O57" i="10"/>
  <c r="O56" i="10"/>
  <c r="F44" i="1" s="1"/>
  <c r="AM57" i="10"/>
  <c r="AM56" i="10"/>
  <c r="F206" i="1" s="1"/>
  <c r="H206" i="1" s="1"/>
  <c r="AE57" i="10"/>
  <c r="AE56" i="10"/>
  <c r="F152" i="1" s="1"/>
  <c r="AQ57" i="10"/>
  <c r="AQ56" i="10"/>
  <c r="F233" i="1" s="1"/>
  <c r="Z57" i="10"/>
  <c r="I57" i="10"/>
  <c r="AH57" i="10"/>
  <c r="AI57" i="10" s="1"/>
  <c r="E8" i="5" l="1"/>
  <c r="L3" i="5" s="1"/>
  <c r="N3" i="5" s="1"/>
  <c r="F29" i="15"/>
  <c r="C24" i="9"/>
  <c r="E27" i="15"/>
  <c r="B3" i="3"/>
  <c r="E9" i="2"/>
  <c r="AA57" i="10"/>
  <c r="C141" i="1"/>
  <c r="L4" i="1"/>
  <c r="H60" i="1"/>
  <c r="M4" i="1" s="1"/>
  <c r="S57" i="10"/>
  <c r="C87" i="1"/>
  <c r="AK57" i="10"/>
  <c r="X57" i="10"/>
  <c r="X56" i="10"/>
  <c r="E103" i="1" s="1"/>
  <c r="F103" i="1" s="1"/>
  <c r="H103" i="1" s="1"/>
  <c r="Q56" i="10"/>
  <c r="E54" i="1" s="1"/>
  <c r="F54" i="1" s="1"/>
  <c r="H54" i="1" s="1"/>
  <c r="Q57" i="10"/>
  <c r="AS57" i="10"/>
  <c r="AS56" i="10"/>
  <c r="E243" i="1" s="1"/>
  <c r="F243" i="1" s="1"/>
  <c r="H243" i="1" s="1"/>
  <c r="M57" i="10"/>
  <c r="M56" i="10"/>
  <c r="E27" i="1" s="1"/>
  <c r="Y57" i="10"/>
  <c r="AK56" i="10"/>
  <c r="E189" i="1" s="1"/>
  <c r="F189" i="1" s="1"/>
  <c r="H189" i="1" s="1"/>
  <c r="AO56" i="10"/>
  <c r="E216" i="1" s="1"/>
  <c r="F216" i="1" s="1"/>
  <c r="H216" i="1" s="1"/>
  <c r="AG56" i="10"/>
  <c r="E162" i="1" s="1"/>
  <c r="F162" i="1" s="1"/>
  <c r="H162" i="1" s="1"/>
  <c r="H233" i="1"/>
  <c r="AC57" i="10"/>
  <c r="Y56" i="10"/>
  <c r="E108" i="1" s="1"/>
  <c r="F108" i="1" s="1"/>
  <c r="H108" i="1" s="1"/>
  <c r="AJ56" i="10"/>
  <c r="E184" i="1" s="1"/>
  <c r="F184" i="1" s="1"/>
  <c r="H184" i="1" s="1"/>
  <c r="AJ57" i="10"/>
  <c r="AB57" i="10"/>
  <c r="AB56" i="10"/>
  <c r="E130" i="1" s="1"/>
  <c r="F130" i="1" s="1"/>
  <c r="H130" i="1" s="1"/>
  <c r="AR57" i="10"/>
  <c r="T57" i="10"/>
  <c r="T56" i="10"/>
  <c r="E76" i="1" s="1"/>
  <c r="F76" i="1" s="1"/>
  <c r="H76" i="1" s="1"/>
  <c r="AO57" i="10"/>
  <c r="AG57" i="10"/>
  <c r="H152" i="1"/>
  <c r="H44" i="1"/>
  <c r="AR56" i="10"/>
  <c r="E238" i="1" s="1"/>
  <c r="F238" i="1" s="1"/>
  <c r="H238" i="1" s="1"/>
  <c r="L57" i="10"/>
  <c r="L56" i="10"/>
  <c r="E22" i="1" s="1"/>
  <c r="AC56" i="10"/>
  <c r="E135" i="1" s="1"/>
  <c r="AN57" i="10"/>
  <c r="U57" i="10"/>
  <c r="U56" i="10"/>
  <c r="E81" i="1" s="1"/>
  <c r="F81" i="1" s="1"/>
  <c r="H81" i="1" s="1"/>
  <c r="AN56" i="10"/>
  <c r="E211" i="1" s="1"/>
  <c r="F211" i="1" s="1"/>
  <c r="H211" i="1" s="1"/>
  <c r="AF57" i="10"/>
  <c r="P57" i="10"/>
  <c r="P56" i="10"/>
  <c r="E49" i="1" s="1"/>
  <c r="F49" i="1" s="1"/>
  <c r="H49" i="1" s="1"/>
  <c r="AF56" i="10"/>
  <c r="E157" i="1" s="1"/>
  <c r="F157" i="1" s="1"/>
  <c r="H157" i="1" s="1"/>
  <c r="Z56" i="10"/>
  <c r="E125" i="1" s="1"/>
  <c r="AH56" i="10"/>
  <c r="C168" i="1"/>
  <c r="C249" i="1"/>
  <c r="C222" i="1"/>
  <c r="C195" i="1"/>
  <c r="C114" i="1"/>
  <c r="J55" i="10"/>
  <c r="O55" i="10"/>
  <c r="R55" i="10"/>
  <c r="W55" i="10"/>
  <c r="AE55" i="10"/>
  <c r="AH55" i="10"/>
  <c r="AM55" i="10"/>
  <c r="J58" i="10"/>
  <c r="O58" i="10"/>
  <c r="R58" i="10"/>
  <c r="W58" i="10"/>
  <c r="Z58" i="10"/>
  <c r="AE58" i="10"/>
  <c r="AH58" i="10"/>
  <c r="AM58" i="10"/>
  <c r="AQ58" i="10"/>
  <c r="F55" i="15" l="1"/>
  <c r="F57" i="15" s="1"/>
  <c r="M7" i="15"/>
  <c r="D3" i="3"/>
  <c r="M5" i="15" s="1"/>
  <c r="G5" i="3"/>
  <c r="J5" i="16" s="1"/>
  <c r="C26" i="9"/>
  <c r="C27" i="9" s="1"/>
  <c r="L4" i="9" s="1"/>
  <c r="D24" i="9"/>
  <c r="D26" i="9" s="1"/>
  <c r="D27" i="9" s="1"/>
  <c r="E24" i="9"/>
  <c r="E26" i="9" s="1"/>
  <c r="E27" i="9" s="1"/>
  <c r="M4" i="9" s="1"/>
  <c r="F31" i="15"/>
  <c r="F30" i="15"/>
  <c r="E29" i="15"/>
  <c r="F24" i="9"/>
  <c r="L5" i="1"/>
  <c r="H87" i="1"/>
  <c r="M5" i="1" s="1"/>
  <c r="L7" i="1"/>
  <c r="H141" i="1"/>
  <c r="M7" i="1" s="1"/>
  <c r="H195" i="1"/>
  <c r="M9" i="1" s="1"/>
  <c r="L9" i="1"/>
  <c r="H168" i="1"/>
  <c r="M8" i="1" s="1"/>
  <c r="L8" i="1"/>
  <c r="H114" i="1"/>
  <c r="M6" i="1" s="1"/>
  <c r="L6" i="1"/>
  <c r="H249" i="1"/>
  <c r="M11" i="1" s="1"/>
  <c r="L11" i="1"/>
  <c r="H222" i="1"/>
  <c r="M10" i="1" s="1"/>
  <c r="L10" i="1"/>
  <c r="N11" i="1"/>
  <c r="N10" i="1"/>
  <c r="N6" i="1"/>
  <c r="N8" i="1"/>
  <c r="N4" i="1"/>
  <c r="O4" i="1" s="1"/>
  <c r="N9" i="1"/>
  <c r="E179" i="1"/>
  <c r="N5" i="1"/>
  <c r="F135" i="1"/>
  <c r="H135" i="1" s="1"/>
  <c r="N7" i="1" s="1"/>
  <c r="J57" i="10"/>
  <c r="C33" i="1" s="1"/>
  <c r="L14" i="1" l="1"/>
  <c r="J3" i="16" s="1"/>
  <c r="J11" i="16" s="1"/>
  <c r="C48" i="9"/>
  <c r="D48" i="9" s="1"/>
  <c r="D50" i="9" s="1"/>
  <c r="D51" i="9" s="1"/>
  <c r="E55" i="15"/>
  <c r="E57" i="15" s="1"/>
  <c r="F36" i="15"/>
  <c r="E36" i="15" s="1"/>
  <c r="F58" i="15"/>
  <c r="F59" i="15"/>
  <c r="K4" i="15"/>
  <c r="P4" i="9" s="1"/>
  <c r="Q4" i="9" s="1"/>
  <c r="R4" i="9" s="1"/>
  <c r="F32" i="15"/>
  <c r="H24" i="9"/>
  <c r="H26" i="9" s="1"/>
  <c r="H27" i="9" s="1"/>
  <c r="N4" i="9" s="1"/>
  <c r="G24" i="9"/>
  <c r="G26" i="9" s="1"/>
  <c r="G27" i="9" s="1"/>
  <c r="F26" i="9"/>
  <c r="F27" i="9" s="1"/>
  <c r="E30" i="15"/>
  <c r="E31" i="15"/>
  <c r="E32" i="15" s="1"/>
  <c r="O11" i="1"/>
  <c r="L3" i="1"/>
  <c r="H33" i="1"/>
  <c r="M3" i="1" s="1"/>
  <c r="M12" i="1" s="1"/>
  <c r="F19" i="15" s="1"/>
  <c r="O9" i="1"/>
  <c r="O6" i="1"/>
  <c r="O10" i="1"/>
  <c r="O7" i="1"/>
  <c r="O5" i="1"/>
  <c r="O8" i="1"/>
  <c r="K57" i="10"/>
  <c r="J56" i="10"/>
  <c r="E17" i="1" s="1"/>
  <c r="E19" i="15" l="1"/>
  <c r="F17" i="9"/>
  <c r="C17" i="9"/>
  <c r="F48" i="9"/>
  <c r="H48" i="9" s="1"/>
  <c r="H50" i="9" s="1"/>
  <c r="H51" i="9" s="1"/>
  <c r="N7" i="9" s="1"/>
  <c r="C50" i="9"/>
  <c r="C51" i="9" s="1"/>
  <c r="L7" i="9" s="1"/>
  <c r="E48" i="9"/>
  <c r="E50" i="9" s="1"/>
  <c r="E51" i="9" s="1"/>
  <c r="M7" i="9" s="1"/>
  <c r="F38" i="15"/>
  <c r="F40" i="15" s="1"/>
  <c r="C32" i="9"/>
  <c r="E32" i="9" s="1"/>
  <c r="E34" i="9" s="1"/>
  <c r="E35" i="9" s="1"/>
  <c r="M5" i="9" s="1"/>
  <c r="F32" i="9"/>
  <c r="E38" i="15"/>
  <c r="E58" i="15"/>
  <c r="E59" i="15"/>
  <c r="E60" i="15" s="1"/>
  <c r="K7" i="15"/>
  <c r="P7" i="9" s="1"/>
  <c r="Q7" i="9" s="1"/>
  <c r="R7" i="9" s="1"/>
  <c r="F60" i="15"/>
  <c r="L12" i="1"/>
  <c r="F27" i="1"/>
  <c r="H27" i="1" s="1"/>
  <c r="F22" i="1"/>
  <c r="H22" i="1" s="1"/>
  <c r="E17" i="9" l="1"/>
  <c r="D17" i="9"/>
  <c r="G17" i="9"/>
  <c r="H17" i="9"/>
  <c r="F50" i="9"/>
  <c r="F51" i="9" s="1"/>
  <c r="G48" i="9"/>
  <c r="G50" i="9" s="1"/>
  <c r="G51" i="9" s="1"/>
  <c r="F39" i="15"/>
  <c r="C34" i="9"/>
  <c r="C35" i="9" s="1"/>
  <c r="L5" i="9" s="1"/>
  <c r="D32" i="9"/>
  <c r="D34" i="9" s="1"/>
  <c r="D35" i="9" s="1"/>
  <c r="K5" i="15"/>
  <c r="P5" i="9" s="1"/>
  <c r="Q5" i="9" s="1"/>
  <c r="R5" i="9" s="1"/>
  <c r="F41" i="15"/>
  <c r="H32" i="9"/>
  <c r="H34" i="9" s="1"/>
  <c r="H35" i="9" s="1"/>
  <c r="N5" i="9" s="1"/>
  <c r="F34" i="9"/>
  <c r="F35" i="9" s="1"/>
  <c r="G32" i="9"/>
  <c r="G34" i="9" s="1"/>
  <c r="G35" i="9" s="1"/>
  <c r="E39" i="15"/>
  <c r="E40" i="15"/>
  <c r="E41" i="15" s="1"/>
  <c r="N3" i="1"/>
  <c r="O3" i="1" l="1"/>
  <c r="O12" i="1" s="1"/>
  <c r="M3" i="15" s="1"/>
  <c r="M11" i="15" s="1"/>
  <c r="M14" i="15" s="1"/>
  <c r="N12" i="1"/>
  <c r="F18" i="15" s="1"/>
  <c r="E18" i="15" s="1"/>
  <c r="M12" i="15" l="1"/>
  <c r="M13" i="15" s="1"/>
  <c r="C16" i="9"/>
  <c r="F20" i="15"/>
  <c r="E16" i="9" l="1"/>
  <c r="E18" i="9" s="1"/>
  <c r="E19" i="9" s="1"/>
  <c r="M3" i="9" s="1"/>
  <c r="M11" i="9" s="1"/>
  <c r="M12" i="9" s="1"/>
  <c r="D16" i="9"/>
  <c r="D18" i="9" s="1"/>
  <c r="D19" i="9" s="1"/>
  <c r="C18" i="9"/>
  <c r="C19" i="9" s="1"/>
  <c r="L3" i="9" s="1"/>
  <c r="L11" i="9" s="1"/>
  <c r="L12" i="9" s="1"/>
  <c r="F22" i="15"/>
  <c r="F21" i="15"/>
  <c r="F16" i="9"/>
  <c r="E20" i="15"/>
  <c r="K3" i="15" l="1"/>
  <c r="F23" i="15"/>
  <c r="E22" i="15"/>
  <c r="E23" i="15" s="1"/>
  <c r="E21" i="15"/>
  <c r="G16" i="9"/>
  <c r="G18" i="9" s="1"/>
  <c r="G19" i="9" s="1"/>
  <c r="H16" i="9"/>
  <c r="H18" i="9" s="1"/>
  <c r="H19" i="9" s="1"/>
  <c r="N3" i="9" s="1"/>
  <c r="N11" i="9" s="1"/>
  <c r="F18" i="9"/>
  <c r="F19" i="9" s="1"/>
  <c r="P3" i="9" l="1"/>
  <c r="K11" i="15"/>
  <c r="K14" i="15" s="1"/>
  <c r="P11" i="9" l="1"/>
  <c r="P12" i="9" s="1"/>
  <c r="Q3" i="9"/>
  <c r="R3" i="9" s="1"/>
  <c r="K12" i="15"/>
  <c r="K13" i="15" s="1"/>
  <c r="Q11" i="9" l="1"/>
  <c r="Q12" i="9" s="1"/>
  <c r="R11" i="9"/>
</calcChain>
</file>

<file path=xl/comments1.xml><?xml version="1.0" encoding="utf-8"?>
<comments xmlns="http://schemas.openxmlformats.org/spreadsheetml/2006/main">
  <authors>
    <author>Bean, Kimberly</author>
  </authors>
  <commentList>
    <comment ref="AV2" authorId="0">
      <text>
        <r>
          <rPr>
            <b/>
            <sz val="9"/>
            <color indexed="81"/>
            <rFont val="Tahoma"/>
            <family val="2"/>
          </rPr>
          <t>Bean, Kimberly:</t>
        </r>
        <r>
          <rPr>
            <sz val="9"/>
            <color indexed="81"/>
            <rFont val="Tahoma"/>
            <family val="2"/>
          </rPr>
          <t xml:space="preserve">
Formula used to cap column E by column AU - Mention in next deliverable
</t>
        </r>
      </text>
    </comment>
  </commentList>
</comments>
</file>

<file path=xl/sharedStrings.xml><?xml version="1.0" encoding="utf-8"?>
<sst xmlns="http://schemas.openxmlformats.org/spreadsheetml/2006/main" count="1224" uniqueCount="518">
  <si>
    <t>State</t>
  </si>
  <si>
    <t>Core</t>
  </si>
  <si>
    <t>MSIX Implementation Status</t>
  </si>
  <si>
    <t>Assess.</t>
  </si>
  <si>
    <t>Assumptions</t>
  </si>
  <si>
    <t>Group 1</t>
  </si>
  <si>
    <t>Group 1A</t>
  </si>
  <si>
    <t>Group 2</t>
  </si>
  <si>
    <t>Group 2A</t>
  </si>
  <si>
    <t>Group 3</t>
  </si>
  <si>
    <t>Group 3A</t>
  </si>
  <si>
    <t>Group 4</t>
  </si>
  <si>
    <t>Group 4A</t>
  </si>
  <si>
    <t>Group 5</t>
  </si>
  <si>
    <t>Not Implemented</t>
  </si>
  <si>
    <t>number to copy</t>
  </si>
  <si>
    <t>D, E, F, G</t>
  </si>
  <si>
    <t>D, E, F</t>
  </si>
  <si>
    <t>D, E, G</t>
  </si>
  <si>
    <t>D, E</t>
  </si>
  <si>
    <t>D, F, G</t>
  </si>
  <si>
    <t>D, F</t>
  </si>
  <si>
    <t>D, G</t>
  </si>
  <si>
    <t>D</t>
  </si>
  <si>
    <t>none</t>
  </si>
  <si>
    <t>Yes</t>
  </si>
  <si>
    <t>Alabama</t>
  </si>
  <si>
    <t>Alaska</t>
  </si>
  <si>
    <t>Arizona</t>
  </si>
  <si>
    <t>Arkansas</t>
  </si>
  <si>
    <t>California</t>
  </si>
  <si>
    <t>Colorado</t>
  </si>
  <si>
    <t>Delaware</t>
  </si>
  <si>
    <t>Florida</t>
  </si>
  <si>
    <t>Georgia</t>
  </si>
  <si>
    <t>Hawaii</t>
  </si>
  <si>
    <t>Idaho</t>
  </si>
  <si>
    <t>Illinois</t>
  </si>
  <si>
    <t>Indiana</t>
  </si>
  <si>
    <t>Iowa</t>
  </si>
  <si>
    <t>Kansas</t>
  </si>
  <si>
    <t xml:space="preserve">Kentucky </t>
  </si>
  <si>
    <t xml:space="preserve">Louisiana </t>
  </si>
  <si>
    <t>Maine</t>
  </si>
  <si>
    <t>Maryland</t>
  </si>
  <si>
    <t>Massachusetts</t>
  </si>
  <si>
    <t>Michigan</t>
  </si>
  <si>
    <t>Minnesota</t>
  </si>
  <si>
    <t>Mississippi</t>
  </si>
  <si>
    <t>Missouri</t>
  </si>
  <si>
    <t>Montana</t>
  </si>
  <si>
    <t>Nebraska</t>
  </si>
  <si>
    <t>Nevada</t>
  </si>
  <si>
    <t>New Hampshire</t>
  </si>
  <si>
    <t>New Jersey</t>
  </si>
  <si>
    <t>New York</t>
  </si>
  <si>
    <t>North Carolina</t>
  </si>
  <si>
    <t>North Dakota</t>
  </si>
  <si>
    <t>Ohio</t>
  </si>
  <si>
    <t xml:space="preserve">Oklahoma </t>
  </si>
  <si>
    <t>Oregon</t>
  </si>
  <si>
    <t>Pennsylvania</t>
  </si>
  <si>
    <t>South Carolina</t>
  </si>
  <si>
    <t>South Dakota</t>
  </si>
  <si>
    <t>Tennessee</t>
  </si>
  <si>
    <t>Texas</t>
  </si>
  <si>
    <t>Utah</t>
  </si>
  <si>
    <t>Vermont</t>
  </si>
  <si>
    <t>Virginia</t>
  </si>
  <si>
    <t>Washington</t>
  </si>
  <si>
    <t>Wisconsin</t>
  </si>
  <si>
    <t>Connecticut</t>
  </si>
  <si>
    <t>Rhode Island</t>
  </si>
  <si>
    <t>West Virginia</t>
  </si>
  <si>
    <t>Wyoming</t>
  </si>
  <si>
    <t>New Mexico</t>
  </si>
  <si>
    <t>Total Students</t>
  </si>
  <si>
    <t>Count of States</t>
  </si>
  <si>
    <t>Group 1 States - Fully Implemented with 1 Year of Data</t>
  </si>
  <si>
    <t>Interface Development &amp; Implementation</t>
  </si>
  <si>
    <t>Group 5 States - Not Implemented</t>
  </si>
  <si>
    <t># States</t>
  </si>
  <si>
    <t>Hrs. Build/Test Core MDEs</t>
  </si>
  <si>
    <t>Hrs. Build/Test Assess MDE</t>
  </si>
  <si>
    <t>Hrs. Build/Test C.Hist MDE</t>
  </si>
  <si>
    <t>Total Hrs. per State</t>
  </si>
  <si>
    <t>Data Collection</t>
  </si>
  <si>
    <t>Core Data Elements</t>
  </si>
  <si>
    <t>Assessment Data Elements</t>
  </si>
  <si>
    <t>Collection Hrs./Student</t>
  </si>
  <si>
    <t>1-Year Data*</t>
  </si>
  <si>
    <t>Course History</t>
  </si>
  <si>
    <t># Students Assessed</t>
  </si>
  <si>
    <t># Regular-Year Secondary Students</t>
  </si>
  <si>
    <t>Data Submission</t>
  </si>
  <si>
    <t># Students w/no Core data</t>
  </si>
  <si>
    <t># Students</t>
  </si>
  <si>
    <t># Missing</t>
  </si>
  <si>
    <t>Course History Data Elements</t>
  </si>
  <si>
    <t>Group 2 States - Core and Assessment MDEs with 1 Year of Data</t>
  </si>
  <si>
    <t>Group 2A States - Core and Assessment MDEs with less than 1 Year of Data</t>
  </si>
  <si>
    <t>Group 3 States - Core and Course History MDEs with 1 Year of Data</t>
  </si>
  <si>
    <t>Assumptions:  
1.  Does not include effort to collect COE data elements
2.  Hours/student to collect Core data based upon input from States</t>
  </si>
  <si>
    <t>Group 4 States - Core MDEs with 1 year of data</t>
  </si>
  <si>
    <t>Group 4A States - Core MDEs with less than 1 year of data</t>
  </si>
  <si>
    <t>Group</t>
  </si>
  <si>
    <t>Collection Effort</t>
  </si>
  <si>
    <t>Submission Effort</t>
  </si>
  <si>
    <t>1 - Fully Implemented with 1 Year of Data</t>
  </si>
  <si>
    <t>2 - Core and Assessment MDEs with 1 Year of Data</t>
  </si>
  <si>
    <t>2A - Core and Assessment MDEs with less than 1 Year of Data</t>
  </si>
  <si>
    <t>3 - Core and Course Hist. MDEs with 1 Year of Data</t>
  </si>
  <si>
    <t>3A - Core and Course Hist. MDEs with less than 1 Year of Data</t>
  </si>
  <si>
    <t>4 - Core MDEs with 1 Year of Data</t>
  </si>
  <si>
    <t>4A - Core MDEs with less than 1 Year of Data</t>
  </si>
  <si>
    <t>5 - Not Implemented</t>
  </si>
  <si>
    <t>Grand Total Initial Submission Burden</t>
  </si>
  <si>
    <t>This Page Left Intentionally Blank</t>
  </si>
  <si>
    <t>Group 3A States - Core and Course Hist. MDEs with less than 1 Year of Data</t>
  </si>
  <si>
    <t>State CSPR
Assessed**</t>
  </si>
  <si>
    <t>Fully Implemented with 1-Year of Data</t>
  </si>
  <si>
    <t># Assessed</t>
  </si>
  <si>
    <t># Secondary</t>
  </si>
  <si>
    <t>Fully Implented with less than 1-Year of Data</t>
  </si>
  <si>
    <t>Core and Assessment MDEs with 1-Year of Data</t>
  </si>
  <si>
    <t>Core and Assessmt MDEs with less than 1-Year of Data</t>
  </si>
  <si>
    <t>Core and C.Hist MDEs with 1-Year of Data</t>
  </si>
  <si>
    <t>Core and C.Hist MDEs with less than 1-Year of Data</t>
  </si>
  <si>
    <t>Core MDEs only with 1-Year of Data</t>
  </si>
  <si>
    <t>Core MDEs only with less than 1-Year of Data</t>
  </si>
  <si>
    <t># Students missing Assmt.</t>
  </si>
  <si>
    <t># Students missing Course Hist</t>
  </si>
  <si>
    <t>Assumptions:  
1.  Number of Students Assessed based on CSPR Part 2, section 2.3.2.3
2.  # Students missing assessment data = Percentage of Students missing Core data applied to  # students assessed
3. Hours/student to collect assessment data based upon input from States</t>
  </si>
  <si>
    <t>1A - Fully Implemented with less than 1 Year of Data</t>
  </si>
  <si>
    <t>Group 1A States - Fully Implemented with less than 1 Year of Data</t>
  </si>
  <si>
    <t>Assumptions:  
1.  Number of Students Assessed based on CSPR Part 2, section 2.3.2.3
2.  States are not providing Assessment data for any students
3. Hours/student to collect assessment data based upon input from States</t>
  </si>
  <si>
    <t>Annual Percentage of Assessed Eligible Students</t>
  </si>
  <si>
    <t>Estimate of Assessed Newly Documented Migrant Students</t>
  </si>
  <si>
    <t>Assumptions:</t>
  </si>
  <si>
    <t>- Core data element Collection hrs./student based on feedback from States</t>
  </si>
  <si>
    <t>- Core data element Collection hrs./student does not include COE Data elements</t>
  </si>
  <si>
    <t>Core Data Element Collection Hrs./Student</t>
  </si>
  <si>
    <t>Assessment Data Element Collection Hrs./Student</t>
  </si>
  <si>
    <t>Effort to Collect Core Data Elements</t>
  </si>
  <si>
    <t>Effort to Collect Assessment Data Elements</t>
  </si>
  <si>
    <t>- Annual Percentage of Assessed Eligible Students is the ratio of the total number of reported Assessed Students in CSPR Part 2, section 2.3.2.3 to the count of Eligible Students in CSPR Part 2, section 2.3.1.1</t>
  </si>
  <si>
    <t>- Assessment data element collection hrs./student based on feedback from States</t>
  </si>
  <si>
    <t>Annual Percentage of Regular School Year Secondary Students</t>
  </si>
  <si>
    <t>Estimate of Reg Year Secondary Newly Doc'd Migrant Students</t>
  </si>
  <si>
    <t>Course Hist. Data Element Collection Hrs./Student</t>
  </si>
  <si>
    <t>- Course History data element collection hrs./student based on feedback from States</t>
  </si>
  <si>
    <t>Effort to Collect Course History Data Elements</t>
  </si>
  <si>
    <t>- Estimate of Regular Year Secondary Newly Documented Migrant Students is defined on Tab 2</t>
  </si>
  <si>
    <t>Question</t>
  </si>
  <si>
    <t>Number of States</t>
  </si>
  <si>
    <t>Total Effort (hours)</t>
  </si>
  <si>
    <t>Total # Students Assessed</t>
  </si>
  <si>
    <t># Terms / Year Assessed</t>
  </si>
  <si>
    <t>Assessment Collection Hrs./Student</t>
  </si>
  <si>
    <t>Total # Secondary Students Enrolled</t>
  </si>
  <si>
    <t>Course History Collection Hrs./Student</t>
  </si>
  <si>
    <t>Assumptions:
  - Assessment results are made available once per student per year, regardless of when the test is administered
  - Effort to collect assessment data based on State feedback</t>
  </si>
  <si>
    <t>Summary</t>
  </si>
  <si>
    <t>Total Number of Enrolled Students</t>
  </si>
  <si>
    <t>Number of MSIX Move Notices Generated per Year</t>
  </si>
  <si>
    <t>Hours/student to collect Core data</t>
  </si>
  <si>
    <t>Hours/student to collect Assessment data</t>
  </si>
  <si>
    <t>Hours/student to collect Course Hist. data</t>
  </si>
  <si>
    <t>Number Request for Data Correction per State per Year</t>
  </si>
  <si>
    <t>Assumptions:
  - Number of Data Correction requests per state based on State feedback
  - Each correction request will only involve one category of data (core, assessment, or core)
  - Effort to review and correct data is assumed to be equal average effort to collect data across all data element groups, based on State feedback</t>
  </si>
  <si>
    <t>Hours/student to review and correct data</t>
  </si>
  <si>
    <t>Number OME Requests for Data Correction per Year</t>
  </si>
  <si>
    <t>State 9 Response (Minutes)</t>
  </si>
  <si>
    <t>Total Effort (Hours)</t>
  </si>
  <si>
    <t>Ongoing Electronic Updates</t>
  </si>
  <si>
    <t>Vendor</t>
  </si>
  <si>
    <t>State/Group</t>
  </si>
  <si>
    <t>Amberian</t>
  </si>
  <si>
    <t>MSEdD</t>
  </si>
  <si>
    <t>MIS2000</t>
  </si>
  <si>
    <t>Comments</t>
  </si>
  <si>
    <t>Core Effort (hours)*/State</t>
  </si>
  <si>
    <t>Assess Effort (hours)* / State</t>
  </si>
  <si>
    <t>C. Hist Effort (hours)* / State</t>
  </si>
  <si>
    <t>Total Effort (hours) / State</t>
  </si>
  <si>
    <t>Tromik</t>
  </si>
  <si>
    <t>COEStar</t>
  </si>
  <si>
    <t xml:space="preserve">MTW </t>
  </si>
  <si>
    <t>Includes 2 Pos + 15 hrs of estimated Data Review Testing</t>
  </si>
  <si>
    <t>Williamette</t>
  </si>
  <si>
    <t>Core and Assessments were done together.  Estimate splits Data review effort across both columns</t>
  </si>
  <si>
    <t>Treca</t>
  </si>
  <si>
    <t>142 hrs. total for all MDE + estimated 15 hrs Data Review effort; estimated split across MDE groups</t>
  </si>
  <si>
    <t>Core assumes $110/hr. rate; incl. 40 hours 1-time effort for CH&amp;A data; estimated split across MDE groups</t>
  </si>
  <si>
    <t>Contract for 540 hours, but only 465 used/invoiced</t>
  </si>
  <si>
    <t>Lumens</t>
  </si>
  <si>
    <t>Contract with cost only (no effort); assumes $100/hr. rate</t>
  </si>
  <si>
    <t>Cost only ($30K - core; $15K -assmt);  No effort data; Assumes $100/hr. rate</t>
  </si>
  <si>
    <t>Median</t>
  </si>
  <si>
    <t>Mean</t>
  </si>
  <si>
    <t>Assumptions:  
1.  Interface development and implementation effort derived from Deloitte subcontracts with State vendors for development and implementation of State Interfaces
2.  Effort includes 15 hours to support Data Review efforts + additional 10% of vendor time for State staff</t>
  </si>
  <si>
    <t>* Includes contract data and estimated State Data Review/testing effort (15 hrs) and additional 10% of vendor time to represent state staff efforts</t>
  </si>
  <si>
    <t>Course and Enrollment Calculation Data</t>
  </si>
  <si>
    <t>Eligible Count</t>
  </si>
  <si>
    <t>Grades K-12</t>
  </si>
  <si>
    <t>Grades 9-12</t>
  </si>
  <si>
    <t>Eligible Enrolled Count</t>
  </si>
  <si>
    <t>% Eligible Enrolled</t>
  </si>
  <si>
    <t>Core Data Collection Hrs./Student</t>
  </si>
  <si>
    <t>Assumptions:
  - Count of Move Notices based on the average number of Move Notices generated in MSIX per year
  - Effort to collect data elements based on State feedback</t>
  </si>
  <si>
    <t>Assumptions:  
1.  Does not include effort to collect COE data elements (Non-COE demographic elements, enrollment data)
2.  Hours/student to collect Core data based upon input from States</t>
  </si>
  <si>
    <r>
      <t>Reg. Year Secondary</t>
    </r>
    <r>
      <rPr>
        <b/>
        <sz val="8"/>
        <color theme="0"/>
        <rFont val="Arial"/>
        <family val="2"/>
      </rPr>
      <t>***</t>
    </r>
  </si>
  <si>
    <t xml:space="preserve">*** Reg. Year Secondary counts are derived by calcuating the percentage of K-12 eligible students reported in CSPR section 2.3.1.1 that are enrolled during the regular school year, as reported in CSPR section 2.3.4.1, than applying that percentage to the number of eligible grade 9-12 students reported in CSPR section 2.3.1.1 </t>
  </si>
  <si>
    <r>
      <t>- Annual Percentage of Regular School Year Secondary Students is the ratio of the estimated total number of</t>
    </r>
    <r>
      <rPr>
        <sz val="10"/>
        <rFont val="Calibri"/>
        <family val="2"/>
      </rPr>
      <t xml:space="preserve"> enrolled grade 9-12 students </t>
    </r>
    <r>
      <rPr>
        <sz val="10"/>
        <rFont val="Calibri"/>
        <family val="2"/>
        <scheme val="minor"/>
      </rPr>
      <t>to the count of Eligible Students in CSPR Part 2, section 2.3.1.1</t>
    </r>
  </si>
  <si>
    <t>Estimate of Reg Year Secondary Newly Documented Migrant Students</t>
  </si>
  <si>
    <t>Course Hist. Data Element Collection Hrs./Student for most recent prior enrollment in State</t>
  </si>
  <si>
    <t>One-time effort to establish new MDE in State MEP Systems, MSIX Interface, and to create associated policies and procedures</t>
  </si>
  <si>
    <t>Number of States to Create New MDE</t>
  </si>
  <si>
    <t>Total Effort to implement new MDE (hours)</t>
  </si>
  <si>
    <t>Effort to establish new MDE in state MEP systems, MSIX interface, and procedures (hours)</t>
  </si>
  <si>
    <t>Ongoing effort to collect and submit indicator of whether out of state records are available for a student</t>
  </si>
  <si>
    <t>Number of Students with interstate qualifying move, but no MSIX Course History data from prior state</t>
  </si>
  <si>
    <t>Effort to indicate whether out of state course records are avialable for a single student (hours)</t>
  </si>
  <si>
    <t>Total Effort to indicate whether out of state Course History data is available for students (hours)</t>
  </si>
  <si>
    <t xml:space="preserve">  - a new MSIX Minimum Data Element will be created to indicate (Yes or No) whether out of state course history (transcripts) are available for a student</t>
  </si>
  <si>
    <t xml:space="preserve">  - all states will need to modify existing state MEP systems, MSIX interfaces, and procudures to utilze this new MDE</t>
  </si>
  <si>
    <t xml:space="preserve">  - the effort to determine whether or not an out of state transcript is present for a student is based on state feedback.</t>
  </si>
  <si>
    <t>1)  How many minutes in total does it take to collect the Core data elements for one student and enter them into your state MEP system? Please note that these data elements do not include any information contained in the National COE. However, it may be necessary to collect information from sources such as SEA systems, LEA systems, MEP files, parents, or students. Please see the provided list of "Core" data elements for definitions.</t>
  </si>
  <si>
    <t xml:space="preserve">2)  Please summarize how the activities addressed in Question 1 are completed in your state and by whom. Please be concise, but as thorough as possible.
</t>
  </si>
  <si>
    <t>3)  How many minutes in total does it take to collect the Assessment data elements for one student's current year State Assessments only and enter it into your state MEP system?  Use the average time spent per student regardless of the number of tests.  Please see the provided list of "Assessment" data elements for definitions.</t>
  </si>
  <si>
    <t xml:space="preserve">4)  Please summarize how the activities addressed in Question 3 are completed in your state and by whom.  Please indicate which, if any, parts of this process are automated. Please be concise, but as thorough as possible.
</t>
  </si>
  <si>
    <t>5)  How many minutes in total does it take to collect current year Course History data elements for one secondary student and enter the data into your state MEP system?  This should be the average time per student regardless of the number of courses. Please see the provided list of "Course History" data elements for definitions.</t>
  </si>
  <si>
    <t>6)  Please summarize how the activities addressed in Question 5 are completed in your state and by whom.  Please indicate which, if any, parts of this process are automated. Please be concise, but as thorough as possible.</t>
  </si>
  <si>
    <t>7)  How many minutes in total would it take to collect secondary education Course History data elements for the most recent prior secondary school enrollment in your state for one student?  The most recent prior secondary enrollment may be prior to the student's MEP eligibility.  Please provide an estimated effort if this activity is not currently performed in your state.  See the provided list of "Course History" data elements for descriptions.</t>
  </si>
  <si>
    <t>8)  Please summarize how the activities addressed in Question 7 are completed in your state and by whom.  Please indicate which, if any, parts of this process are automated.  If this task is not currently being executed in your state, please indicate how you envision it would be performed.</t>
  </si>
  <si>
    <t>9) How many hours would it take to create a new Data Element to indicate (Yes or No value only; the content of the transcript does not need to be collected, entered, or transmitted) whether out-of-state secondary school transcripts are present in your state for a migrant student?  Please do not include the effort to request and receive an out-of-state transcript.  Instead, please include the effort to modify your existing state MEP system to enter and store only whether or not an out-of-state transcript exists in your state for a student, the effort to modify the state's MSIX interface to transmit this data, and the effort to update your state procedures to collect this data.</t>
  </si>
  <si>
    <t>10) Assuming the new data element discussed in Question 9 was added in your State MEP system to indicate (Yes or No) whether out-of-state transcripts are present in your state for a migrant secondary student, how many minutes would it take to research (e.g., contacting LEAs, research other state systems and the existing state MEP system, file review) whether an out-of-state transcript is present and then indicate (Yes/No) in the state system?</t>
  </si>
  <si>
    <t>11) For what percentage of migrant students does new or updated Core data element information become available during a typical school term? Please see the provided list of "Core" data elements for definitions.</t>
  </si>
  <si>
    <t>12) Approximately how many times per year does staff in your state update a Student's record in your state MEP system as the result of a request from a parent or student to correct inaccurate data contained in your state MEP system for the student?</t>
  </si>
  <si>
    <t>End of Term Submission</t>
  </si>
  <si>
    <t>Change of Residence Submission</t>
  </si>
  <si>
    <t>MSIX Data Correction</t>
  </si>
  <si>
    <t>Florida Response (Minutes)</t>
  </si>
  <si>
    <t>Montana Response (Minutes)</t>
  </si>
  <si>
    <t>Median Response (Minutes)</t>
  </si>
  <si>
    <t>Median Response (Hours)</t>
  </si>
  <si>
    <t>Penna. Response (Minutes)</t>
  </si>
  <si>
    <t>Illinois Response (Minutes)</t>
  </si>
  <si>
    <t>Virginia Response (Minutes)</t>
  </si>
  <si>
    <t>Oregon Response (Minutes)</t>
  </si>
  <si>
    <t>Between 5-30 mins</t>
  </si>
  <si>
    <t>Fully automated</t>
  </si>
  <si>
    <t>Average Hours per SEA</t>
  </si>
  <si>
    <t>Average Person Years per SEA (at 2,080 hours/year)</t>
  </si>
  <si>
    <t>Activity</t>
  </si>
  <si>
    <t>Frequency of Response</t>
  </si>
  <si>
    <t>Average Hours per Respondent</t>
  </si>
  <si>
    <t>Total Hours over 3 Years</t>
  </si>
  <si>
    <t>Description</t>
  </si>
  <si>
    <t>This estimate includes time for SEAs to complete development and implementation of their MSIX interface to enable the exchange of all MSIX MDEs</t>
  </si>
  <si>
    <t>Person Years (at 2,080 hours/year)</t>
  </si>
  <si>
    <t>Annualized Total over 3 Years for All SEAs</t>
  </si>
  <si>
    <t>Total over 3 Years</t>
  </si>
  <si>
    <t>Number of Respondents</t>
  </si>
  <si>
    <t>Within 10 days of documenting a child's eligibility</t>
  </si>
  <si>
    <t>50 SEAs</t>
  </si>
  <si>
    <t>It is estimated that there is no additional effort to electronically submit the collected MDEs to MSIX</t>
  </si>
  <si>
    <t>This estimate includes time to collect Course History MDE inforation for the most recent secondary school attended previously in the state by migrant student and enter it into the State's MEP system</t>
  </si>
  <si>
    <t>Effort to Collect Course History Data Elements for most recent prior enrollments in State</t>
  </si>
  <si>
    <t>This estimate includes time to whether or not an LEA in the State has records from another State for a migrant student and enter indicate it in the State's MEP system</t>
  </si>
  <si>
    <t>Once per SEA</t>
  </si>
  <si>
    <t>Within 30 days of the end of a term</t>
  </si>
  <si>
    <t>This estimate includes time to collect newly available MDE inforation for each eligible migrant student in the State and enter it into the State's MEP system</t>
  </si>
  <si>
    <t>Within 4 days of receiving notification from MSIX that a migratory child has changed residence</t>
  </si>
  <si>
    <t>This estimate includes time to collect new MDE inforation that has become available for migrant student since the last submission to MSIX and enter it into the State's MEP system</t>
  </si>
  <si>
    <t>7.  MSIX Data Correction</t>
  </si>
  <si>
    <t>5.  End of Term Submission</t>
  </si>
  <si>
    <t>6.  Change of Residence Submission</t>
  </si>
  <si>
    <t>Within 4 days of determination to correct data submitted to MSIX</t>
  </si>
  <si>
    <t>This estimate includes effort to correct information previously entered in the State's MEP system</t>
  </si>
  <si>
    <t>Within 10 days of a request for information from the Department</t>
  </si>
  <si>
    <t>This estimate includes effort to respond to a request from the Department to correct or amend data previously entered in the State MEP system and submitted to MSIX</t>
  </si>
  <si>
    <t>It is estimated that there is no additional effort to electronically submit the corrected data to MSIX</t>
  </si>
  <si>
    <t>Control Totals
(from Workbook tabs)</t>
  </si>
  <si>
    <t>Annualized Burden for all SEA Respondents</t>
  </si>
  <si>
    <t>Start-up Submission - Burden Calculation Summary</t>
  </si>
  <si>
    <t>Start-up Data Submission</t>
  </si>
  <si>
    <t>1.  Start-up Data Submission</t>
  </si>
  <si>
    <t>2.  Newly Documented Migratory Children</t>
  </si>
  <si>
    <t>3.  Newly Documented Migratory Children (Secondary Students)</t>
  </si>
  <si>
    <t>4.  Newly Documented Migratory Children (Out of State Records)</t>
  </si>
  <si>
    <t>Newly Documented Migratory Children</t>
  </si>
  <si>
    <t>Newly Documented Migratory Children (Secondary Students)</t>
  </si>
  <si>
    <t>Newly Documented Migratory Children (Out of State Records)</t>
  </si>
  <si>
    <t>Response to the Department</t>
  </si>
  <si>
    <t>8.  Response to the Department</t>
  </si>
  <si>
    <t>By Reporting Ativity</t>
  </si>
  <si>
    <t>1. Start-up Submission</t>
  </si>
  <si>
    <t>Nationally</t>
  </si>
  <si>
    <t>Per SEA</t>
  </si>
  <si>
    <t>Person Years</t>
  </si>
  <si>
    <t>Cost @ $33.02 per Hour</t>
  </si>
  <si>
    <t>Totals</t>
  </si>
  <si>
    <t>Annualized Average</t>
  </si>
  <si>
    <t>Annualized Avg.</t>
  </si>
  <si>
    <t>Hourly Labor Rate:</t>
  </si>
  <si>
    <t>2. Newly Documented Migrant Students</t>
  </si>
  <si>
    <t>3. Newly Documented Migrant Students (Secondary Students)</t>
  </si>
  <si>
    <t>4. Newly Documented Migrant Students (Out of State Records)</t>
  </si>
  <si>
    <t>Data
Collection</t>
  </si>
  <si>
    <t>5. End of Term Submission</t>
  </si>
  <si>
    <t>6. Change of Residence Submission</t>
  </si>
  <si>
    <t>Annualized Total for all SEAs</t>
  </si>
  <si>
    <t>Annualized Burden for All Respondents</t>
  </si>
  <si>
    <t>Annualized Cost Nationally @$33.02</t>
  </si>
  <si>
    <t>Cost per SEA @$33.02</t>
  </si>
  <si>
    <t>Control Totals</t>
  </si>
  <si>
    <t>ED Staff Costs (Loaded with Benefits, 3% annual increase)</t>
  </si>
  <si>
    <t>MSIX Contract Costs</t>
  </si>
  <si>
    <t>ED Staff Time in Government FTEs</t>
  </si>
  <si>
    <t>Historical Costs</t>
  </si>
  <si>
    <t>FY 2006</t>
  </si>
  <si>
    <t>FY 2007</t>
  </si>
  <si>
    <t>FY 2008</t>
  </si>
  <si>
    <t>FY 2009</t>
  </si>
  <si>
    <t>FY 2010</t>
  </si>
  <si>
    <t>FY 2011</t>
  </si>
  <si>
    <t>FY 2012</t>
  </si>
  <si>
    <t>Next 3 Years</t>
  </si>
  <si>
    <t>FY 2013</t>
  </si>
  <si>
    <t>FY 2014</t>
  </si>
  <si>
    <t>FY 2015</t>
  </si>
  <si>
    <t>Total</t>
  </si>
  <si>
    <t>Annualized Total</t>
  </si>
  <si>
    <t>Number of Responses (for OMB 83-C)</t>
  </si>
  <si>
    <t># Responses</t>
  </si>
  <si>
    <t>For OMB 83-C
By Reporting Ativity</t>
  </si>
  <si>
    <t>Total Annual Responses</t>
  </si>
  <si>
    <t>California Response (Minutes)</t>
  </si>
  <si>
    <t>Colorado Response (Minutes)</t>
  </si>
  <si>
    <t xml:space="preserve">Illinois    </t>
  </si>
  <si>
    <t xml:space="preserve">Colorado  </t>
  </si>
  <si>
    <t>How many minutes in total does it take to collect the Core data elements for one student and enter them into your state MEP system?  Please note that these data elements do not include any information contained in the National COE.  However, it may be necessary to collect information from sources such as SEA systems, LEA systems, MEP files, parents, or students.  Please see the provided list of "Core" data elements for definitions.</t>
  </si>
  <si>
    <t>5 to 30</t>
  </si>
  <si>
    <t>25 minutes</t>
  </si>
  <si>
    <t>Please summarize how the activities addressed in Question 1 are completed in your state and by whom.  Please be concise, but as thorough as possible.</t>
  </si>
  <si>
    <t>Our estimated answer for #1 is: 30-60 min;The local educational agencies (LEAs) school registrar/MEP staff collect this data on each migrant student and enter it into their local student database. LEAs are required to submit migrant student records from the local student database to the state student database through the Florida Automated System for Transferring Electronic Records (FASTER). FASTER is considered the conduit. Migrant records are submitted to the state based on the OME established time frames.</t>
  </si>
  <si>
    <t>The information is collected generally by recruiters and directors in an interview setting at the family's temporary home, school, or other setting. The data collection and entry is dependent upon whether the student is: 1)interstate new/returning  2)intrastate new/returning  Can take from 30 minutes to three days; nothwithstanding PFS information.</t>
  </si>
  <si>
    <t>Most of this data is collected at time of Recruitment by Recruiters using electronic COE;s and then reviewed at several levels.  A few items, such as LEP, IEP, Immunization, Health Alert may be gathered by Recruiters,  but are more likely to be gathered by Student Support Specialists, which is also done using direct data entry electronically and also is reviewed.  The Facility/District/Project detailed information is primarily maintained by Data Specialists and simply referenced by the staff supplying the correct facility code from a drop-down menu and the rest of the information is automatically looked-up;.  Some of these time saving factors may make our time per student slightly less than other states.</t>
  </si>
  <si>
    <t>Information is gathered by recruiters, teachers, counselors, and health care providers from student records, parent and student interviews and LEA data systems.  Data entry specialists enter the information on NGS.  State support staff provide technical assistance to data entry specialists as needed and identify errors in data entry that need to be corrected.</t>
  </si>
  <si>
    <t>SEA/Regional staff performs various activities to collect and report the Core data elements in the State Student Information System, NGS. Data sources include the following; State Information System, Local Student Information Systems, Other Data Sources within the Department, MEP Files, Parent Surveys, Pre-school Surveys, Student Secondary Transcript, Out-of-School Youth Surveys.  The core data elements are collected through regional programs, with support from the LEA. Regional programs have established working relationships with participating school districts and developed a method for collecting student data on an agreed schedule. Through these efforts some districts have granted regional programs direct access to the district internal student database. Districts have designated internal staff to provide student academic information to the regional programs. Core data elements collected by the regional programs included but not limited; Local district formal assessments, local district PK assessments, medical alerts, immunizations, health/dental, enrollment, student state IDs, and course history.  The SEA sends data request to the department's data warehouse requesting student demographic data on State Assessments, Language Proficiency, Special Needs, Dropped Out, Received GED, Graduated, students tested in reading and math, MEP Projects and school campus information, as well as, FTE and MEP job classifications.</t>
  </si>
  <si>
    <t>Migrant coordinators or designee enter core elements in the state database which transfers to the MSIX. Migrant recruiters can spend 1-2 days recertifying students and/or identifying new students. The migrant coordinator/designee will enter data to the state system which takes about 30-45 minutes depending upon if they are entering a new record versus updating a student record.</t>
  </si>
  <si>
    <t xml:space="preserve">Per Sue Cheavtharn:  It takes 5-30 minutes to actually request the data, then enter it into OMSIS.  There is additional time to wait for information to be provided by the LEA, but the staff person is doing other work during the waiting period.
Oregon’s MEP program operates at two different levels: Local Education Agency and Regional Education Service Districts (ESD).  Oregon has 19 regional MEP programs seven are LEA and eight are Regional ESDs; the regional ESD operates and cover many districts.  Obtaining information for an LEA is quick and efficient whereas the opposite is said the ESD’s level.  LEA access to information is within minutes, if the local data specialist has access to the information.  ESDs access to information could range from 15 minutes to weeks or even months, depending on the accessibility to information and personnel.
The main MEP liaisons at the regional program are the Recruiters, Data Specialists and/or Coordinators.  Communication protocols are set-up at each local MEP offices.  Information about student comings or goings is at times reported to the recruiters and at times to no one.  Once information is obtain about a student arrival or departure, data is compiled and appropriate forms are completed either by the Recruiter or Data Specialists.  Information is then entered to the Oregon Migrant Student Information (OMSIS) by the data specialist. </t>
  </si>
  <si>
    <t>Migrant Region and/or LEA staff enter program center information into COEstar that is sent and aggregated to the State Migrant Longitudinal Data System (MLDS).  Other core data is linked as part of a back office process to distinct state systems files for aggregation into the MSIX data feed. WestEd MSIN staff, CDE Data Management Division staff, CDE Assessments staff all participate.  This time includes updates, full history and notes for the student unit record.
LEA efforts comprise most of the time, ensuring student identifiers used to match within the state reporting and data products are entered and are accurate</t>
  </si>
  <si>
    <t>How many minutes in total does it take to collect the Assessment data elements for one student's current year State Assessments only and enter it into your state MEP system? Use the average time spent per student regardless of the number of tests. Please see the provided list of Assessment data elements for definitions.</t>
  </si>
  <si>
    <t>less than 1 minute</t>
  </si>
  <si>
    <t>3 Minutes</t>
  </si>
  <si>
    <t>Please summarize how the activities addressed in Question 3 are completed in your state and by whom. Please indicate which, if any, parts of this process are automated. Please be concise, but as thorough as possible.</t>
  </si>
  <si>
    <t>Once assessments are administered, they are collected and scored. Data entry into local student data base for the test data including scores occur at the LEA/school district level. The assessment data/results are then sent electronically to the state student database through FASTER. The amount of time to collect, score, conduct data entry, etc. is difficult to determine at this time.</t>
  </si>
  <si>
    <t>Assessment data is collected yearly at the SEA level and entered through uploads of the state data system to NGS on MT. based students.  For interestate students, it can take directors/data personnel at the SEA and LOA level months to obtain.  Tests are giving annually, results take up to five months to appear in state systems; then for interstate students we have to match student IDs.</t>
  </si>
  <si>
    <t>Annually, we collect what we can electronically from our State Assessment system as well as state Language Assessments.  This is a semi-automated process.  However, staff may have to collect other data manually if the child leaves before the electronic version is not available or if there are other assessments that are not available electronically.  The time required to manipulate the electronic file is also included.  With the broad range of possibilities, it is hard to determine the average time, but this is our best estimation.</t>
  </si>
  <si>
    <t>Illinois student assessment data is maintained in a state student data base.  The NGS staff generate a file of eligible migrant students each year.  The Illinois state student data base staff use the file to run a data match to identify the assessment results of all migrant students on the IL student data base.  The migrant student assessment results are sent in a file to NGS, where staff load the information into NGS to populate the individual migrant student records.</t>
  </si>
  <si>
    <t>The SEA sends a list of migrant student state IDs to the data warehouse and requests assessment information on the following state assessments; CSAP, CSAP A, CELA. Once this information is received, the State electronically imports the information into NGS. A validation sample is completed prior to importing all information.  State assessment data is not available until late August or September.  For students that do not have state assessments, regional programs are required to request local assessments and manually enter them in the students record in NGS.</t>
  </si>
  <si>
    <t>The assessment information is transmitted directly from the state assessment system (separate from migrant database) to the MSIX for migrant students with assessment files. The local coordinators do not enter this information.</t>
  </si>
  <si>
    <t xml:space="preserve">Per Sue C:  The Assessment data is automatically provided to OMSIS. It takes less that 5 minutes to download data for all Oregon students once per year.
State assessment information is not easily accessible by any of Oregon’s regional MEP programs.  Because assessment information is considered “Resisted” data, one must have rights and authorization to access “Current” state assessments.  The time to collect the information varies from programs to programs, depending on consortium agreements.  The times it takes to collect the “current assessment” data can range from one week to possibly never.  The OMSIS system does not allow entry of state assessments, however, local and state language proficiency assessments are allowed on OMSIS.  On a yearly basis, Oregon extracts previous school year state assessment data and submitted it to MSIX.  This usually occurs after the completion of the CSPR Part II.
Ideally, current assessment information should be easily accessible for MEP staff in order to evaluate and identify Priority for Service (PFS) students; reality wise, this is not the case.  Very few of Oregon’s regional MEP programs have access to current assessment information.  When current information is not available then last school year state assessments are used to determine PFS for the new school year.  Many of the LEAS perform PFS determination for immediate services.
Oregon is anticipating with the development of the new OMSIS version 2.0, the state assessments would be easily assessable for all LEA MEP staff. 
</t>
  </si>
  <si>
    <t>California maintains wholly separate systems for MEP, Assessments, and state longitudinal student records.  The data for assessments for the MEP students is merged as part of a back office process with linkages to state systems and is integrated with the process used to generate other Federal reports, e.g. CSPR, EdFacts.  The time included in the estimate is based on the overall process performed each year to bridge the systems and prepare the file for linking to MSIX feeds.  The linkages are between relational database tables from the three systems.  This estimate does not include the initial development time that was required. WestEd MSIN staff, CDE Data Management Division staff, CDE Assessments staff all participate.
LEA efforts comprise most of the time, ensuring student identifiers used to match within the state reporting and data products are entered and are accurate.</t>
  </si>
  <si>
    <t>How many minutes in total does it take to collect current year Course History data elements for one secondary student and enter the data into your state MEP system? This should be the average time per student regardless of the number of courses. Please see the provided list of Course History data elements for definitions.</t>
  </si>
  <si>
    <t>Please summarize how the activities addressed in Question 5 are completed in your state and by whom. Please indicate which, if any, parts of this process are automated.  Please be concise, but as thorough as possible.</t>
  </si>
  <si>
    <t>The time varies because data collection occurs at several levels, i.e., from instructional staff on to MIS staff. The local educational agencies (LEAs) school instructional, guidance, registrar, and MEP staff collect this data on each migrant student and enter it into their local student database. LEAs are required to submit migrant student records from the local student database to the state student database through the Florida Automated System for Transferring Electronic Records (FASTER). FASTER is considered the conduit. Migrant records are submitted to the state based on the OME established time frames.</t>
  </si>
  <si>
    <t>Depends on if student is interstate/new/returning; intrastate new/returning.  In summer, difficult to obtain from LOAs who are not there and if most recent information has been entered at homebase.    Done by youth coordiator, directors.  Can take up to three days if not in system. Data entry on partial credits or updating for interstate students takes much less time (30 minutes) for recieving state; to build an entire course history for a new student takes much more time, again depedning on whether the student is new, returning, interstate or intrastate. Entry done by data entry persnonell, advocate; collection by youth coordiantor/teacher.</t>
  </si>
  <si>
    <t>Secondary Student Support Specialists go to schools and collect what courses students are enrolled in.  Depending on the School, this may be done by obtaining a printout from the school or it may require manually searching through records.  They may then enter that data into their Tablet or put it on a data collection form and submit to the Data Specialist.  At the end of each term or if a child leaves the area, the staff return and collect the current grade and clock hours or possibly the final grade and credits as appropriate and record in the same manner.  There is no Central Data System from which to automate this collection.</t>
  </si>
  <si>
    <t>The migrant project staff request course history data from the school counselor.  The school counselor retrieves this information from the student record.  The NGS data entry specialist enters the information in NGS.</t>
  </si>
  <si>
    <t>At this time, the SEA is not currently collecting course history data elements.  On April 10, 2012, the SEA will be holding Secondary Course History Training. All regional programs are required to participate in this training. Currently, course history information is not reported to the State and therefore must be collected by the districts. The information will be collected electronically and either entered or imported into the State's Migrant Student Information System, the New Generation System (NGS). We established the time it will take the SEA and regional programs to collect and enter course history in the beginning will take 30-180 minutes per student.</t>
  </si>
  <si>
    <t>At this time, the state does not upload course history data.</t>
  </si>
  <si>
    <t>Per Sue C.:  Course History is automatically downloaded into OMSIS.  It takes less than a minute of work to process data for all Oregon students.
Oregon MEP programs personnel do not collect Course History on MEP students.  This process happens automatically when a child is flagged as withdrawn on the OMSIS and checked against the KIDs system with an associated enrollment line then the Course History is extracted and set to MSIX.
Oregon extracts Course History data from a system call the KIDs.  KIDs is a system that store collections of information sent from the LEAs.  All LEAs in Oregon are encouraged to join what is called a regional Data Warehouse.  All regional Data Warehouse data feeds into the KIDs system.</t>
  </si>
  <si>
    <t>California maintains wholly separate systems for MEP, and state longitudinal student records.  The data for assessments for the MEP students is merged as part of a back office process with linkages to state systems and is integrated with the process used to generate other Federal reports, e.g. CSPR, EdFacts.  The time included in the estimate is based on the overall process performed each year to bridge the systems and prepare the file for linking to MSIX feeds.  The linkages are between relational database tables from the three systems.  This estimate does not include the initial development time that was required. WestEd MSIN staff, CDE Data Management Division staff participate.
LEA efforts comprise most of the time, ensuring student identifiers used to match within the state reporting and data products are entered and are accurate</t>
  </si>
  <si>
    <t>How many minutes in total would it take to collect secondary education Course History data elements for the most recent prior secondary school enrollment in your state for one student? The most recent prior secondary enrollment may be prior to the student's MEP eligibility.  Please provide an estimated effort if this activity is not currently performed in your state. See the provided list of Course History data elements for descriptions.</t>
  </si>
  <si>
    <t>3 minutes</t>
  </si>
  <si>
    <t>Please summarize how the activities addressed in Question 7 are completed in your state and by whom. Please indicate which, if any, parts of this process are automated. If this task is not currently being executed in your state, please indicate how you envision it would be performed.</t>
  </si>
  <si>
    <t>See number six</t>
  </si>
  <si>
    <t>This is difficult to answer.  If it is at a school we are already dealing with for a child, it would probably be an additional 15 minutes per student, and this is something we are already doing.  If while the staff are collecting the information in #5/6 and know that the student has previous course history at that school, they collect it and we enter the required enrollment information (enrollments are required in both MIS2000 and MSIX in order to enter Course History data).  If it would require going to another school that would take at least some, if not considerable additional time, especially if it is a school outside the region where the student is or if it is a school where we do not have an established relationship.</t>
  </si>
  <si>
    <t>Regional programs are required to share a Secondary Course History Template with their participating districts, which requires them to report all MSIX course history data elements. Districts will complete this template for each student's subject and course for grades 9-12.</t>
  </si>
  <si>
    <t>If enrollment information matches on the OMSIS and KIDs, then the collection of Course History happens in seconds.  However, if OMSIS does not have an enrollment line that matches the KIDs then nothing is transferred to MSIX.</t>
  </si>
  <si>
    <t>This step and activity is not currently performed at the SEA level.  Because these are back office operations between distinct longitudunal systems this would require new rules for the data linkages and would leverage, thus be an extension of the existing data processes. 
This estimate does not include the initial development time that was required. WestEd MSIN staff, CDE Data Management Division staff participate.
LEA efforts comprise most of the time, ensuring student identifiers used to match within the state reporting and data products are entered and are accurate</t>
  </si>
  <si>
    <t>How many hours would it take to create a new Data Element to indicate (Yes or No value only; the content of the transcript does not need to be collected, entered, or transmitted) whether out-of-state secondary school transcripts are present in your state for a migrant student? Please do not include the effort to request and receive an out-of-state transcript.  Instead, please include the effort to modify your existing state MEP system to enter and store only whether or not an out-of-state transcript exists in your state for a student, the effort to modify the state's MSIX interface to transmit this data, and the effort to update your state procedures to collect this data.</t>
  </si>
  <si>
    <t>Per Sue C:  16 to 32 hours
Oregon cannot give you an estimated time to create a new Data Element without knowing what data elements are being considered.  Adding new data elements would involve many staff, not to mention the changes to the database structure, identifying the source and the validity of the data source.  Also we need to add in to the timeline the project flow on obtaining the work approval.</t>
  </si>
  <si>
    <t>Assuming the new data element discussed in Question 9 was added in your State MEP system to indicate (Yes or No) whether out-of-state transcripts are present in your state for a migrant secondary student, how many minutes would it take to research (e.g., contacting LEAs, research other state systems and the existing state MEP system, file review) whether an out-of-state transcript is present and then indicate (Yes/No) in the state system?</t>
  </si>
  <si>
    <t>For what percentage of migrant students does new or updated Core data element information become available during a typical school term? Please see the provided list of Core data elements for definitions.</t>
  </si>
  <si>
    <t>Per Sue C:  This would follow essentially the same process to collect data as in Question 1, so the same timeframes would apply.
We are unable to provide an estimated time.  It all depends on the accessibility and the location of the MEP child.</t>
  </si>
  <si>
    <t>72% of the 10-11 count had a core data level entry or unpdate.</t>
  </si>
  <si>
    <t>Approximately how many times per year does staff in your state update a Student's record in your state MEP system as the result of a request from a parent or student to correct inaccurate data contained in your state MEP system for the student?</t>
  </si>
  <si>
    <t>Per Sue C:  Oregon receives less than 1 request per year.
Oregon receives very few requests from parents or students to update academic records.  If updates are done it is mainly with the child’s date of birth and not necessary the academic data.</t>
  </si>
  <si>
    <t xml:space="preserve">Unknown - would need to research.  There are 23 Regional Centers and 500 participating LEAs to query and verify. </t>
  </si>
  <si>
    <t>Please provide your name and state so we can contact you if we have any additional questions or need further clarification.</t>
  </si>
  <si>
    <t>For #9, in general, it would take Florida 1.5-2 years to add any new Data Element, if it was not already in existence in the state student database. However, for #9 and #10, specifically, Florida already has the capacity to collect, store, and send out-of-state secondary school transcript information.  Question #11 is not very clear. Florida updates core data elements records at least once a year and as needed for every migrant student. Our estimated response for #12 is less than one time per year. For #12, Florida receives infrequent requests to update a student's academic record from a parent or student. If updates are done, it is generally about updating the DOB.</t>
  </si>
  <si>
    <t>Angela Branz-Spall;MT</t>
  </si>
  <si>
    <t>This is provided by Vaughn Murray in consultation with Carmen M. Medina, State Director as well as Regional Data staff on behalf of the Pennsylvania MEP</t>
  </si>
  <si>
    <t>Beth Robinson, Illinois</t>
  </si>
  <si>
    <t>Colorado;Brenda Meyer General Professional
Colorado Department of Education
Data Services Unit
201 E. Colfax Avenue, Room 507  Denver, CO 80203
Phone: 303-866-6744  Work Cell: 303-913-0282 Fax: 303-866-6888
Email: meyer_b@cde.state.co.us</t>
  </si>
  <si>
    <t>Patience Scott, Virginia</t>
  </si>
  <si>
    <t>Jonathan Fernow, Oregon
Sue Cheavtharn, Oregon
Follow-up discussion (as noted in Sue C comments above) between Sue Cheavtharn and John Carden on 4/3/12</t>
  </si>
  <si>
    <t>Glenn Miller, Project Director WestEd MSIN Project.  California.</t>
  </si>
  <si>
    <t>** State CSPR Assessed data is based on Tested Counts reported in CSPR Part II, section 2.3.2.3 (using greater of 2.3.2.3.1 or 2.3.2.3.2)</t>
  </si>
  <si>
    <t>- Annual count of newly documented Migrant Students is based upon the total number qualifying moves reported during the 10-11 each school year in CSPR section 2.3.1.5.</t>
  </si>
  <si>
    <t>*  1-Year of migrant data requirement is considered met if the 2010-2011 Category 1 CSPR count calculated by MSIX is within 80% of the count reported by the state for the same period</t>
  </si>
  <si>
    <t>State CSPR
2.3.1.1 Eligible for MEP services****</t>
  </si>
  <si>
    <t>**** State CSPR data based on Eligible Students for MEP Services counts in the SY10-11, including Birth through 12, Ungraded and Out of School counts for each State</t>
  </si>
  <si>
    <t>MSIX Minimum Data Elements</t>
  </si>
  <si>
    <t>COE Data Element</t>
  </si>
  <si>
    <t>EDEN Data Element</t>
  </si>
  <si>
    <t>No Overlap</t>
  </si>
  <si>
    <t xml:space="preserve">MSIX Identification Number </t>
  </si>
  <si>
    <t xml:space="preserve">State Student Identifier </t>
  </si>
  <si>
    <t xml:space="preserve">State Student Identifier Type </t>
  </si>
  <si>
    <t xml:space="preserve">First Name </t>
  </si>
  <si>
    <t>X</t>
  </si>
  <si>
    <t xml:space="preserve">Middle Name </t>
  </si>
  <si>
    <t xml:space="preserve">Last Name 1 </t>
  </si>
  <si>
    <t xml:space="preserve">Last Name 2 </t>
  </si>
  <si>
    <t xml:space="preserve">Suffix </t>
  </si>
  <si>
    <t xml:space="preserve">Sex </t>
  </si>
  <si>
    <t xml:space="preserve">Birth Date </t>
  </si>
  <si>
    <t xml:space="preserve">Multiple Birth Flag </t>
  </si>
  <si>
    <t xml:space="preserve">Birth City </t>
  </si>
  <si>
    <t xml:space="preserve">Birth State </t>
  </si>
  <si>
    <t xml:space="preserve">Birth Country </t>
  </si>
  <si>
    <t xml:space="preserve">Birth Date Verification </t>
  </si>
  <si>
    <t xml:space="preserve">Male Parent First Name </t>
  </si>
  <si>
    <t xml:space="preserve">Male Parent Last Name </t>
  </si>
  <si>
    <t xml:space="preserve">Female Parent First Name </t>
  </si>
  <si>
    <t xml:space="preserve">Female Parent Last Name </t>
  </si>
  <si>
    <t xml:space="preserve">Qualifying Arrival Date </t>
  </si>
  <si>
    <t xml:space="preserve">Qualifying Move From City </t>
  </si>
  <si>
    <t xml:space="preserve">Qualifying Move From State </t>
  </si>
  <si>
    <t xml:space="preserve">Qualifying Move From Country </t>
  </si>
  <si>
    <t xml:space="preserve">Qualifying Move To City </t>
  </si>
  <si>
    <t xml:space="preserve">Qualifying Move To State </t>
  </si>
  <si>
    <t xml:space="preserve">Eligibility Expiration Date </t>
  </si>
  <si>
    <t>Immunization Record Flag</t>
  </si>
  <si>
    <t>Enrollment Date</t>
  </si>
  <si>
    <t>Enrollment Type</t>
  </si>
  <si>
    <t>School or Project Name</t>
  </si>
  <si>
    <t>MEP Project Type</t>
  </si>
  <si>
    <t>School Identification Code</t>
  </si>
  <si>
    <t>Facility Name</t>
  </si>
  <si>
    <t>Facility Address 1</t>
  </si>
  <si>
    <t>Facility Address 2</t>
  </si>
  <si>
    <t>Facility Address 3</t>
  </si>
  <si>
    <t>Facility City</t>
  </si>
  <si>
    <t>School District Name</t>
  </si>
  <si>
    <t>Facility State</t>
  </si>
  <si>
    <t xml:space="preserve">Facility Zip </t>
  </si>
  <si>
    <t xml:space="preserve">Telephone Number </t>
  </si>
  <si>
    <t xml:space="preserve">Grade Level </t>
  </si>
  <si>
    <t xml:space="preserve">LEP Indicator </t>
  </si>
  <si>
    <t xml:space="preserve">IEP Indicator </t>
  </si>
  <si>
    <t xml:space="preserve">Continuation of Services Reason </t>
  </si>
  <si>
    <t xml:space="preserve">Med Alert Indicator </t>
  </si>
  <si>
    <t xml:space="preserve">PFS Flag </t>
  </si>
  <si>
    <t>Designated Graduation School</t>
  </si>
  <si>
    <t>Withdrawal Date</t>
  </si>
  <si>
    <t xml:space="preserve">Assessment Title </t>
  </si>
  <si>
    <t xml:space="preserve">Assessment Content </t>
  </si>
  <si>
    <t xml:space="preserve">Assessment Type </t>
  </si>
  <si>
    <t xml:space="preserve">Assessment Administration Date </t>
  </si>
  <si>
    <t xml:space="preserve">Assessment Reporting Method </t>
  </si>
  <si>
    <t xml:space="preserve">Score Results </t>
  </si>
  <si>
    <t xml:space="preserve">Assessment Interpretation </t>
  </si>
  <si>
    <t xml:space="preserve">Course Title </t>
  </si>
  <si>
    <t xml:space="preserve">Subject Area Name </t>
  </si>
  <si>
    <t xml:space="preserve">Course Type </t>
  </si>
  <si>
    <t xml:space="preserve">Academic Year </t>
  </si>
  <si>
    <t xml:space="preserve"> </t>
  </si>
  <si>
    <t xml:space="preserve">Course Section </t>
  </si>
  <si>
    <t xml:space="preserve">Term Type </t>
  </si>
  <si>
    <t xml:space="preserve">Clock Hours </t>
  </si>
  <si>
    <t xml:space="preserve">Grade-to-Date </t>
  </si>
  <si>
    <t xml:space="preserve">Credits Granted </t>
  </si>
  <si>
    <t xml:space="preserve">Final Grade </t>
  </si>
  <si>
    <t>School District ID</t>
  </si>
  <si>
    <t>District of Residence</t>
  </si>
  <si>
    <t>Home School Indicator</t>
  </si>
  <si>
    <t>Residency Date</t>
  </si>
  <si>
    <t>Enrollment Comment</t>
  </si>
  <si>
    <t>`</t>
  </si>
  <si>
    <t>28 SEAs</t>
  </si>
  <si>
    <t>28 SEAs to complete interface work</t>
  </si>
  <si>
    <t>This estimate includes for each SEA to modify their State MEP system and MSIX interface to collect and submit a new MDE to indicate whether or not Out-of-State school records are present at an LEA for a migrant student.</t>
  </si>
  <si>
    <t>MSIX Count of CSPR 2.3.1.1</t>
  </si>
  <si>
    <t>Assumptions:  
1.  Number of Regular School-Year Secondary Students is derived  by calcuating the percentage of K-12 eligible students reported in CSPR section 2.3.1.1 that are enrolled during the regular school year, as reported in CSPR section 2.3.4.1, than applying that percentage to the number of eligible grade 9-12 students reported in CSPR section 2.3.1.1 
2. # Students missing Course Hist. data = Percentage of students missing core data, applied to # regular-year secondary students 
3.  Hours/student to collect Course History data based upon input from States</t>
  </si>
  <si>
    <t>Update Percentage</t>
  </si>
  <si>
    <t>Freq / Year</t>
  </si>
  <si>
    <t>Percentage of Students with new data each year</t>
  </si>
  <si>
    <t>Assumptions:
  - Effort to collect course history data based on State feedback</t>
  </si>
  <si>
    <t>Assumptions:
  - Effort to collect Core (non-COE) data based on State feedback regarding the effort to provide Core data elements for initial submission, then reduced from 0.88 to 0.70 to make allowance for states with automated processes to collect and provide updates, and to also account for the fewer number of data elements that are expected with an update instead of an initial submission.
  - It is assumed that Core enrollment data elements will need to be updated at least once per year for 100% of the students.  These updates will be submitted by States at the end of the next occurring term.</t>
  </si>
  <si>
    <t>Annual count of newly documented Migrant Children</t>
  </si>
  <si>
    <t>Total Effort to Collect Core, Assmt., and Course Data for Newly Documented Migrant Children</t>
  </si>
  <si>
    <t>Number of Participating SEAs</t>
  </si>
  <si>
    <t>Assumptions:
  - Number of Data Correction requests based on past OME requests and estimated future increases as parental awareness of MSIX increases
  - Each correction request will only involve one category of data (core, assessment, or course), but could inolve any of these categories of data
  - Effort to review and correct data is assumed to be equal average effort to collect data across all data element groups, based on State feedback</t>
  </si>
  <si>
    <t>This estimate includes time to collect MSIX MDE information for each newly documented migrant student and enter it into the State's MEP system</t>
  </si>
  <si>
    <t>Demographic Data</t>
  </si>
  <si>
    <t>Course History Data</t>
  </si>
  <si>
    <t>Assessment Data</t>
  </si>
  <si>
    <t>Enrollment Data</t>
  </si>
  <si>
    <t>Qualifying Move Data</t>
  </si>
  <si>
    <t>MSIX Minimum Data Element Groups</t>
  </si>
  <si>
    <t>Assumptions:  
1.  The Start-up data submission is a one-time activity, so it is assumed that once it has been completed by an SEA there will be no ongoing update activities.  Instead, all ongoing efforts to provide updated information to MSIX will be addressed by the other information collection activities included in the proposed regulations.</t>
  </si>
  <si>
    <t xml:space="preserve">  - the number of secondary-aged students in MSIX with an interstate qualifying move during SY'10-'11 and no prior state Course History data indicates the potential population of students that may need an out of state transcript</t>
  </si>
  <si>
    <t>Average Hours per 1,000 Eligible Children (of 418,643 Children)</t>
  </si>
  <si>
    <t>Average per 1,000 Eligible Children (of  418,643 children)</t>
  </si>
  <si>
    <t>Newly Documented (Secondary Records - Out of State)</t>
  </si>
  <si>
    <t>Newly Documented (Secondary Records - Same State)</t>
  </si>
  <si>
    <t>End of Term Submissions</t>
  </si>
  <si>
    <t>Start-up Data Submissions</t>
  </si>
  <si>
    <t>Change of Residence Submissions</t>
  </si>
  <si>
    <t>Response to ED - Parental Request to ED for Data Correction</t>
  </si>
  <si>
    <t>Parental Request to SEA for Data Correction</t>
  </si>
  <si>
    <t>This estimate includes time to collect MSIX MDE information that has not already been collected for each student considered eligible by the SEA in the preceding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</si>
</sst>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_(* #,##0.0_);_(* \(#,##0.0\);_(* &quot;-&quot;??_);_(@_)"/>
    <numFmt numFmtId="166" formatCode="_(&quot;$&quot;* #,##0_);_(&quot;$&quot;* \(#,##0\);_(&quot;$&quot;* &quot;-&quot;??_);_(@_)"/>
    <numFmt numFmtId="167" formatCode="0.0"/>
  </numFmts>
  <fonts count="28" x14ac:knownFonts="1">
    <font>
      <sz val="11"/>
      <color theme="1"/>
      <name val="Calibri"/>
      <family val="2"/>
      <scheme val="minor"/>
    </font>
    <font>
      <sz val="10"/>
      <name val="Arial"/>
      <family val="2"/>
    </font>
    <font>
      <b/>
      <sz val="10"/>
      <name val="Arial"/>
      <family val="2"/>
    </font>
    <font>
      <sz val="11"/>
      <color theme="1"/>
      <name val="Calibri"/>
      <family val="2"/>
      <scheme val="minor"/>
    </font>
    <font>
      <b/>
      <sz val="10"/>
      <color theme="0"/>
      <name val="Arial"/>
      <family val="2"/>
    </font>
    <font>
      <b/>
      <sz val="9"/>
      <color theme="0"/>
      <name val="Arial"/>
      <family val="2"/>
    </font>
    <font>
      <sz val="10"/>
      <color rgb="FFFF0000"/>
      <name val="Arial"/>
      <family val="2"/>
    </font>
    <font>
      <b/>
      <sz val="11"/>
      <color theme="1"/>
      <name val="Calibri"/>
      <family val="2"/>
      <scheme val="minor"/>
    </font>
    <font>
      <sz val="10"/>
      <color theme="4"/>
      <name val="Arial"/>
      <family val="2"/>
    </font>
    <font>
      <b/>
      <sz val="12"/>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sz val="9"/>
      <name val="Arial"/>
      <family val="2"/>
    </font>
    <font>
      <b/>
      <sz val="9"/>
      <name val="Arial"/>
      <family val="2"/>
    </font>
    <font>
      <sz val="10"/>
      <color rgb="FFFF0000"/>
      <name val="Calibri"/>
      <family val="2"/>
      <scheme val="minor"/>
    </font>
    <font>
      <sz val="10"/>
      <name val="Calibri"/>
      <family val="2"/>
    </font>
    <font>
      <b/>
      <sz val="8"/>
      <color theme="0"/>
      <name val="Arial"/>
      <family val="2"/>
    </font>
    <font>
      <i/>
      <sz val="9"/>
      <name val="Arial"/>
      <family val="2"/>
    </font>
    <font>
      <b/>
      <sz val="12"/>
      <color theme="0"/>
      <name val="Calibri"/>
      <family val="2"/>
      <scheme val="minor"/>
    </font>
    <font>
      <b/>
      <sz val="12"/>
      <color theme="0"/>
      <name val="Arial"/>
      <family val="2"/>
    </font>
    <font>
      <b/>
      <sz val="9"/>
      <color theme="1"/>
      <name val="Calibri"/>
      <family val="2"/>
      <scheme val="minor"/>
    </font>
    <font>
      <sz val="9"/>
      <color indexed="81"/>
      <name val="Tahoma"/>
      <family val="2"/>
    </font>
    <font>
      <b/>
      <sz val="9"/>
      <color indexed="81"/>
      <name val="Tahoma"/>
      <family val="2"/>
    </font>
    <font>
      <sz val="10"/>
      <color rgb="FF000000"/>
      <name val="Arial"/>
      <family val="2"/>
    </font>
    <font>
      <sz val="10"/>
      <color theme="1"/>
      <name val="Arial"/>
      <family val="2"/>
    </font>
    <font>
      <b/>
      <sz val="12"/>
      <name val="Arial"/>
      <family val="2"/>
    </font>
  </fonts>
  <fills count="18">
    <fill>
      <patternFill patternType="none"/>
    </fill>
    <fill>
      <patternFill patternType="gray125"/>
    </fill>
    <fill>
      <patternFill patternType="solid">
        <fgColor theme="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343">
    <xf numFmtId="0" fontId="0" fillId="0" borderId="0" xfId="0"/>
    <xf numFmtId="0" fontId="1" fillId="0" borderId="0" xfId="1"/>
    <xf numFmtId="0" fontId="1" fillId="0" borderId="0" xfId="1" applyAlignment="1">
      <alignment horizontal="center"/>
    </xf>
    <xf numFmtId="0" fontId="2" fillId="0" borderId="0" xfId="1" applyFont="1"/>
    <xf numFmtId="164" fontId="1" fillId="0" borderId="0" xfId="2" applyNumberFormat="1" applyFont="1"/>
    <xf numFmtId="164" fontId="1" fillId="0" borderId="0" xfId="2" applyNumberFormat="1" applyFont="1" applyAlignment="1">
      <alignment horizontal="center"/>
    </xf>
    <xf numFmtId="0" fontId="2" fillId="0" borderId="0" xfId="1" applyFont="1" applyAlignment="1">
      <alignment wrapText="1"/>
    </xf>
    <xf numFmtId="0" fontId="7" fillId="0" borderId="0" xfId="0" applyFont="1"/>
    <xf numFmtId="0" fontId="9" fillId="0" borderId="0" xfId="0" applyFont="1"/>
    <xf numFmtId="0" fontId="10" fillId="0" borderId="0" xfId="0" applyFont="1"/>
    <xf numFmtId="0" fontId="9" fillId="0" borderId="0" xfId="0" applyFont="1" applyAlignment="1">
      <alignment horizontal="center" wrapText="1"/>
    </xf>
    <xf numFmtId="0" fontId="7" fillId="0" borderId="0" xfId="0" applyFont="1" applyAlignment="1">
      <alignment horizontal="center" wrapText="1"/>
    </xf>
    <xf numFmtId="0" fontId="10" fillId="0" borderId="0" xfId="0" applyFont="1" applyAlignment="1">
      <alignment horizontal="center" wrapText="1"/>
    </xf>
    <xf numFmtId="0" fontId="0" fillId="0" borderId="0" xfId="0" applyAlignment="1">
      <alignment horizontal="center" wrapText="1"/>
    </xf>
    <xf numFmtId="0" fontId="10" fillId="4" borderId="2" xfId="0" applyFont="1" applyFill="1" applyBorder="1" applyAlignment="1">
      <alignment horizontal="center" wrapText="1"/>
    </xf>
    <xf numFmtId="0" fontId="10" fillId="0" borderId="2" xfId="0" applyFont="1" applyBorder="1" applyAlignment="1">
      <alignment horizontal="center"/>
    </xf>
    <xf numFmtId="0" fontId="1" fillId="0" borderId="0" xfId="1" applyAlignment="1">
      <alignment horizontal="left" indent="2"/>
    </xf>
    <xf numFmtId="0" fontId="1" fillId="0" borderId="0" xfId="1" applyAlignment="1">
      <alignment horizontal="right"/>
    </xf>
    <xf numFmtId="9" fontId="1" fillId="0" borderId="0" xfId="3" applyFont="1" applyAlignment="1">
      <alignment horizontal="center"/>
    </xf>
    <xf numFmtId="0" fontId="1" fillId="0" borderId="0" xfId="1" applyBorder="1"/>
    <xf numFmtId="164" fontId="1" fillId="0" borderId="0" xfId="2" applyNumberFormat="1" applyFont="1" applyBorder="1"/>
    <xf numFmtId="0" fontId="10" fillId="0" borderId="2" xfId="0" applyFont="1" applyBorder="1"/>
    <xf numFmtId="0" fontId="11" fillId="0" borderId="0" xfId="0" applyFont="1"/>
    <xf numFmtId="0" fontId="10" fillId="0" borderId="0" xfId="0" applyFont="1" applyFill="1" applyBorder="1" applyAlignment="1">
      <alignment horizontal="center" wrapText="1"/>
    </xf>
    <xf numFmtId="0" fontId="10" fillId="0" borderId="0" xfId="0" applyFont="1" applyFill="1" applyBorder="1"/>
    <xf numFmtId="0" fontId="9" fillId="0" borderId="0" xfId="0" applyFont="1" applyAlignment="1">
      <alignment vertical="top"/>
    </xf>
    <xf numFmtId="0" fontId="7" fillId="0" borderId="0" xfId="0" applyFont="1" applyAlignment="1">
      <alignment vertical="top"/>
    </xf>
    <xf numFmtId="0" fontId="10" fillId="0" borderId="0" xfId="0" applyFont="1" applyAlignment="1">
      <alignment vertical="top"/>
    </xf>
    <xf numFmtId="0" fontId="0" fillId="0" borderId="0" xfId="0" applyAlignment="1">
      <alignment vertical="top"/>
    </xf>
    <xf numFmtId="0" fontId="10" fillId="0" borderId="2" xfId="0" applyFont="1" applyFill="1" applyBorder="1" applyAlignment="1">
      <alignment horizontal="center"/>
    </xf>
    <xf numFmtId="0" fontId="12" fillId="2" borderId="2" xfId="0" applyFont="1" applyFill="1" applyBorder="1" applyAlignment="1">
      <alignment wrapText="1"/>
    </xf>
    <xf numFmtId="0" fontId="12" fillId="2" borderId="2" xfId="0" applyFont="1" applyFill="1" applyBorder="1" applyAlignment="1">
      <alignment horizontal="center" wrapText="1"/>
    </xf>
    <xf numFmtId="0" fontId="10" fillId="0" borderId="4" xfId="0" applyFont="1" applyBorder="1"/>
    <xf numFmtId="0" fontId="11" fillId="6" borderId="3" xfId="0" applyFont="1" applyFill="1" applyBorder="1" applyAlignment="1">
      <alignment horizontal="right"/>
    </xf>
    <xf numFmtId="164" fontId="1" fillId="0" borderId="11" xfId="2" applyNumberFormat="1" applyFont="1" applyBorder="1" applyAlignment="1">
      <alignment horizontal="center"/>
    </xf>
    <xf numFmtId="164" fontId="1" fillId="0" borderId="0" xfId="2" applyNumberFormat="1" applyFont="1" applyBorder="1" applyAlignment="1">
      <alignment horizontal="center"/>
    </xf>
    <xf numFmtId="0" fontId="1" fillId="0" borderId="7" xfId="1" applyBorder="1"/>
    <xf numFmtId="164" fontId="1" fillId="5" borderId="11" xfId="2" applyNumberFormat="1" applyFont="1" applyFill="1" applyBorder="1" applyAlignment="1">
      <alignment horizontal="center"/>
    </xf>
    <xf numFmtId="164" fontId="1" fillId="5" borderId="0" xfId="2" applyNumberFormat="1" applyFont="1" applyFill="1" applyBorder="1" applyAlignment="1">
      <alignment horizontal="center"/>
    </xf>
    <xf numFmtId="164" fontId="1" fillId="5" borderId="7" xfId="2" applyNumberFormat="1" applyFont="1" applyFill="1" applyBorder="1" applyAlignment="1">
      <alignment horizontal="center"/>
    </xf>
    <xf numFmtId="1" fontId="1" fillId="0" borderId="0" xfId="2" applyNumberFormat="1" applyFont="1" applyBorder="1" applyAlignment="1">
      <alignment horizontal="right"/>
    </xf>
    <xf numFmtId="164" fontId="1" fillId="3" borderId="11" xfId="2" applyNumberFormat="1" applyFont="1" applyFill="1" applyBorder="1"/>
    <xf numFmtId="164" fontId="1" fillId="3" borderId="0" xfId="2" applyNumberFormat="1" applyFont="1" applyFill="1" applyBorder="1"/>
    <xf numFmtId="164" fontId="1" fillId="3" borderId="12" xfId="2" applyNumberFormat="1" applyFont="1" applyFill="1" applyBorder="1"/>
    <xf numFmtId="164" fontId="1" fillId="3" borderId="1" xfId="2" applyNumberFormat="1" applyFont="1" applyFill="1" applyBorder="1"/>
    <xf numFmtId="164" fontId="1" fillId="0" borderId="7" xfId="2" applyNumberFormat="1" applyFont="1" applyBorder="1" applyAlignment="1">
      <alignment horizontal="center"/>
    </xf>
    <xf numFmtId="164" fontId="1" fillId="3" borderId="7" xfId="2" applyNumberFormat="1" applyFont="1" applyFill="1" applyBorder="1"/>
    <xf numFmtId="164" fontId="1" fillId="3" borderId="13" xfId="2" applyNumberFormat="1" applyFont="1" applyFill="1" applyBorder="1"/>
    <xf numFmtId="0" fontId="4" fillId="2" borderId="11" xfId="1" applyFont="1" applyFill="1" applyBorder="1" applyAlignment="1">
      <alignment horizontal="center" wrapText="1"/>
    </xf>
    <xf numFmtId="0" fontId="4" fillId="2" borderId="0" xfId="1" applyFont="1" applyFill="1" applyBorder="1" applyAlignment="1">
      <alignment horizontal="center" wrapText="1"/>
    </xf>
    <xf numFmtId="0" fontId="4" fillId="2" borderId="7" xfId="1" applyFont="1" applyFill="1" applyBorder="1" applyAlignment="1">
      <alignment horizontal="center" wrapText="1"/>
    </xf>
    <xf numFmtId="0" fontId="1" fillId="0" borderId="11" xfId="1" applyBorder="1" applyAlignment="1">
      <alignment horizontal="center"/>
    </xf>
    <xf numFmtId="0" fontId="1" fillId="0" borderId="0" xfId="1" applyBorder="1" applyAlignment="1">
      <alignment horizontal="center"/>
    </xf>
    <xf numFmtId="0" fontId="1" fillId="0" borderId="7" xfId="1" applyBorder="1" applyAlignment="1">
      <alignment horizontal="center"/>
    </xf>
    <xf numFmtId="0" fontId="1" fillId="5" borderId="11" xfId="1" applyFill="1" applyBorder="1" applyAlignment="1">
      <alignment horizontal="center"/>
    </xf>
    <xf numFmtId="0" fontId="1" fillId="5" borderId="0" xfId="1" applyFill="1" applyBorder="1" applyAlignment="1">
      <alignment horizontal="center"/>
    </xf>
    <xf numFmtId="0" fontId="1" fillId="5" borderId="7" xfId="1" applyFill="1" applyBorder="1" applyAlignment="1">
      <alignment horizontal="center"/>
    </xf>
    <xf numFmtId="0" fontId="6" fillId="0" borderId="11" xfId="1" applyFont="1" applyBorder="1" applyAlignment="1">
      <alignment horizontal="center"/>
    </xf>
    <xf numFmtId="0" fontId="6" fillId="0" borderId="0" xfId="1" applyFont="1" applyBorder="1" applyAlignment="1">
      <alignment horizontal="center"/>
    </xf>
    <xf numFmtId="164" fontId="1" fillId="3" borderId="11" xfId="2" applyNumberFormat="1" applyFont="1" applyFill="1" applyBorder="1" applyAlignment="1">
      <alignment horizontal="center"/>
    </xf>
    <xf numFmtId="164" fontId="1" fillId="3" borderId="0" xfId="2" applyNumberFormat="1" applyFont="1" applyFill="1" applyBorder="1" applyAlignment="1">
      <alignment horizontal="center"/>
    </xf>
    <xf numFmtId="164" fontId="1" fillId="3" borderId="7" xfId="2" applyNumberFormat="1" applyFont="1" applyFill="1" applyBorder="1" applyAlignment="1">
      <alignment horizontal="center"/>
    </xf>
    <xf numFmtId="164" fontId="1" fillId="3" borderId="12" xfId="2" applyNumberFormat="1" applyFont="1" applyFill="1" applyBorder="1" applyAlignment="1"/>
    <xf numFmtId="164" fontId="1" fillId="3" borderId="1" xfId="2" applyNumberFormat="1" applyFont="1" applyFill="1" applyBorder="1" applyAlignment="1"/>
    <xf numFmtId="164" fontId="1" fillId="3" borderId="13" xfId="2" applyNumberFormat="1" applyFont="1" applyFill="1" applyBorder="1" applyAlignment="1"/>
    <xf numFmtId="0" fontId="4" fillId="2" borderId="8" xfId="1" applyFont="1" applyFill="1" applyBorder="1"/>
    <xf numFmtId="164" fontId="4" fillId="2" borderId="9" xfId="2" applyNumberFormat="1" applyFont="1" applyFill="1" applyBorder="1"/>
    <xf numFmtId="164" fontId="4" fillId="2" borderId="10" xfId="2" applyNumberFormat="1" applyFont="1" applyFill="1" applyBorder="1"/>
    <xf numFmtId="0" fontId="4" fillId="2" borderId="11" xfId="1" applyFont="1" applyFill="1" applyBorder="1" applyAlignment="1">
      <alignment wrapText="1"/>
    </xf>
    <xf numFmtId="164" fontId="4" fillId="2" borderId="0" xfId="2" applyNumberFormat="1" applyFont="1" applyFill="1" applyBorder="1" applyAlignment="1">
      <alignment horizontal="center" wrapText="1"/>
    </xf>
    <xf numFmtId="164" fontId="4" fillId="2" borderId="7" xfId="2" applyNumberFormat="1" applyFont="1" applyFill="1" applyBorder="1" applyAlignment="1">
      <alignment horizontal="center" wrapText="1"/>
    </xf>
    <xf numFmtId="0" fontId="1" fillId="0" borderId="11" xfId="1" applyBorder="1"/>
    <xf numFmtId="164" fontId="1" fillId="0" borderId="7" xfId="2" applyNumberFormat="1" applyFont="1" applyBorder="1"/>
    <xf numFmtId="0" fontId="1" fillId="5" borderId="11" xfId="1" applyFill="1" applyBorder="1"/>
    <xf numFmtId="164" fontId="1" fillId="5" borderId="0" xfId="2" applyNumberFormat="1" applyFont="1" applyFill="1" applyBorder="1"/>
    <xf numFmtId="164" fontId="1" fillId="5" borderId="7" xfId="2" applyNumberFormat="1" applyFont="1" applyFill="1" applyBorder="1"/>
    <xf numFmtId="164" fontId="8" fillId="0" borderId="0" xfId="2" applyNumberFormat="1" applyFont="1" applyBorder="1"/>
    <xf numFmtId="164" fontId="8" fillId="0" borderId="7" xfId="2" applyNumberFormat="1" applyFont="1" applyBorder="1"/>
    <xf numFmtId="0" fontId="1" fillId="3" borderId="11" xfId="1" applyFill="1" applyBorder="1" applyAlignment="1">
      <alignment horizontal="right"/>
    </xf>
    <xf numFmtId="0" fontId="1" fillId="3" borderId="12" xfId="1" applyFill="1" applyBorder="1" applyAlignment="1">
      <alignment horizontal="right"/>
    </xf>
    <xf numFmtId="164" fontId="10" fillId="0" borderId="2" xfId="2" applyNumberFormat="1" applyFont="1" applyBorder="1"/>
    <xf numFmtId="0" fontId="11" fillId="0" borderId="0" xfId="0" applyFont="1" applyAlignment="1">
      <alignment horizontal="right"/>
    </xf>
    <xf numFmtId="0" fontId="10" fillId="0" borderId="0" xfId="0" applyFont="1" applyAlignment="1">
      <alignment vertical="center"/>
    </xf>
    <xf numFmtId="9" fontId="10" fillId="0" borderId="2" xfId="3" applyFont="1" applyBorder="1" applyAlignment="1">
      <alignment vertical="center"/>
    </xf>
    <xf numFmtId="165" fontId="10" fillId="0" borderId="2" xfId="2" applyNumberFormat="1" applyFont="1" applyBorder="1" applyAlignment="1">
      <alignment vertical="center"/>
    </xf>
    <xf numFmtId="165" fontId="10" fillId="0" borderId="0" xfId="2" applyNumberFormat="1" applyFont="1"/>
    <xf numFmtId="165" fontId="10" fillId="4" borderId="2" xfId="2" applyNumberFormat="1" applyFont="1" applyFill="1" applyBorder="1" applyAlignment="1">
      <alignment horizontal="center" wrapText="1"/>
    </xf>
    <xf numFmtId="165" fontId="10" fillId="0" borderId="14" xfId="2" applyNumberFormat="1" applyFont="1" applyBorder="1"/>
    <xf numFmtId="165" fontId="11" fillId="0" borderId="0" xfId="2" applyNumberFormat="1" applyFont="1"/>
    <xf numFmtId="164" fontId="10" fillId="0" borderId="2" xfId="2" applyNumberFormat="1" applyFont="1" applyBorder="1" applyAlignment="1">
      <alignment vertical="center"/>
    </xf>
    <xf numFmtId="164" fontId="10" fillId="0" borderId="0" xfId="2" applyNumberFormat="1" applyFont="1"/>
    <xf numFmtId="164" fontId="10" fillId="4" borderId="2" xfId="2" applyNumberFormat="1" applyFont="1" applyFill="1" applyBorder="1" applyAlignment="1">
      <alignment horizontal="center" wrapText="1"/>
    </xf>
    <xf numFmtId="0" fontId="10" fillId="0" borderId="0" xfId="0" applyFont="1" applyAlignment="1">
      <alignment vertical="top" wrapText="1"/>
    </xf>
    <xf numFmtId="0" fontId="1" fillId="0" borderId="0" xfId="1" applyAlignment="1">
      <alignment wrapText="1"/>
    </xf>
    <xf numFmtId="165" fontId="1" fillId="0" borderId="0" xfId="2" applyNumberFormat="1" applyFont="1" applyAlignment="1">
      <alignment horizontal="center"/>
    </xf>
    <xf numFmtId="165" fontId="10" fillId="0" borderId="2" xfId="2" applyNumberFormat="1" applyFont="1" applyBorder="1"/>
    <xf numFmtId="165" fontId="10" fillId="0" borderId="4" xfId="2" applyNumberFormat="1" applyFont="1" applyBorder="1"/>
    <xf numFmtId="165" fontId="10" fillId="6" borderId="5" xfId="0" applyNumberFormat="1" applyFont="1" applyFill="1" applyBorder="1"/>
    <xf numFmtId="165" fontId="11" fillId="6" borderId="6" xfId="0" applyNumberFormat="1" applyFont="1" applyFill="1" applyBorder="1"/>
    <xf numFmtId="0" fontId="10" fillId="0" borderId="4" xfId="0" applyFont="1" applyBorder="1" applyAlignment="1">
      <alignment horizontal="center"/>
    </xf>
    <xf numFmtId="0" fontId="11" fillId="6" borderId="5" xfId="0" applyFont="1" applyFill="1" applyBorder="1" applyAlignment="1">
      <alignment horizontal="center"/>
    </xf>
    <xf numFmtId="164" fontId="10" fillId="0" borderId="2" xfId="2" applyNumberFormat="1" applyFont="1" applyBorder="1" applyAlignment="1">
      <alignment horizontal="center"/>
    </xf>
    <xf numFmtId="0" fontId="1" fillId="0" borderId="0" xfId="1" applyAlignment="1">
      <alignment vertical="top"/>
    </xf>
    <xf numFmtId="0" fontId="4" fillId="2" borderId="2" xfId="1" applyFont="1" applyFill="1" applyBorder="1" applyAlignment="1">
      <alignment horizontal="center" wrapText="1"/>
    </xf>
    <xf numFmtId="165" fontId="1" fillId="0" borderId="2" xfId="1" applyNumberFormat="1" applyBorder="1"/>
    <xf numFmtId="164" fontId="10" fillId="0" borderId="2" xfId="2" applyNumberFormat="1" applyFont="1" applyFill="1" applyBorder="1" applyAlignment="1">
      <alignment horizontal="center"/>
    </xf>
    <xf numFmtId="0" fontId="10" fillId="4" borderId="3" xfId="0" applyFont="1" applyFill="1" applyBorder="1" applyAlignment="1">
      <alignment horizontal="center" wrapText="1"/>
    </xf>
    <xf numFmtId="165" fontId="10" fillId="0" borderId="3" xfId="2" applyNumberFormat="1" applyFont="1" applyFill="1" applyBorder="1"/>
    <xf numFmtId="0" fontId="10" fillId="0" borderId="11" xfId="0" applyFont="1" applyFill="1" applyBorder="1" applyAlignment="1">
      <alignment horizontal="center" wrapText="1"/>
    </xf>
    <xf numFmtId="165" fontId="10" fillId="0" borderId="11" xfId="2" applyNumberFormat="1" applyFont="1" applyFill="1" applyBorder="1"/>
    <xf numFmtId="165" fontId="10" fillId="0" borderId="3" xfId="2" applyNumberFormat="1" applyFont="1" applyFill="1" applyBorder="1" applyAlignment="1">
      <alignment horizontal="center"/>
    </xf>
    <xf numFmtId="165" fontId="10" fillId="0" borderId="0" xfId="2" applyNumberFormat="1" applyFont="1" applyFill="1" applyBorder="1"/>
    <xf numFmtId="0" fontId="1" fillId="0" borderId="5" xfId="1" applyBorder="1"/>
    <xf numFmtId="165" fontId="4" fillId="2" borderId="2" xfId="2" applyNumberFormat="1" applyFont="1" applyFill="1" applyBorder="1" applyAlignment="1">
      <alignment horizontal="center" wrapText="1"/>
    </xf>
    <xf numFmtId="0" fontId="4" fillId="2" borderId="2" xfId="1" applyFont="1" applyFill="1" applyBorder="1" applyAlignment="1">
      <alignment wrapText="1"/>
    </xf>
    <xf numFmtId="43" fontId="10" fillId="0" borderId="2" xfId="2" applyNumberFormat="1" applyFont="1" applyFill="1" applyBorder="1" applyAlignment="1">
      <alignment horizontal="center"/>
    </xf>
    <xf numFmtId="43" fontId="10" fillId="0" borderId="2" xfId="2" applyNumberFormat="1" applyFont="1" applyFill="1" applyBorder="1"/>
    <xf numFmtId="164" fontId="5" fillId="2" borderId="11" xfId="2" applyNumberFormat="1" applyFont="1" applyFill="1" applyBorder="1" applyAlignment="1">
      <alignment horizontal="center" wrapText="1"/>
    </xf>
    <xf numFmtId="164" fontId="5" fillId="2" borderId="0" xfId="2" applyNumberFormat="1" applyFont="1" applyFill="1" applyBorder="1" applyAlignment="1">
      <alignment horizontal="center" wrapText="1"/>
    </xf>
    <xf numFmtId="164" fontId="5" fillId="2" borderId="7" xfId="2" applyNumberFormat="1" applyFont="1" applyFill="1" applyBorder="1" applyAlignment="1">
      <alignment horizontal="center" wrapText="1"/>
    </xf>
    <xf numFmtId="0" fontId="1" fillId="0" borderId="0" xfId="1" applyAlignment="1">
      <alignment horizontal="center" wrapText="1"/>
    </xf>
    <xf numFmtId="0" fontId="14" fillId="0" borderId="0" xfId="1" applyFont="1"/>
    <xf numFmtId="14" fontId="1" fillId="0" borderId="0" xfId="1" applyNumberFormat="1" applyAlignment="1">
      <alignment horizontal="center" wrapText="1"/>
    </xf>
    <xf numFmtId="14" fontId="1" fillId="0" borderId="0" xfId="1" applyNumberFormat="1"/>
    <xf numFmtId="14" fontId="2" fillId="0" borderId="0" xfId="1" applyNumberFormat="1" applyFont="1"/>
    <xf numFmtId="0" fontId="4" fillId="7" borderId="8" xfId="1" applyFont="1" applyFill="1" applyBorder="1" applyAlignment="1">
      <alignment horizontal="center" wrapText="1"/>
    </xf>
    <xf numFmtId="0" fontId="4" fillId="7" borderId="9" xfId="1" applyFont="1" applyFill="1" applyBorder="1" applyAlignment="1">
      <alignment horizontal="center" wrapText="1"/>
    </xf>
    <xf numFmtId="0" fontId="4" fillId="7" borderId="10" xfId="1" applyFont="1" applyFill="1" applyBorder="1" applyAlignment="1">
      <alignment horizontal="center" wrapText="1"/>
    </xf>
    <xf numFmtId="0" fontId="14" fillId="0" borderId="7" xfId="1" applyFont="1" applyBorder="1" applyAlignment="1">
      <alignment horizontal="left"/>
    </xf>
    <xf numFmtId="0" fontId="14" fillId="0" borderId="7" xfId="1" quotePrefix="1" applyFont="1" applyBorder="1"/>
    <xf numFmtId="0" fontId="14" fillId="0" borderId="7" xfId="1" applyFont="1" applyBorder="1"/>
    <xf numFmtId="0" fontId="2" fillId="6" borderId="8" xfId="1" applyFont="1" applyFill="1" applyBorder="1"/>
    <xf numFmtId="0" fontId="2" fillId="6" borderId="9" xfId="1" applyFont="1" applyFill="1" applyBorder="1"/>
    <xf numFmtId="0" fontId="2" fillId="6" borderId="9" xfId="1" applyFont="1" applyFill="1" applyBorder="1" applyAlignment="1">
      <alignment horizontal="right"/>
    </xf>
    <xf numFmtId="164" fontId="2" fillId="6" borderId="9" xfId="2" applyNumberFormat="1" applyFont="1" applyFill="1" applyBorder="1"/>
    <xf numFmtId="0" fontId="15" fillId="6" borderId="10" xfId="1" applyFont="1" applyFill="1" applyBorder="1"/>
    <xf numFmtId="0" fontId="2" fillId="6" borderId="12" xfId="1" applyFont="1" applyFill="1" applyBorder="1"/>
    <xf numFmtId="0" fontId="2" fillId="6" borderId="1" xfId="1" applyFont="1" applyFill="1" applyBorder="1"/>
    <xf numFmtId="0" fontId="2" fillId="6" borderId="1" xfId="1" applyFont="1" applyFill="1" applyBorder="1" applyAlignment="1">
      <alignment horizontal="right"/>
    </xf>
    <xf numFmtId="164" fontId="2" fillId="6" borderId="1" xfId="2" applyNumberFormat="1" applyFont="1" applyFill="1" applyBorder="1"/>
    <xf numFmtId="0" fontId="15" fillId="6" borderId="13" xfId="1" applyFont="1" applyFill="1" applyBorder="1"/>
    <xf numFmtId="0" fontId="14" fillId="0" borderId="0" xfId="1" applyFont="1" applyAlignment="1">
      <alignment wrapText="1"/>
    </xf>
    <xf numFmtId="43" fontId="1" fillId="0" borderId="2" xfId="2" applyNumberFormat="1" applyFont="1" applyBorder="1" applyAlignment="1">
      <alignment horizontal="center" vertical="top"/>
    </xf>
    <xf numFmtId="165" fontId="1" fillId="0" borderId="2" xfId="2" applyNumberFormat="1" applyFont="1" applyBorder="1" applyAlignment="1">
      <alignment horizontal="center" vertical="top"/>
    </xf>
    <xf numFmtId="0" fontId="1" fillId="0" borderId="2" xfId="1" applyBorder="1" applyAlignment="1">
      <alignment vertical="top" wrapText="1"/>
    </xf>
    <xf numFmtId="0" fontId="1" fillId="0" borderId="2" xfId="1" applyBorder="1" applyAlignment="1">
      <alignment horizontal="center" vertical="top"/>
    </xf>
    <xf numFmtId="165" fontId="1" fillId="8" borderId="2" xfId="2" applyNumberFormat="1" applyFont="1" applyFill="1" applyBorder="1" applyAlignment="1">
      <alignment horizontal="center" vertical="top"/>
    </xf>
    <xf numFmtId="0" fontId="1" fillId="8" borderId="2" xfId="1" applyFill="1" applyBorder="1" applyAlignment="1">
      <alignment vertical="top" wrapText="1"/>
    </xf>
    <xf numFmtId="0" fontId="1" fillId="8" borderId="2" xfId="1" applyFill="1" applyBorder="1" applyAlignment="1">
      <alignment horizontal="center" vertical="top"/>
    </xf>
    <xf numFmtId="164" fontId="1" fillId="0" borderId="11" xfId="2" applyNumberFormat="1" applyFont="1" applyBorder="1"/>
    <xf numFmtId="3" fontId="1" fillId="0" borderId="0" xfId="1" applyNumberFormat="1" applyBorder="1"/>
    <xf numFmtId="9" fontId="1" fillId="0" borderId="7" xfId="3" applyFont="1" applyBorder="1"/>
    <xf numFmtId="9" fontId="1" fillId="3" borderId="7" xfId="3" applyFont="1" applyFill="1" applyBorder="1"/>
    <xf numFmtId="9" fontId="1" fillId="0" borderId="2" xfId="3" applyFont="1" applyBorder="1" applyAlignment="1">
      <alignment horizontal="center" vertical="top"/>
    </xf>
    <xf numFmtId="43" fontId="1" fillId="8" borderId="2" xfId="2" applyNumberFormat="1" applyFont="1" applyFill="1" applyBorder="1" applyAlignment="1">
      <alignment horizontal="center" vertical="top"/>
    </xf>
    <xf numFmtId="0" fontId="1" fillId="0" borderId="0" xfId="1" applyAlignment="1">
      <alignment horizontal="left" indent="2"/>
    </xf>
    <xf numFmtId="0" fontId="16" fillId="0" borderId="0" xfId="0" applyFont="1" applyAlignment="1">
      <alignment vertical="center"/>
    </xf>
    <xf numFmtId="9" fontId="10" fillId="0" borderId="2" xfId="3" applyNumberFormat="1" applyFont="1" applyBorder="1" applyAlignment="1">
      <alignment vertical="center"/>
    </xf>
    <xf numFmtId="165" fontId="6" fillId="0" borderId="0" xfId="2" applyNumberFormat="1" applyFont="1" applyAlignment="1">
      <alignment horizontal="left"/>
    </xf>
    <xf numFmtId="165" fontId="1" fillId="0" borderId="2" xfId="2" applyNumberFormat="1" applyFont="1" applyFill="1" applyBorder="1" applyAlignment="1">
      <alignment horizontal="center" vertical="top"/>
    </xf>
    <xf numFmtId="0" fontId="1" fillId="0" borderId="0" xfId="1" quotePrefix="1"/>
    <xf numFmtId="0" fontId="1" fillId="0" borderId="3" xfId="1" applyBorder="1" applyAlignment="1">
      <alignment horizontal="center"/>
    </xf>
    <xf numFmtId="164" fontId="10" fillId="0" borderId="2" xfId="2" applyNumberFormat="1" applyFont="1" applyFill="1" applyBorder="1"/>
    <xf numFmtId="165" fontId="10" fillId="0" borderId="2" xfId="2" applyNumberFormat="1" applyFont="1" applyFill="1" applyBorder="1"/>
    <xf numFmtId="9" fontId="10" fillId="0" borderId="2" xfId="3" applyFont="1" applyFill="1" applyBorder="1" applyAlignment="1">
      <alignment horizontal="center"/>
    </xf>
    <xf numFmtId="43" fontId="10" fillId="0" borderId="2" xfId="2" applyNumberFormat="1" applyFont="1" applyFill="1" applyBorder="1" applyAlignment="1">
      <alignment vertical="center"/>
    </xf>
    <xf numFmtId="164" fontId="10" fillId="0" borderId="2" xfId="2" applyNumberFormat="1" applyFont="1" applyFill="1" applyBorder="1" applyAlignment="1">
      <alignment vertical="center"/>
    </xf>
    <xf numFmtId="165" fontId="10" fillId="0" borderId="2" xfId="2" applyNumberFormat="1" applyFont="1" applyFill="1" applyBorder="1" applyAlignment="1">
      <alignment vertical="center"/>
    </xf>
    <xf numFmtId="0" fontId="1" fillId="8" borderId="2" xfId="1" applyFill="1" applyBorder="1" applyAlignment="1">
      <alignment horizontal="center" vertical="top" wrapText="1"/>
    </xf>
    <xf numFmtId="0" fontId="1" fillId="0" borderId="2" xfId="1" applyBorder="1" applyAlignment="1">
      <alignment horizontal="center" vertical="top" wrapText="1"/>
    </xf>
    <xf numFmtId="9" fontId="1" fillId="0" borderId="2" xfId="3" applyFont="1" applyBorder="1" applyAlignment="1">
      <alignment horizontal="center" vertical="top" wrapText="1"/>
    </xf>
    <xf numFmtId="0" fontId="1" fillId="0" borderId="11" xfId="1" applyFont="1" applyBorder="1" applyAlignment="1">
      <alignment horizontal="center"/>
    </xf>
    <xf numFmtId="0" fontId="1" fillId="0" borderId="0" xfId="1" applyFont="1" applyBorder="1" applyAlignment="1">
      <alignment horizontal="center"/>
    </xf>
    <xf numFmtId="0" fontId="1" fillId="0" borderId="0" xfId="1" applyFill="1" applyBorder="1" applyAlignment="1">
      <alignment horizontal="center"/>
    </xf>
    <xf numFmtId="164" fontId="1" fillId="0" borderId="2" xfId="2" applyNumberFormat="1" applyFont="1" applyBorder="1"/>
    <xf numFmtId="0" fontId="1" fillId="6" borderId="0" xfId="1" applyFill="1" applyBorder="1" applyAlignment="1">
      <alignment horizontal="right"/>
    </xf>
    <xf numFmtId="0" fontId="2" fillId="0" borderId="0" xfId="1" applyFont="1" applyAlignment="1">
      <alignment horizontal="center" wrapText="1"/>
    </xf>
    <xf numFmtId="0" fontId="1" fillId="0" borderId="0" xfId="1" applyAlignment="1"/>
    <xf numFmtId="0" fontId="2" fillId="0" borderId="0" xfId="1" applyFont="1" applyAlignment="1"/>
    <xf numFmtId="0" fontId="2" fillId="0" borderId="0" xfId="1" applyFont="1" applyAlignment="1">
      <alignment vertical="top"/>
    </xf>
    <xf numFmtId="0" fontId="14" fillId="0" borderId="2" xfId="1" applyFont="1" applyBorder="1" applyAlignment="1">
      <alignment vertical="top" wrapText="1"/>
    </xf>
    <xf numFmtId="164" fontId="14" fillId="0" borderId="2" xfId="2" applyNumberFormat="1" applyFont="1" applyBorder="1" applyAlignment="1">
      <alignment vertical="top" wrapText="1"/>
    </xf>
    <xf numFmtId="164" fontId="14" fillId="0" borderId="2" xfId="1" applyNumberFormat="1" applyFont="1" applyBorder="1" applyAlignment="1">
      <alignment vertical="top" wrapText="1"/>
    </xf>
    <xf numFmtId="43" fontId="14" fillId="0" borderId="2" xfId="2" applyNumberFormat="1" applyFont="1" applyBorder="1" applyAlignment="1">
      <alignment vertical="top" wrapText="1"/>
    </xf>
    <xf numFmtId="0" fontId="14" fillId="6" borderId="0" xfId="1" applyFont="1" applyFill="1" applyBorder="1" applyAlignment="1"/>
    <xf numFmtId="0" fontId="14" fillId="6" borderId="0" xfId="1" applyFont="1" applyFill="1" applyBorder="1" applyAlignment="1">
      <alignment horizontal="right"/>
    </xf>
    <xf numFmtId="164" fontId="14" fillId="6" borderId="0" xfId="1" applyNumberFormat="1" applyFont="1" applyFill="1" applyBorder="1" applyAlignment="1"/>
    <xf numFmtId="165" fontId="14" fillId="6" borderId="0" xfId="1" applyNumberFormat="1" applyFont="1" applyFill="1" applyBorder="1" applyAlignment="1"/>
    <xf numFmtId="0" fontId="5" fillId="7" borderId="8" xfId="1" applyFont="1" applyFill="1" applyBorder="1" applyAlignment="1">
      <alignment horizontal="center" wrapText="1"/>
    </xf>
    <xf numFmtId="0" fontId="14" fillId="6" borderId="11" xfId="1" applyFont="1" applyFill="1" applyBorder="1" applyAlignment="1"/>
    <xf numFmtId="0" fontId="14" fillId="6" borderId="7" xfId="1" applyFont="1" applyFill="1" applyBorder="1" applyAlignment="1"/>
    <xf numFmtId="0" fontId="19" fillId="6" borderId="7" xfId="1" applyFont="1" applyFill="1" applyBorder="1" applyAlignment="1"/>
    <xf numFmtId="0" fontId="14" fillId="6" borderId="12" xfId="1" applyFont="1" applyFill="1" applyBorder="1" applyAlignment="1"/>
    <xf numFmtId="0" fontId="14" fillId="6" borderId="1" xfId="1" applyFont="1" applyFill="1" applyBorder="1" applyAlignment="1"/>
    <xf numFmtId="0" fontId="14" fillId="6" borderId="1" xfId="1" applyFont="1" applyFill="1" applyBorder="1" applyAlignment="1">
      <alignment horizontal="right"/>
    </xf>
    <xf numFmtId="165" fontId="14" fillId="6" borderId="1" xfId="1" applyNumberFormat="1" applyFont="1" applyFill="1" applyBorder="1" applyAlignment="1"/>
    <xf numFmtId="164" fontId="14" fillId="6" borderId="1" xfId="1" applyNumberFormat="1" applyFont="1" applyFill="1" applyBorder="1" applyAlignment="1"/>
    <xf numFmtId="0" fontId="19" fillId="6" borderId="13" xfId="1" applyFont="1" applyFill="1" applyBorder="1" applyAlignment="1"/>
    <xf numFmtId="0" fontId="2" fillId="6" borderId="8" xfId="1" applyFont="1" applyFill="1" applyBorder="1" applyAlignment="1">
      <alignment horizontal="center"/>
    </xf>
    <xf numFmtId="164" fontId="2" fillId="6" borderId="7" xfId="2" applyNumberFormat="1" applyFont="1" applyFill="1" applyBorder="1"/>
    <xf numFmtId="0" fontId="1" fillId="6" borderId="11" xfId="1" applyFill="1" applyBorder="1" applyAlignment="1">
      <alignment horizontal="center"/>
    </xf>
    <xf numFmtId="164" fontId="1" fillId="6" borderId="7" xfId="1" applyNumberFormat="1" applyFill="1" applyBorder="1"/>
    <xf numFmtId="165" fontId="1" fillId="6" borderId="7" xfId="1" applyNumberFormat="1" applyFill="1" applyBorder="1"/>
    <xf numFmtId="0" fontId="1" fillId="6" borderId="12" xfId="1" applyFill="1" applyBorder="1" applyAlignment="1">
      <alignment horizontal="center"/>
    </xf>
    <xf numFmtId="164" fontId="1" fillId="6" borderId="13" xfId="1" applyNumberFormat="1" applyFill="1" applyBorder="1"/>
    <xf numFmtId="165" fontId="14" fillId="0" borderId="2" xfId="2" applyNumberFormat="1" applyFont="1" applyBorder="1" applyAlignment="1">
      <alignment vertical="top" wrapText="1"/>
    </xf>
    <xf numFmtId="164" fontId="2" fillId="6" borderId="15" xfId="2" applyNumberFormat="1" applyFont="1" applyFill="1" applyBorder="1"/>
    <xf numFmtId="164" fontId="1" fillId="6" borderId="15" xfId="1" applyNumberFormat="1" applyFill="1" applyBorder="1"/>
    <xf numFmtId="165" fontId="1" fillId="6" borderId="15" xfId="1" applyNumberFormat="1" applyFill="1" applyBorder="1"/>
    <xf numFmtId="164" fontId="4" fillId="9" borderId="4" xfId="2" applyNumberFormat="1" applyFont="1" applyFill="1" applyBorder="1" applyAlignment="1">
      <alignment horizontal="center" wrapText="1"/>
    </xf>
    <xf numFmtId="0" fontId="14" fillId="0" borderId="16" xfId="1" applyFont="1" applyBorder="1" applyAlignment="1">
      <alignment vertical="top" wrapText="1"/>
    </xf>
    <xf numFmtId="165" fontId="14" fillId="0" borderId="16" xfId="2" applyNumberFormat="1" applyFont="1" applyBorder="1" applyAlignment="1">
      <alignment vertical="top" wrapText="1"/>
    </xf>
    <xf numFmtId="164" fontId="14" fillId="0" borderId="16" xfId="1" applyNumberFormat="1" applyFont="1" applyBorder="1" applyAlignment="1">
      <alignment vertical="top" wrapText="1"/>
    </xf>
    <xf numFmtId="0" fontId="5" fillId="7" borderId="3" xfId="1" applyFont="1" applyFill="1" applyBorder="1" applyAlignment="1">
      <alignment horizontal="center" wrapText="1"/>
    </xf>
    <xf numFmtId="0" fontId="5" fillId="7" borderId="5" xfId="1" applyFont="1" applyFill="1" applyBorder="1" applyAlignment="1">
      <alignment horizontal="center" wrapText="1"/>
    </xf>
    <xf numFmtId="0" fontId="5" fillId="7" borderId="6" xfId="1" applyFont="1" applyFill="1" applyBorder="1" applyAlignment="1">
      <alignment horizontal="center" wrapText="1"/>
    </xf>
    <xf numFmtId="164" fontId="14" fillId="0" borderId="16" xfId="2" applyNumberFormat="1" applyFont="1" applyBorder="1" applyAlignment="1">
      <alignment vertical="top" wrapText="1"/>
    </xf>
    <xf numFmtId="0" fontId="5" fillId="7" borderId="12" xfId="1" applyFont="1" applyFill="1" applyBorder="1" applyAlignment="1">
      <alignment horizontal="center" wrapText="1"/>
    </xf>
    <xf numFmtId="0" fontId="2" fillId="0" borderId="0" xfId="1" applyFont="1" applyAlignment="1">
      <alignment horizontal="center"/>
    </xf>
    <xf numFmtId="0" fontId="15" fillId="6" borderId="12" xfId="1" applyFont="1" applyFill="1" applyBorder="1" applyAlignment="1">
      <alignment horizontal="right"/>
    </xf>
    <xf numFmtId="165" fontId="15" fillId="6" borderId="1" xfId="1" applyNumberFormat="1" applyFont="1" applyFill="1" applyBorder="1" applyAlignment="1"/>
    <xf numFmtId="164" fontId="15" fillId="6" borderId="1" xfId="1" applyNumberFormat="1" applyFont="1" applyFill="1" applyBorder="1" applyAlignment="1"/>
    <xf numFmtId="0" fontId="15" fillId="10" borderId="3" xfId="1" applyFont="1" applyFill="1" applyBorder="1" applyAlignment="1">
      <alignment horizontal="center" wrapText="1"/>
    </xf>
    <xf numFmtId="0" fontId="15" fillId="10" borderId="1" xfId="1" applyFont="1" applyFill="1" applyBorder="1" applyAlignment="1">
      <alignment horizontal="center" wrapText="1"/>
    </xf>
    <xf numFmtId="0" fontId="15" fillId="10" borderId="13" xfId="1" applyFont="1" applyFill="1" applyBorder="1" applyAlignment="1">
      <alignment horizontal="center" wrapText="1"/>
    </xf>
    <xf numFmtId="0" fontId="0" fillId="0" borderId="0" xfId="0" applyAlignment="1">
      <alignment horizontal="right"/>
    </xf>
    <xf numFmtId="44" fontId="0" fillId="0" borderId="0" xfId="4" applyFont="1"/>
    <xf numFmtId="166" fontId="14" fillId="0" borderId="16" xfId="4" applyNumberFormat="1" applyFont="1" applyBorder="1" applyAlignment="1">
      <alignment vertical="top" wrapText="1"/>
    </xf>
    <xf numFmtId="164" fontId="15" fillId="6" borderId="1" xfId="1" applyNumberFormat="1" applyFont="1" applyFill="1" applyBorder="1" applyAlignment="1">
      <alignment horizontal="right"/>
    </xf>
    <xf numFmtId="165" fontId="14" fillId="6" borderId="0" xfId="1" applyNumberFormat="1" applyFont="1" applyFill="1" applyBorder="1" applyAlignment="1">
      <alignment horizontal="right"/>
    </xf>
    <xf numFmtId="165" fontId="15" fillId="6" borderId="1" xfId="1" applyNumberFormat="1" applyFont="1" applyFill="1" applyBorder="1" applyAlignment="1">
      <alignment horizontal="right"/>
    </xf>
    <xf numFmtId="166" fontId="14" fillId="6" borderId="7" xfId="4" applyNumberFormat="1" applyFont="1" applyFill="1" applyBorder="1" applyAlignment="1"/>
    <xf numFmtId="164" fontId="15" fillId="6" borderId="1" xfId="2" applyNumberFormat="1" applyFont="1" applyFill="1" applyBorder="1" applyAlignment="1"/>
    <xf numFmtId="166" fontId="15" fillId="6" borderId="13" xfId="4" applyNumberFormat="1" applyFont="1" applyFill="1" applyBorder="1" applyAlignment="1"/>
    <xf numFmtId="0" fontId="14" fillId="6" borderId="8" xfId="1" applyFont="1" applyFill="1" applyBorder="1" applyAlignment="1">
      <alignment horizontal="right"/>
    </xf>
    <xf numFmtId="164" fontId="14" fillId="6" borderId="9" xfId="2" applyNumberFormat="1" applyFont="1" applyFill="1" applyBorder="1" applyAlignment="1"/>
    <xf numFmtId="164" fontId="14" fillId="6" borderId="9" xfId="1" applyNumberFormat="1" applyFont="1" applyFill="1" applyBorder="1" applyAlignment="1">
      <alignment horizontal="right"/>
    </xf>
    <xf numFmtId="166" fontId="14" fillId="6" borderId="10" xfId="4" applyNumberFormat="1" applyFont="1" applyFill="1" applyBorder="1" applyAlignment="1"/>
    <xf numFmtId="164" fontId="1" fillId="0" borderId="2" xfId="1" applyNumberFormat="1" applyBorder="1"/>
    <xf numFmtId="166" fontId="1" fillId="0" borderId="2" xfId="4" applyNumberFormat="1" applyFont="1" applyBorder="1"/>
    <xf numFmtId="166" fontId="2" fillId="6" borderId="0" xfId="4" applyNumberFormat="1" applyFont="1" applyFill="1" applyBorder="1" applyAlignment="1">
      <alignment horizontal="right"/>
    </xf>
    <xf numFmtId="166" fontId="2" fillId="6" borderId="7" xfId="4" applyNumberFormat="1" applyFont="1" applyFill="1" applyBorder="1"/>
    <xf numFmtId="164" fontId="2" fillId="6" borderId="0" xfId="1" applyNumberFormat="1" applyFont="1" applyFill="1" applyBorder="1" applyAlignment="1">
      <alignment horizontal="right"/>
    </xf>
    <xf numFmtId="164" fontId="1" fillId="6" borderId="1" xfId="1" applyNumberFormat="1" applyFill="1" applyBorder="1" applyAlignment="1">
      <alignment horizontal="right"/>
    </xf>
    <xf numFmtId="44" fontId="1" fillId="6" borderId="1" xfId="1" applyNumberFormat="1" applyFill="1" applyBorder="1" applyAlignment="1">
      <alignment horizontal="right"/>
    </xf>
    <xf numFmtId="0" fontId="4" fillId="9" borderId="9" xfId="1" applyFont="1" applyFill="1" applyBorder="1" applyAlignment="1">
      <alignment horizontal="center" wrapText="1"/>
    </xf>
    <xf numFmtId="0" fontId="4" fillId="9" borderId="10" xfId="1" applyFont="1" applyFill="1" applyBorder="1" applyAlignment="1">
      <alignment horizontal="center" wrapText="1"/>
    </xf>
    <xf numFmtId="0" fontId="2" fillId="5" borderId="8" xfId="1" applyFont="1" applyFill="1" applyBorder="1"/>
    <xf numFmtId="0" fontId="2" fillId="5" borderId="9" xfId="1" applyFont="1" applyFill="1" applyBorder="1"/>
    <xf numFmtId="0" fontId="1" fillId="6" borderId="11" xfId="1" applyFill="1" applyBorder="1" applyAlignment="1">
      <alignment horizontal="right"/>
    </xf>
    <xf numFmtId="0" fontId="1" fillId="6" borderId="0" xfId="1" applyFill="1" applyBorder="1"/>
    <xf numFmtId="0" fontId="1" fillId="6" borderId="12" xfId="1" applyFill="1" applyBorder="1" applyAlignment="1">
      <alignment horizontal="right"/>
    </xf>
    <xf numFmtId="0" fontId="2" fillId="7" borderId="8" xfId="1" applyFont="1" applyFill="1" applyBorder="1" applyAlignment="1">
      <alignment horizontal="center" wrapText="1"/>
    </xf>
    <xf numFmtId="0" fontId="1" fillId="0" borderId="2" xfId="1" applyBorder="1" applyAlignment="1">
      <alignment horizontal="center"/>
    </xf>
    <xf numFmtId="2" fontId="1" fillId="0" borderId="2" xfId="1" applyNumberFormat="1" applyBorder="1" applyAlignment="1">
      <alignment horizontal="center"/>
    </xf>
    <xf numFmtId="166" fontId="1" fillId="6" borderId="0" xfId="4" applyNumberFormat="1" applyFont="1" applyFill="1" applyBorder="1"/>
    <xf numFmtId="166" fontId="1" fillId="6" borderId="7" xfId="4" applyNumberFormat="1" applyFont="1" applyFill="1" applyBorder="1"/>
    <xf numFmtId="166" fontId="2" fillId="5" borderId="9" xfId="4" applyNumberFormat="1" applyFont="1" applyFill="1" applyBorder="1"/>
    <xf numFmtId="166" fontId="2" fillId="5" borderId="10" xfId="4" applyNumberFormat="1" applyFont="1" applyFill="1" applyBorder="1"/>
    <xf numFmtId="0" fontId="2" fillId="6" borderId="12" xfId="1" applyFont="1" applyFill="1" applyBorder="1" applyAlignment="1">
      <alignment horizontal="right"/>
    </xf>
    <xf numFmtId="166" fontId="2" fillId="6" borderId="1" xfId="4" applyNumberFormat="1" applyFont="1" applyFill="1" applyBorder="1"/>
    <xf numFmtId="166" fontId="2" fillId="6" borderId="13" xfId="4" applyNumberFormat="1" applyFont="1" applyFill="1" applyBorder="1"/>
    <xf numFmtId="0" fontId="1" fillId="0" borderId="16" xfId="1" applyBorder="1" applyAlignment="1">
      <alignment horizontal="center"/>
    </xf>
    <xf numFmtId="2" fontId="1" fillId="0" borderId="16" xfId="1" applyNumberFormat="1" applyBorder="1" applyAlignment="1">
      <alignment horizontal="center"/>
    </xf>
    <xf numFmtId="166" fontId="1" fillId="0" borderId="16" xfId="4" applyNumberFormat="1" applyFont="1" applyBorder="1"/>
    <xf numFmtId="0" fontId="2" fillId="5" borderId="3" xfId="1" applyFont="1" applyFill="1" applyBorder="1"/>
    <xf numFmtId="0" fontId="2" fillId="5" borderId="5" xfId="1" applyFont="1" applyFill="1" applyBorder="1"/>
    <xf numFmtId="0" fontId="2" fillId="5" borderId="6" xfId="1" applyFont="1" applyFill="1" applyBorder="1"/>
    <xf numFmtId="164" fontId="10" fillId="0" borderId="0" xfId="0" applyNumberFormat="1" applyFont="1"/>
    <xf numFmtId="164" fontId="1" fillId="0" borderId="0" xfId="1" applyNumberFormat="1"/>
    <xf numFmtId="0" fontId="10" fillId="0" borderId="0" xfId="0" applyFont="1" applyAlignment="1">
      <alignment horizontal="right"/>
    </xf>
    <xf numFmtId="0" fontId="20" fillId="7" borderId="2" xfId="0" applyFont="1" applyFill="1" applyBorder="1" applyAlignment="1">
      <alignment vertical="top" wrapText="1"/>
    </xf>
    <xf numFmtId="0" fontId="20" fillId="7" borderId="2" xfId="0" applyFont="1" applyFill="1" applyBorder="1" applyAlignment="1">
      <alignment horizontal="center" vertical="top" wrapText="1"/>
    </xf>
    <xf numFmtId="0" fontId="20" fillId="7" borderId="2" xfId="0" applyFont="1" applyFill="1" applyBorder="1" applyAlignment="1">
      <alignment horizontal="center"/>
    </xf>
    <xf numFmtId="0" fontId="21" fillId="7" borderId="0" xfId="1" applyFont="1" applyFill="1"/>
    <xf numFmtId="0" fontId="22" fillId="8" borderId="2" xfId="0" applyFont="1" applyFill="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vertical="top"/>
    </xf>
    <xf numFmtId="16" fontId="10" fillId="0" borderId="2" xfId="0" applyNumberFormat="1" applyFont="1" applyBorder="1" applyAlignment="1">
      <alignment horizontal="center" vertical="top"/>
    </xf>
    <xf numFmtId="0" fontId="10" fillId="0" borderId="2" xfId="0" applyFont="1" applyBorder="1" applyAlignment="1">
      <alignment horizontal="left" vertical="top" wrapText="1"/>
    </xf>
    <xf numFmtId="164" fontId="1" fillId="0" borderId="7" xfId="2" applyNumberFormat="1" applyFont="1" applyFill="1" applyBorder="1"/>
    <xf numFmtId="0" fontId="1" fillId="0" borderId="0" xfId="1" applyAlignment="1">
      <alignment horizontal="left" indent="1"/>
    </xf>
    <xf numFmtId="0" fontId="2" fillId="0" borderId="0" xfId="1" applyFont="1" applyBorder="1" applyAlignment="1">
      <alignment vertical="top"/>
    </xf>
    <xf numFmtId="0" fontId="25" fillId="0" borderId="2" xfId="0" applyFont="1" applyBorder="1" applyAlignment="1">
      <alignment vertical="top" wrapText="1"/>
    </xf>
    <xf numFmtId="0" fontId="26" fillId="0" borderId="2" xfId="0" applyFont="1" applyBorder="1" applyAlignment="1">
      <alignment horizontal="center" vertical="top" wrapText="1"/>
    </xf>
    <xf numFmtId="0" fontId="1" fillId="0" borderId="2" xfId="1" applyFont="1" applyBorder="1" applyAlignment="1">
      <alignment horizontal="center" vertical="top"/>
    </xf>
    <xf numFmtId="0" fontId="1" fillId="0" borderId="0" xfId="1" applyFont="1" applyBorder="1" applyAlignment="1">
      <alignment vertical="top"/>
    </xf>
    <xf numFmtId="0" fontId="1" fillId="6" borderId="5" xfId="1" applyFont="1" applyFill="1" applyBorder="1" applyAlignment="1">
      <alignment horizontal="center" vertical="top"/>
    </xf>
    <xf numFmtId="0" fontId="1" fillId="6" borderId="6" xfId="1" applyFont="1" applyFill="1" applyBorder="1" applyAlignment="1">
      <alignment horizontal="center" vertical="top"/>
    </xf>
    <xf numFmtId="0" fontId="1" fillId="0" borderId="0" xfId="1" applyFont="1" applyBorder="1" applyAlignment="1">
      <alignment horizontal="center" vertical="top"/>
    </xf>
    <xf numFmtId="0" fontId="1" fillId="6" borderId="1" xfId="1" applyFill="1" applyBorder="1" applyAlignment="1">
      <alignment horizontal="right"/>
    </xf>
    <xf numFmtId="0" fontId="1" fillId="6" borderId="1" xfId="1" applyFill="1" applyBorder="1" applyAlignment="1">
      <alignment horizontal="center"/>
    </xf>
    <xf numFmtId="164" fontId="1" fillId="11" borderId="1" xfId="1" applyNumberFormat="1" applyFill="1" applyBorder="1" applyAlignment="1">
      <alignment horizontal="right"/>
    </xf>
    <xf numFmtId="44" fontId="1" fillId="11" borderId="1" xfId="1" applyNumberFormat="1" applyFill="1" applyBorder="1" applyAlignment="1">
      <alignment horizontal="right"/>
    </xf>
    <xf numFmtId="164" fontId="1" fillId="11" borderId="13" xfId="1" applyNumberFormat="1" applyFill="1" applyBorder="1"/>
    <xf numFmtId="0" fontId="1" fillId="0" borderId="0" xfId="1" applyFill="1"/>
    <xf numFmtId="43" fontId="1" fillId="0" borderId="0" xfId="1" applyNumberFormat="1" applyFont="1" applyBorder="1" applyAlignment="1">
      <alignment vertical="top"/>
    </xf>
    <xf numFmtId="9" fontId="1" fillId="0" borderId="0" xfId="3" applyFont="1" applyBorder="1" applyAlignment="1">
      <alignment vertical="top"/>
    </xf>
    <xf numFmtId="43" fontId="1" fillId="0" borderId="0" xfId="2" applyFont="1" applyBorder="1" applyAlignment="1">
      <alignment vertical="top"/>
    </xf>
    <xf numFmtId="0" fontId="2" fillId="0" borderId="0" xfId="1" applyFont="1" applyBorder="1" applyAlignment="1">
      <alignment horizontal="center" vertical="top" wrapText="1"/>
    </xf>
    <xf numFmtId="9" fontId="2" fillId="0" borderId="0" xfId="3" applyFont="1" applyBorder="1" applyAlignment="1">
      <alignment horizontal="center" vertical="top" wrapText="1"/>
    </xf>
    <xf numFmtId="44" fontId="1" fillId="0" borderId="0" xfId="1" applyNumberFormat="1"/>
    <xf numFmtId="0" fontId="2" fillId="6" borderId="3" xfId="1" applyFont="1" applyFill="1" applyBorder="1" applyAlignment="1">
      <alignment horizontal="center"/>
    </xf>
    <xf numFmtId="0" fontId="2" fillId="6" borderId="5" xfId="1" applyFont="1" applyFill="1" applyBorder="1" applyAlignment="1">
      <alignment horizontal="right"/>
    </xf>
    <xf numFmtId="164" fontId="2" fillId="6" borderId="13" xfId="2" applyNumberFormat="1" applyFont="1" applyFill="1" applyBorder="1"/>
    <xf numFmtId="43" fontId="1" fillId="0" borderId="0" xfId="1" applyNumberFormat="1"/>
    <xf numFmtId="0" fontId="4" fillId="7" borderId="2" xfId="1" applyFont="1" applyFill="1" applyBorder="1" applyAlignment="1">
      <alignment horizontal="center" wrapText="1"/>
    </xf>
    <xf numFmtId="0" fontId="4" fillId="7" borderId="2" xfId="1" applyFont="1" applyFill="1" applyBorder="1" applyAlignment="1">
      <alignment horizontal="center"/>
    </xf>
    <xf numFmtId="167" fontId="1" fillId="0" borderId="0" xfId="1" applyNumberFormat="1"/>
    <xf numFmtId="165" fontId="1" fillId="0" borderId="0" xfId="1" applyNumberFormat="1"/>
    <xf numFmtId="0" fontId="10" fillId="0" borderId="0" xfId="0" applyFont="1" applyAlignment="1">
      <alignment horizontal="left" vertical="top" wrapText="1"/>
    </xf>
    <xf numFmtId="0" fontId="9" fillId="0" borderId="0" xfId="0" applyFont="1" applyAlignment="1">
      <alignment horizontal="center"/>
    </xf>
    <xf numFmtId="0" fontId="9" fillId="0" borderId="7" xfId="0" applyFont="1" applyBorder="1" applyAlignment="1">
      <alignment horizontal="center"/>
    </xf>
    <xf numFmtId="0" fontId="10" fillId="0" borderId="0" xfId="0" quotePrefix="1" applyFont="1" applyAlignment="1">
      <alignment horizontal="left" vertical="top" wrapText="1" indent="2"/>
    </xf>
    <xf numFmtId="0" fontId="10" fillId="0" borderId="0" xfId="0" applyFont="1" applyAlignment="1">
      <alignment horizontal="left" vertical="top" wrapText="1" indent="2"/>
    </xf>
    <xf numFmtId="0" fontId="13" fillId="0" borderId="0" xfId="0" quotePrefix="1" applyFont="1" applyAlignment="1">
      <alignment horizontal="left" vertical="top" wrapText="1" indent="2"/>
    </xf>
    <xf numFmtId="0" fontId="13" fillId="0" borderId="0" xfId="0" applyFont="1" applyAlignment="1">
      <alignment horizontal="left" vertical="top" wrapText="1" indent="2"/>
    </xf>
    <xf numFmtId="0" fontId="1" fillId="0" borderId="0" xfId="1" applyAlignment="1">
      <alignment horizontal="left" vertical="top" wrapText="1"/>
    </xf>
    <xf numFmtId="0" fontId="1" fillId="0" borderId="0" xfId="1" applyFont="1" applyFill="1" applyAlignment="1">
      <alignment horizontal="left" vertical="top" wrapText="1"/>
    </xf>
    <xf numFmtId="0" fontId="4" fillId="7" borderId="3" xfId="1" applyFont="1" applyFill="1" applyBorder="1" applyAlignment="1">
      <alignment horizontal="left"/>
    </xf>
    <xf numFmtId="0" fontId="4" fillId="7" borderId="5" xfId="1" applyFont="1" applyFill="1" applyBorder="1" applyAlignment="1">
      <alignment horizontal="left"/>
    </xf>
    <xf numFmtId="0" fontId="2" fillId="0" borderId="1" xfId="1" applyFont="1" applyBorder="1" applyAlignment="1">
      <alignment horizontal="center"/>
    </xf>
    <xf numFmtId="0" fontId="4" fillId="7" borderId="3" xfId="1" applyFont="1" applyFill="1" applyBorder="1" applyAlignment="1">
      <alignment horizontal="left" wrapText="1"/>
    </xf>
    <xf numFmtId="0" fontId="1" fillId="0" borderId="0" xfId="1" applyAlignment="1">
      <alignment horizontal="left" indent="2"/>
    </xf>
    <xf numFmtId="164" fontId="4" fillId="2" borderId="8" xfId="2" applyNumberFormat="1" applyFont="1" applyFill="1" applyBorder="1" applyAlignment="1">
      <alignment horizontal="center"/>
    </xf>
    <xf numFmtId="164" fontId="4" fillId="2" borderId="9" xfId="2" applyNumberFormat="1" applyFont="1" applyFill="1" applyBorder="1" applyAlignment="1">
      <alignment horizontal="center"/>
    </xf>
    <xf numFmtId="164" fontId="4" fillId="2" borderId="10" xfId="2" applyNumberFormat="1" applyFont="1" applyFill="1" applyBorder="1" applyAlignment="1">
      <alignment horizontal="center"/>
    </xf>
    <xf numFmtId="164" fontId="5" fillId="2" borderId="11" xfId="2" applyNumberFormat="1" applyFont="1" applyFill="1" applyBorder="1" applyAlignment="1">
      <alignment horizontal="center" wrapText="1"/>
    </xf>
    <xf numFmtId="164" fontId="5" fillId="2" borderId="0" xfId="2" applyNumberFormat="1" applyFont="1" applyFill="1" applyBorder="1" applyAlignment="1">
      <alignment horizontal="center" wrapText="1"/>
    </xf>
    <xf numFmtId="164" fontId="5" fillId="2" borderId="7" xfId="2" applyNumberFormat="1" applyFont="1" applyFill="1" applyBorder="1" applyAlignment="1">
      <alignment horizontal="center" wrapText="1"/>
    </xf>
    <xf numFmtId="0" fontId="4" fillId="2" borderId="3" xfId="1" applyFont="1" applyFill="1" applyBorder="1" applyAlignment="1">
      <alignment horizontal="center"/>
    </xf>
    <xf numFmtId="0" fontId="4" fillId="2" borderId="5" xfId="1" applyFont="1" applyFill="1" applyBorder="1" applyAlignment="1">
      <alignment horizontal="center"/>
    </xf>
    <xf numFmtId="0" fontId="4" fillId="2" borderId="6" xfId="1" applyFont="1" applyFill="1" applyBorder="1" applyAlignment="1">
      <alignment horizontal="center"/>
    </xf>
    <xf numFmtId="0" fontId="1" fillId="0" borderId="0" xfId="1" applyAlignment="1">
      <alignment horizontal="left"/>
    </xf>
    <xf numFmtId="0" fontId="4" fillId="7" borderId="0" xfId="1" applyFont="1" applyFill="1" applyBorder="1" applyAlignment="1">
      <alignment horizontal="center"/>
    </xf>
    <xf numFmtId="0" fontId="4" fillId="7" borderId="7" xfId="1" applyFont="1" applyFill="1" applyBorder="1" applyAlignment="1">
      <alignment horizontal="center"/>
    </xf>
    <xf numFmtId="0" fontId="2" fillId="6" borderId="0" xfId="1" applyFont="1" applyFill="1" applyBorder="1" applyAlignment="1">
      <alignment horizontal="center" vertical="top"/>
    </xf>
    <xf numFmtId="0" fontId="2" fillId="13" borderId="2" xfId="1" applyFont="1" applyFill="1" applyBorder="1" applyAlignment="1">
      <alignment horizontal="center" vertical="center" wrapText="1"/>
    </xf>
    <xf numFmtId="0" fontId="2" fillId="14" borderId="2" xfId="1" applyFont="1" applyFill="1" applyBorder="1" applyAlignment="1">
      <alignment horizontal="center" vertical="center" wrapText="1"/>
    </xf>
    <xf numFmtId="0" fontId="2" fillId="15" borderId="2" xfId="1" applyFont="1" applyFill="1" applyBorder="1" applyAlignment="1">
      <alignment horizontal="center" vertical="center"/>
    </xf>
    <xf numFmtId="0" fontId="27" fillId="16" borderId="2" xfId="1" applyFont="1" applyFill="1" applyBorder="1" applyAlignment="1">
      <alignment horizontal="center" vertical="center"/>
    </xf>
    <xf numFmtId="0" fontId="27" fillId="17" borderId="2" xfId="1" applyFont="1" applyFill="1" applyBorder="1" applyAlignment="1">
      <alignment horizontal="center" vertical="center"/>
    </xf>
    <xf numFmtId="0" fontId="21" fillId="12" borderId="2" xfId="1" applyFont="1" applyFill="1" applyBorder="1" applyAlignment="1">
      <alignment horizontal="center" vertical="center" textRotation="90" wrapText="1"/>
    </xf>
  </cellXfs>
  <cellStyles count="5">
    <cellStyle name="Comma" xfId="2" builtinId="3"/>
    <cellStyle name="Currency" xfId="4" builtinId="4"/>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5"/>
  <sheetViews>
    <sheetView zoomScale="90" zoomScaleNormal="90" workbookViewId="0">
      <selection activeCell="P16" sqref="P16"/>
    </sheetView>
  </sheetViews>
  <sheetFormatPr defaultRowHeight="15.75" outlineLevelRow="1" x14ac:dyDescent="0.25"/>
  <cols>
    <col min="1" max="1" width="3.85546875" style="8" customWidth="1"/>
    <col min="2" max="2" width="4.5703125" style="7" customWidth="1"/>
    <col min="3" max="8" width="10.42578125" style="9" customWidth="1"/>
    <col min="9" max="9" width="4.85546875" style="9" customWidth="1"/>
    <col min="10" max="10" width="2.140625" style="9" customWidth="1"/>
    <col min="11" max="11" width="45.7109375" style="9" customWidth="1"/>
    <col min="12" max="13" width="10.42578125" style="9" customWidth="1"/>
    <col min="14" max="15" width="10.5703125" style="9" customWidth="1"/>
    <col min="16" max="22" width="9.140625" style="9"/>
  </cols>
  <sheetData>
    <row r="1" spans="1:15" x14ac:dyDescent="0.25">
      <c r="K1" s="8" t="s">
        <v>285</v>
      </c>
      <c r="L1" s="8"/>
    </row>
    <row r="2" spans="1:15" ht="26.25" x14ac:dyDescent="0.25">
      <c r="K2" s="30" t="s">
        <v>105</v>
      </c>
      <c r="L2" s="31" t="s">
        <v>154</v>
      </c>
      <c r="M2" s="31" t="s">
        <v>107</v>
      </c>
      <c r="N2" s="31" t="s">
        <v>106</v>
      </c>
      <c r="O2" s="31" t="s">
        <v>155</v>
      </c>
    </row>
    <row r="3" spans="1:15" x14ac:dyDescent="0.25">
      <c r="K3" s="21" t="s">
        <v>108</v>
      </c>
      <c r="L3" s="15">
        <f>C33</f>
        <v>22</v>
      </c>
      <c r="M3" s="95">
        <f>H33+H37</f>
        <v>0</v>
      </c>
      <c r="N3" s="95">
        <f>H17+H22+H27</f>
        <v>0</v>
      </c>
      <c r="O3" s="95">
        <f t="shared" ref="O3:O11" si="0">SUM(M3:N3)</f>
        <v>0</v>
      </c>
    </row>
    <row r="4" spans="1:15" x14ac:dyDescent="0.25">
      <c r="K4" s="21" t="s">
        <v>133</v>
      </c>
      <c r="L4" s="15">
        <f>C60</f>
        <v>7</v>
      </c>
      <c r="M4" s="95">
        <f>H60+H64</f>
        <v>0</v>
      </c>
      <c r="N4" s="95">
        <f>H44+H49+H54</f>
        <v>20387.523732235939</v>
      </c>
      <c r="O4" s="95">
        <f t="shared" si="0"/>
        <v>20387.523732235939</v>
      </c>
    </row>
    <row r="5" spans="1:15" x14ac:dyDescent="0.25">
      <c r="K5" s="21" t="s">
        <v>109</v>
      </c>
      <c r="L5" s="15">
        <f>C87</f>
        <v>4</v>
      </c>
      <c r="M5" s="95">
        <f>H87+H91</f>
        <v>235.2</v>
      </c>
      <c r="N5" s="95">
        <f>H71+H76+H81</f>
        <v>31520.729604415927</v>
      </c>
      <c r="O5" s="95">
        <f t="shared" si="0"/>
        <v>31755.929604415927</v>
      </c>
    </row>
    <row r="6" spans="1:15" x14ac:dyDescent="0.25">
      <c r="A6" s="311" t="s">
        <v>117</v>
      </c>
      <c r="B6" s="311"/>
      <c r="C6" s="311"/>
      <c r="D6" s="311"/>
      <c r="E6" s="311"/>
      <c r="F6" s="311"/>
      <c r="G6" s="311"/>
      <c r="H6" s="311"/>
      <c r="I6" s="311"/>
      <c r="J6" s="312"/>
      <c r="K6" s="21" t="s">
        <v>110</v>
      </c>
      <c r="L6" s="15">
        <f>C114</f>
        <v>0</v>
      </c>
      <c r="M6" s="95">
        <f>H114+H118</f>
        <v>0</v>
      </c>
      <c r="N6" s="95">
        <f>H98+H103+H108</f>
        <v>0</v>
      </c>
      <c r="O6" s="95">
        <f t="shared" si="0"/>
        <v>0</v>
      </c>
    </row>
    <row r="7" spans="1:15" x14ac:dyDescent="0.25">
      <c r="K7" s="21" t="s">
        <v>111</v>
      </c>
      <c r="L7" s="15">
        <f>C141</f>
        <v>2</v>
      </c>
      <c r="M7" s="95">
        <f>H141+H145</f>
        <v>127.6</v>
      </c>
      <c r="N7" s="95">
        <f>H125+H130+H135</f>
        <v>11.5</v>
      </c>
      <c r="O7" s="95">
        <f t="shared" si="0"/>
        <v>139.1</v>
      </c>
    </row>
    <row r="8" spans="1:15" x14ac:dyDescent="0.25">
      <c r="K8" s="21" t="s">
        <v>112</v>
      </c>
      <c r="L8" s="15">
        <f>C168</f>
        <v>1</v>
      </c>
      <c r="M8" s="95">
        <f>H168+H172</f>
        <v>63.8</v>
      </c>
      <c r="N8" s="95">
        <f>H152+H157+H162</f>
        <v>5333.492855667263</v>
      </c>
      <c r="O8" s="95">
        <f t="shared" si="0"/>
        <v>5397.2928556672632</v>
      </c>
    </row>
    <row r="9" spans="1:15" x14ac:dyDescent="0.25">
      <c r="K9" s="21" t="s">
        <v>113</v>
      </c>
      <c r="L9" s="15">
        <f>C195</f>
        <v>9</v>
      </c>
      <c r="M9" s="95">
        <f>H195+H199</f>
        <v>1103.3999999999999</v>
      </c>
      <c r="N9" s="95">
        <f>H179+H184+H189</f>
        <v>2230.1372965247729</v>
      </c>
      <c r="O9" s="95">
        <f t="shared" si="0"/>
        <v>3333.5372965247725</v>
      </c>
    </row>
    <row r="10" spans="1:15" x14ac:dyDescent="0.25">
      <c r="K10" s="21" t="s">
        <v>114</v>
      </c>
      <c r="L10" s="15">
        <f>C222</f>
        <v>4</v>
      </c>
      <c r="M10" s="95">
        <f>H222+H226</f>
        <v>490.4</v>
      </c>
      <c r="N10" s="95">
        <f>H206+H211+H216</f>
        <v>3082.1781674208146</v>
      </c>
      <c r="O10" s="95">
        <f t="shared" si="0"/>
        <v>3572.5781674208147</v>
      </c>
    </row>
    <row r="11" spans="1:15" x14ac:dyDescent="0.25">
      <c r="K11" s="32" t="s">
        <v>115</v>
      </c>
      <c r="L11" s="99">
        <f>C249</f>
        <v>1</v>
      </c>
      <c r="M11" s="96">
        <f>H249+H253</f>
        <v>240.60000000000002</v>
      </c>
      <c r="N11" s="96">
        <f>H233+H238+H243</f>
        <v>125.04166666666667</v>
      </c>
      <c r="O11" s="96">
        <f t="shared" si="0"/>
        <v>365.64166666666671</v>
      </c>
    </row>
    <row r="12" spans="1:15" x14ac:dyDescent="0.25">
      <c r="K12" s="33" t="s">
        <v>116</v>
      </c>
      <c r="L12" s="100">
        <f>SUM(L3:L11)</f>
        <v>50</v>
      </c>
      <c r="M12" s="97">
        <f>SUM(M3:M11)</f>
        <v>2260.9999999999995</v>
      </c>
      <c r="N12" s="97">
        <f>SUM(N3:N11)</f>
        <v>62690.603322931376</v>
      </c>
      <c r="O12" s="98">
        <f>SUM(O3:O11)</f>
        <v>64951.603322931383</v>
      </c>
    </row>
    <row r="13" spans="1:15" x14ac:dyDescent="0.25">
      <c r="A13" s="8" t="s">
        <v>78</v>
      </c>
    </row>
    <row r="14" spans="1:15" outlineLevel="1" x14ac:dyDescent="0.25">
      <c r="B14" s="7" t="s">
        <v>86</v>
      </c>
      <c r="K14" s="9" t="s">
        <v>334</v>
      </c>
      <c r="L14" s="9">
        <f>SUM(L4:L11)</f>
        <v>28</v>
      </c>
    </row>
    <row r="15" spans="1:15" outlineLevel="1" x14ac:dyDescent="0.25">
      <c r="C15" s="22" t="s">
        <v>87</v>
      </c>
    </row>
    <row r="16" spans="1:15" ht="39" outlineLevel="1" x14ac:dyDescent="0.25">
      <c r="A16" s="10"/>
      <c r="B16" s="11"/>
      <c r="C16" s="13"/>
      <c r="D16" s="13"/>
      <c r="E16" s="14" t="s">
        <v>96</v>
      </c>
      <c r="F16" s="14" t="s">
        <v>95</v>
      </c>
      <c r="G16" s="14" t="s">
        <v>89</v>
      </c>
      <c r="H16" s="14" t="s">
        <v>173</v>
      </c>
    </row>
    <row r="17" spans="1:22" outlineLevel="1" x14ac:dyDescent="0.25">
      <c r="E17" s="80">
        <f>'State Data'!J56</f>
        <v>179086</v>
      </c>
      <c r="F17" s="80">
        <f>'State Data'!K56</f>
        <v>0</v>
      </c>
      <c r="G17" s="116">
        <f>'State Q&amp;A'!A2</f>
        <v>0.875</v>
      </c>
      <c r="H17" s="80">
        <f>F17*G17</f>
        <v>0</v>
      </c>
    </row>
    <row r="18" spans="1:22" s="28" customFormat="1" ht="54.75" customHeight="1" outlineLevel="1" x14ac:dyDescent="0.25">
      <c r="A18" s="25"/>
      <c r="B18" s="26"/>
      <c r="C18" s="310" t="s">
        <v>210</v>
      </c>
      <c r="D18" s="310"/>
      <c r="E18" s="310"/>
      <c r="F18" s="310"/>
      <c r="G18" s="310"/>
      <c r="H18" s="310"/>
      <c r="I18" s="27"/>
      <c r="J18" s="27"/>
      <c r="K18" s="27"/>
      <c r="L18" s="27"/>
      <c r="M18" s="27"/>
      <c r="N18" s="27"/>
      <c r="O18" s="27"/>
      <c r="P18" s="27"/>
      <c r="Q18" s="27"/>
      <c r="R18" s="27"/>
      <c r="S18" s="27"/>
      <c r="T18" s="27"/>
      <c r="U18" s="27"/>
      <c r="V18" s="27"/>
    </row>
    <row r="19" spans="1:22" outlineLevel="1" x14ac:dyDescent="0.25"/>
    <row r="20" spans="1:22" outlineLevel="1" x14ac:dyDescent="0.25">
      <c r="C20" s="22" t="s">
        <v>88</v>
      </c>
    </row>
    <row r="21" spans="1:22" ht="39" outlineLevel="1" x14ac:dyDescent="0.25">
      <c r="A21" s="10"/>
      <c r="B21" s="11"/>
      <c r="C21" s="13"/>
      <c r="D21" s="13"/>
      <c r="E21" s="14" t="s">
        <v>92</v>
      </c>
      <c r="F21" s="14" t="s">
        <v>130</v>
      </c>
      <c r="G21" s="14" t="s">
        <v>89</v>
      </c>
      <c r="H21" s="14" t="s">
        <v>173</v>
      </c>
    </row>
    <row r="22" spans="1:22" outlineLevel="1" x14ac:dyDescent="0.25">
      <c r="E22" s="80">
        <f>'State Data'!L56</f>
        <v>54901</v>
      </c>
      <c r="F22" s="80">
        <f>(F17/E17)*E22</f>
        <v>0</v>
      </c>
      <c r="G22" s="116">
        <f>'State Q&amp;A'!A4</f>
        <v>8.3333333333333329E-2</v>
      </c>
      <c r="H22" s="80">
        <f>F22*G22</f>
        <v>0</v>
      </c>
    </row>
    <row r="23" spans="1:22" ht="86.25" customHeight="1" outlineLevel="1" x14ac:dyDescent="0.25">
      <c r="C23" s="310" t="s">
        <v>132</v>
      </c>
      <c r="D23" s="310"/>
      <c r="E23" s="310"/>
      <c r="F23" s="310"/>
      <c r="G23" s="310"/>
      <c r="H23" s="310"/>
    </row>
    <row r="24" spans="1:22" outlineLevel="1" x14ac:dyDescent="0.25"/>
    <row r="25" spans="1:22" outlineLevel="1" x14ac:dyDescent="0.25">
      <c r="C25" s="22" t="s">
        <v>98</v>
      </c>
    </row>
    <row r="26" spans="1:22" ht="51.75" outlineLevel="1" x14ac:dyDescent="0.25">
      <c r="C26" s="13"/>
      <c r="D26" s="13"/>
      <c r="E26" s="14" t="s">
        <v>93</v>
      </c>
      <c r="F26" s="14" t="s">
        <v>131</v>
      </c>
      <c r="G26" s="14" t="s">
        <v>89</v>
      </c>
      <c r="H26" s="14" t="s">
        <v>173</v>
      </c>
    </row>
    <row r="27" spans="1:22" outlineLevel="1" x14ac:dyDescent="0.25">
      <c r="E27" s="80">
        <f>'State Data'!M56</f>
        <v>35327.144260727371</v>
      </c>
      <c r="F27" s="80">
        <f>(F17/E17)*E27</f>
        <v>0</v>
      </c>
      <c r="G27" s="116">
        <f>'State Q&amp;A'!A6</f>
        <v>0.91666666666666663</v>
      </c>
      <c r="H27" s="80">
        <f>F27*G27</f>
        <v>0</v>
      </c>
    </row>
    <row r="28" spans="1:22" ht="137.25" customHeight="1" outlineLevel="1" x14ac:dyDescent="0.25">
      <c r="C28" s="310" t="s">
        <v>489</v>
      </c>
      <c r="D28" s="310"/>
      <c r="E28" s="310"/>
      <c r="F28" s="310"/>
      <c r="G28" s="310"/>
      <c r="H28" s="310"/>
    </row>
    <row r="29" spans="1:22" outlineLevel="1" x14ac:dyDescent="0.25"/>
    <row r="30" spans="1:22" outlineLevel="1" x14ac:dyDescent="0.25">
      <c r="B30" s="7" t="s">
        <v>94</v>
      </c>
    </row>
    <row r="31" spans="1:22" outlineLevel="1" x14ac:dyDescent="0.25">
      <c r="C31" s="22" t="s">
        <v>79</v>
      </c>
    </row>
    <row r="32" spans="1:22" ht="39" outlineLevel="1" x14ac:dyDescent="0.25">
      <c r="C32" s="14" t="s">
        <v>81</v>
      </c>
      <c r="D32" s="14" t="s">
        <v>82</v>
      </c>
      <c r="E32" s="14" t="s">
        <v>83</v>
      </c>
      <c r="F32" s="14" t="s">
        <v>84</v>
      </c>
      <c r="G32" s="14" t="s">
        <v>85</v>
      </c>
      <c r="H32" s="14" t="s">
        <v>173</v>
      </c>
    </row>
    <row r="33" spans="1:22" outlineLevel="1" x14ac:dyDescent="0.25">
      <c r="C33" s="15">
        <f>'State Data'!J57</f>
        <v>22</v>
      </c>
      <c r="D33" s="29">
        <v>0</v>
      </c>
      <c r="E33" s="29">
        <v>0</v>
      </c>
      <c r="F33" s="29">
        <v>0</v>
      </c>
      <c r="G33" s="29">
        <f>SUM(D33:F33)</f>
        <v>0</v>
      </c>
      <c r="H33" s="15">
        <f>G33*C33</f>
        <v>0</v>
      </c>
    </row>
    <row r="34" spans="1:22" outlineLevel="1" x14ac:dyDescent="0.25"/>
    <row r="35" spans="1:22" outlineLevel="1" x14ac:dyDescent="0.25">
      <c r="C35" s="22" t="s">
        <v>174</v>
      </c>
    </row>
    <row r="36" spans="1:22" ht="26.25" outlineLevel="1" x14ac:dyDescent="0.25">
      <c r="C36" s="13"/>
      <c r="D36" s="13"/>
      <c r="E36" s="13"/>
      <c r="F36" s="23"/>
      <c r="G36" s="23"/>
      <c r="H36" s="14" t="s">
        <v>173</v>
      </c>
    </row>
    <row r="37" spans="1:22" outlineLevel="1" x14ac:dyDescent="0.25">
      <c r="F37" s="24"/>
      <c r="G37" s="24"/>
      <c r="H37" s="21">
        <v>0</v>
      </c>
    </row>
    <row r="38" spans="1:22" ht="81.75" customHeight="1" outlineLevel="1" x14ac:dyDescent="0.25">
      <c r="C38" s="310" t="s">
        <v>506</v>
      </c>
      <c r="D38" s="310"/>
      <c r="E38" s="310"/>
      <c r="F38" s="310"/>
      <c r="G38" s="310"/>
      <c r="H38" s="310"/>
    </row>
    <row r="39" spans="1:22" outlineLevel="1" x14ac:dyDescent="0.25"/>
    <row r="40" spans="1:22" x14ac:dyDescent="0.25">
      <c r="A40" s="8" t="s">
        <v>134</v>
      </c>
    </row>
    <row r="41" spans="1:22" outlineLevel="1" x14ac:dyDescent="0.25">
      <c r="B41" s="7" t="s">
        <v>86</v>
      </c>
    </row>
    <row r="42" spans="1:22" outlineLevel="1" x14ac:dyDescent="0.25">
      <c r="C42" s="22" t="s">
        <v>87</v>
      </c>
    </row>
    <row r="43" spans="1:22" ht="39" outlineLevel="1" x14ac:dyDescent="0.25">
      <c r="A43" s="10"/>
      <c r="B43" s="11"/>
      <c r="C43" s="13"/>
      <c r="D43" s="13"/>
      <c r="E43" s="14" t="s">
        <v>96</v>
      </c>
      <c r="F43" s="14" t="s">
        <v>95</v>
      </c>
      <c r="G43" s="14" t="s">
        <v>89</v>
      </c>
      <c r="H43" s="14" t="s">
        <v>173</v>
      </c>
    </row>
    <row r="44" spans="1:22" outlineLevel="1" x14ac:dyDescent="0.25">
      <c r="E44" s="80">
        <f>'State Data'!N56</f>
        <v>37982</v>
      </c>
      <c r="F44" s="80">
        <f>'State Data'!O56</f>
        <v>19786</v>
      </c>
      <c r="G44" s="116">
        <f>'State Q&amp;A'!A2</f>
        <v>0.875</v>
      </c>
      <c r="H44" s="95">
        <f>F44*G44</f>
        <v>17312.75</v>
      </c>
    </row>
    <row r="45" spans="1:22" s="28" customFormat="1" ht="42.75" customHeight="1" outlineLevel="1" x14ac:dyDescent="0.25">
      <c r="A45" s="25"/>
      <c r="B45" s="26"/>
      <c r="C45" s="310" t="s">
        <v>102</v>
      </c>
      <c r="D45" s="310"/>
      <c r="E45" s="310"/>
      <c r="F45" s="310"/>
      <c r="G45" s="310"/>
      <c r="H45" s="310"/>
      <c r="I45" s="27"/>
      <c r="J45" s="27"/>
      <c r="K45" s="27"/>
      <c r="L45" s="27"/>
      <c r="M45" s="27"/>
      <c r="N45" s="27"/>
      <c r="O45" s="27"/>
      <c r="P45" s="27"/>
      <c r="Q45" s="27"/>
      <c r="R45" s="27"/>
      <c r="S45" s="27"/>
      <c r="T45" s="27"/>
      <c r="U45" s="27"/>
      <c r="V45" s="27"/>
    </row>
    <row r="46" spans="1:22" outlineLevel="1" x14ac:dyDescent="0.25"/>
    <row r="47" spans="1:22" outlineLevel="1" x14ac:dyDescent="0.25">
      <c r="C47" s="22" t="s">
        <v>88</v>
      </c>
    </row>
    <row r="48" spans="1:22" ht="39" outlineLevel="1" x14ac:dyDescent="0.25">
      <c r="A48" s="10"/>
      <c r="B48" s="11"/>
      <c r="C48" s="13"/>
      <c r="D48" s="13"/>
      <c r="E48" s="14" t="s">
        <v>92</v>
      </c>
      <c r="F48" s="14" t="s">
        <v>130</v>
      </c>
      <c r="G48" s="14" t="s">
        <v>89</v>
      </c>
      <c r="H48" s="14" t="s">
        <v>173</v>
      </c>
    </row>
    <row r="49" spans="2:8" outlineLevel="1" x14ac:dyDescent="0.25">
      <c r="E49" s="80">
        <f>'State Data'!P56</f>
        <v>10913</v>
      </c>
      <c r="F49" s="80">
        <f>(F44/E44)*E49</f>
        <v>5684.9196461481761</v>
      </c>
      <c r="G49" s="116">
        <f>'State Q&amp;A'!A4</f>
        <v>8.3333333333333329E-2</v>
      </c>
      <c r="H49" s="95">
        <f>F49*G49</f>
        <v>473.74330384568134</v>
      </c>
    </row>
    <row r="50" spans="2:8" ht="76.5" customHeight="1" outlineLevel="1" x14ac:dyDescent="0.25">
      <c r="C50" s="310" t="s">
        <v>132</v>
      </c>
      <c r="D50" s="310"/>
      <c r="E50" s="310"/>
      <c r="F50" s="310"/>
      <c r="G50" s="310"/>
      <c r="H50" s="310"/>
    </row>
    <row r="51" spans="2:8" outlineLevel="1" x14ac:dyDescent="0.25"/>
    <row r="52" spans="2:8" outlineLevel="1" x14ac:dyDescent="0.25">
      <c r="C52" s="22" t="s">
        <v>98</v>
      </c>
    </row>
    <row r="53" spans="2:8" ht="51.75" outlineLevel="1" x14ac:dyDescent="0.25">
      <c r="C53" s="13"/>
      <c r="D53" s="13"/>
      <c r="E53" s="14" t="s">
        <v>93</v>
      </c>
      <c r="F53" s="14" t="s">
        <v>131</v>
      </c>
      <c r="G53" s="14" t="s">
        <v>89</v>
      </c>
      <c r="H53" s="14" t="s">
        <v>173</v>
      </c>
    </row>
    <row r="54" spans="2:8" outlineLevel="1" x14ac:dyDescent="0.25">
      <c r="E54" s="80">
        <f>'State Data'!Q56</f>
        <v>5446.9553898230452</v>
      </c>
      <c r="F54" s="80">
        <f>(F44/E44)*E54</f>
        <v>2837.4877400621026</v>
      </c>
      <c r="G54" s="116">
        <f>'State Q&amp;A'!A6</f>
        <v>0.91666666666666663</v>
      </c>
      <c r="H54" s="95">
        <f>F54*G54</f>
        <v>2601.0304283902606</v>
      </c>
    </row>
    <row r="55" spans="2:8" ht="132" customHeight="1" outlineLevel="1" x14ac:dyDescent="0.25">
      <c r="C55" s="310" t="s">
        <v>489</v>
      </c>
      <c r="D55" s="310"/>
      <c r="E55" s="310"/>
      <c r="F55" s="310"/>
      <c r="G55" s="310"/>
      <c r="H55" s="310"/>
    </row>
    <row r="56" spans="2:8" outlineLevel="1" x14ac:dyDescent="0.25"/>
    <row r="57" spans="2:8" outlineLevel="1" x14ac:dyDescent="0.25">
      <c r="B57" s="7" t="s">
        <v>94</v>
      </c>
    </row>
    <row r="58" spans="2:8" outlineLevel="1" x14ac:dyDescent="0.25">
      <c r="C58" s="22" t="s">
        <v>79</v>
      </c>
    </row>
    <row r="59" spans="2:8" ht="39" outlineLevel="1" x14ac:dyDescent="0.25">
      <c r="B59" s="11"/>
      <c r="C59" s="14" t="s">
        <v>81</v>
      </c>
      <c r="D59" s="14" t="s">
        <v>82</v>
      </c>
      <c r="E59" s="14" t="s">
        <v>83</v>
      </c>
      <c r="F59" s="14" t="s">
        <v>84</v>
      </c>
      <c r="G59" s="14" t="s">
        <v>85</v>
      </c>
      <c r="H59" s="14" t="s">
        <v>173</v>
      </c>
    </row>
    <row r="60" spans="2:8" outlineLevel="1" x14ac:dyDescent="0.25">
      <c r="C60" s="15">
        <f>'State Data'!N57</f>
        <v>7</v>
      </c>
      <c r="D60" s="29">
        <v>0</v>
      </c>
      <c r="E60" s="29">
        <v>0</v>
      </c>
      <c r="F60" s="29">
        <v>0</v>
      </c>
      <c r="G60" s="29">
        <f>SUM(D60:F60)</f>
        <v>0</v>
      </c>
      <c r="H60" s="15">
        <f>G60*C60</f>
        <v>0</v>
      </c>
    </row>
    <row r="61" spans="2:8" outlineLevel="1" x14ac:dyDescent="0.25"/>
    <row r="62" spans="2:8" outlineLevel="1" x14ac:dyDescent="0.25">
      <c r="C62" s="22" t="s">
        <v>174</v>
      </c>
    </row>
    <row r="63" spans="2:8" ht="26.25" outlineLevel="1" x14ac:dyDescent="0.25">
      <c r="C63" s="13"/>
      <c r="D63" s="13"/>
      <c r="E63" s="13"/>
      <c r="F63" s="23"/>
      <c r="G63" s="23"/>
      <c r="H63" s="14" t="s">
        <v>173</v>
      </c>
    </row>
    <row r="64" spans="2:8" outlineLevel="1" x14ac:dyDescent="0.25">
      <c r="F64" s="24"/>
      <c r="G64" s="24"/>
      <c r="H64" s="21">
        <v>0</v>
      </c>
    </row>
    <row r="65" spans="1:22" ht="83.25" customHeight="1" outlineLevel="1" x14ac:dyDescent="0.25">
      <c r="C65" s="310" t="s">
        <v>506</v>
      </c>
      <c r="D65" s="310"/>
      <c r="E65" s="310"/>
      <c r="F65" s="310"/>
      <c r="G65" s="310"/>
      <c r="H65" s="310"/>
    </row>
    <row r="66" spans="1:22" outlineLevel="1" x14ac:dyDescent="0.25"/>
    <row r="67" spans="1:22" x14ac:dyDescent="0.25">
      <c r="A67" s="8" t="s">
        <v>99</v>
      </c>
    </row>
    <row r="68" spans="1:22" outlineLevel="1" x14ac:dyDescent="0.25">
      <c r="B68" s="7" t="s">
        <v>86</v>
      </c>
    </row>
    <row r="69" spans="1:22" outlineLevel="1" x14ac:dyDescent="0.25">
      <c r="C69" s="22" t="s">
        <v>87</v>
      </c>
    </row>
    <row r="70" spans="1:22" ht="39" outlineLevel="1" x14ac:dyDescent="0.25">
      <c r="A70" s="10"/>
      <c r="B70" s="11"/>
      <c r="C70" s="13"/>
      <c r="D70" s="13"/>
      <c r="E70" s="14" t="s">
        <v>96</v>
      </c>
      <c r="F70" s="14" t="s">
        <v>95</v>
      </c>
      <c r="G70" s="14" t="s">
        <v>89</v>
      </c>
      <c r="H70" s="14" t="s">
        <v>173</v>
      </c>
    </row>
    <row r="71" spans="1:22" outlineLevel="1" x14ac:dyDescent="0.25">
      <c r="E71" s="80">
        <f>'State Data'!R56</f>
        <v>176738</v>
      </c>
      <c r="F71" s="80">
        <f>'State Data'!S56</f>
        <v>0</v>
      </c>
      <c r="G71" s="116">
        <f>'State Q&amp;A'!A2</f>
        <v>0.875</v>
      </c>
      <c r="H71" s="95">
        <f>F71*G71</f>
        <v>0</v>
      </c>
    </row>
    <row r="72" spans="1:22" s="28" customFormat="1" ht="42.75" customHeight="1" outlineLevel="1" x14ac:dyDescent="0.25">
      <c r="A72" s="25"/>
      <c r="B72" s="26"/>
      <c r="C72" s="310" t="s">
        <v>102</v>
      </c>
      <c r="D72" s="310"/>
      <c r="E72" s="310"/>
      <c r="F72" s="310"/>
      <c r="G72" s="310"/>
      <c r="H72" s="310"/>
      <c r="I72" s="27"/>
      <c r="J72" s="27"/>
      <c r="K72" s="27"/>
      <c r="L72" s="27"/>
      <c r="M72" s="27"/>
      <c r="N72" s="27"/>
      <c r="O72" s="27"/>
      <c r="P72" s="27"/>
      <c r="Q72" s="27"/>
      <c r="R72" s="27"/>
      <c r="S72" s="27"/>
      <c r="T72" s="27"/>
      <c r="U72" s="27"/>
      <c r="V72" s="27"/>
    </row>
    <row r="73" spans="1:22" outlineLevel="1" x14ac:dyDescent="0.25"/>
    <row r="74" spans="1:22" outlineLevel="1" x14ac:dyDescent="0.25">
      <c r="C74" s="22" t="s">
        <v>88</v>
      </c>
    </row>
    <row r="75" spans="1:22" ht="39" outlineLevel="1" x14ac:dyDescent="0.25">
      <c r="A75" s="10"/>
      <c r="B75" s="11"/>
      <c r="C75" s="13"/>
      <c r="D75" s="13"/>
      <c r="E75" s="14" t="s">
        <v>92</v>
      </c>
      <c r="F75" s="14" t="s">
        <v>130</v>
      </c>
      <c r="G75" s="14" t="s">
        <v>89</v>
      </c>
      <c r="H75" s="14" t="s">
        <v>173</v>
      </c>
    </row>
    <row r="76" spans="1:22" outlineLevel="1" x14ac:dyDescent="0.25">
      <c r="E76" s="80">
        <f>'State Data'!T56</f>
        <v>51057</v>
      </c>
      <c r="F76" s="80">
        <f>(F71/E71)*E76</f>
        <v>0</v>
      </c>
      <c r="G76" s="116">
        <f>'State Q&amp;A'!A4</f>
        <v>8.3333333333333329E-2</v>
      </c>
      <c r="H76" s="95">
        <f>F76*G76</f>
        <v>0</v>
      </c>
    </row>
    <row r="77" spans="1:22" ht="63.75" customHeight="1" outlineLevel="1" x14ac:dyDescent="0.25">
      <c r="C77" s="310" t="s">
        <v>132</v>
      </c>
      <c r="D77" s="310"/>
      <c r="E77" s="310"/>
      <c r="F77" s="310"/>
      <c r="G77" s="310"/>
      <c r="H77" s="310"/>
    </row>
    <row r="78" spans="1:22" outlineLevel="1" x14ac:dyDescent="0.25"/>
    <row r="79" spans="1:22" outlineLevel="1" x14ac:dyDescent="0.25">
      <c r="C79" s="22" t="s">
        <v>98</v>
      </c>
    </row>
    <row r="80" spans="1:22" ht="51.75" outlineLevel="1" x14ac:dyDescent="0.25">
      <c r="C80" s="13"/>
      <c r="D80" s="13"/>
      <c r="E80" s="14" t="s">
        <v>93</v>
      </c>
      <c r="F80" s="14" t="s">
        <v>131</v>
      </c>
      <c r="G80" s="14" t="s">
        <v>89</v>
      </c>
      <c r="H80" s="14" t="s">
        <v>173</v>
      </c>
    </row>
    <row r="81" spans="1:8" outlineLevel="1" x14ac:dyDescent="0.25">
      <c r="E81" s="80">
        <f>'State Data'!U56</f>
        <v>34386.25047754465</v>
      </c>
      <c r="F81" s="80">
        <f>E81</f>
        <v>34386.25047754465</v>
      </c>
      <c r="G81" s="116">
        <f>'State Q&amp;A'!A6</f>
        <v>0.91666666666666663</v>
      </c>
      <c r="H81" s="95">
        <f>F81*G81</f>
        <v>31520.729604415927</v>
      </c>
    </row>
    <row r="82" spans="1:8" ht="149.25" customHeight="1" outlineLevel="1" x14ac:dyDescent="0.25">
      <c r="C82" s="310" t="s">
        <v>489</v>
      </c>
      <c r="D82" s="310"/>
      <c r="E82" s="310"/>
      <c r="F82" s="310"/>
      <c r="G82" s="310"/>
      <c r="H82" s="310"/>
    </row>
    <row r="83" spans="1:8" outlineLevel="1" x14ac:dyDescent="0.25"/>
    <row r="84" spans="1:8" outlineLevel="1" x14ac:dyDescent="0.25">
      <c r="B84" s="7" t="s">
        <v>94</v>
      </c>
    </row>
    <row r="85" spans="1:8" outlineLevel="1" x14ac:dyDescent="0.25">
      <c r="C85" s="22" t="s">
        <v>79</v>
      </c>
    </row>
    <row r="86" spans="1:8" ht="39" outlineLevel="1" x14ac:dyDescent="0.25">
      <c r="B86" s="11"/>
      <c r="C86" s="14" t="s">
        <v>81</v>
      </c>
      <c r="D86" s="14" t="s">
        <v>82</v>
      </c>
      <c r="E86" s="14" t="s">
        <v>83</v>
      </c>
      <c r="F86" s="14" t="s">
        <v>84</v>
      </c>
      <c r="G86" s="14" t="s">
        <v>85</v>
      </c>
      <c r="H86" s="14" t="s">
        <v>173</v>
      </c>
    </row>
    <row r="87" spans="1:8" outlineLevel="1" x14ac:dyDescent="0.25">
      <c r="C87" s="15">
        <f>'State Data'!R57</f>
        <v>4</v>
      </c>
      <c r="D87" s="29">
        <v>0</v>
      </c>
      <c r="E87" s="29">
        <v>0</v>
      </c>
      <c r="F87" s="29">
        <f>'Interface Development'!F9</f>
        <v>58.8</v>
      </c>
      <c r="G87" s="15">
        <f>SUM(D87:F87)</f>
        <v>58.8</v>
      </c>
      <c r="H87" s="15">
        <f>G87*C87</f>
        <v>235.2</v>
      </c>
    </row>
    <row r="88" spans="1:8" ht="76.5" customHeight="1" outlineLevel="1" x14ac:dyDescent="0.25">
      <c r="C88" s="310" t="s">
        <v>200</v>
      </c>
      <c r="D88" s="310"/>
      <c r="E88" s="310"/>
      <c r="F88" s="310"/>
      <c r="G88" s="310"/>
      <c r="H88" s="310"/>
    </row>
    <row r="89" spans="1:8" outlineLevel="1" x14ac:dyDescent="0.25">
      <c r="C89" s="22" t="s">
        <v>174</v>
      </c>
    </row>
    <row r="90" spans="1:8" ht="26.25" outlineLevel="1" x14ac:dyDescent="0.25">
      <c r="C90" s="13"/>
      <c r="D90" s="13"/>
      <c r="E90" s="13"/>
      <c r="F90" s="23"/>
      <c r="G90" s="23"/>
      <c r="H90" s="14" t="s">
        <v>173</v>
      </c>
    </row>
    <row r="91" spans="1:8" outlineLevel="1" x14ac:dyDescent="0.25">
      <c r="F91" s="24"/>
      <c r="G91" s="24"/>
      <c r="H91" s="21">
        <v>0</v>
      </c>
    </row>
    <row r="92" spans="1:8" ht="80.25" customHeight="1" outlineLevel="1" x14ac:dyDescent="0.25">
      <c r="C92" s="310" t="s">
        <v>506</v>
      </c>
      <c r="D92" s="310"/>
      <c r="E92" s="310"/>
      <c r="F92" s="310"/>
      <c r="G92" s="310"/>
      <c r="H92" s="310"/>
    </row>
    <row r="93" spans="1:8" outlineLevel="1" x14ac:dyDescent="0.25"/>
    <row r="94" spans="1:8" x14ac:dyDescent="0.25">
      <c r="A94" s="8" t="s">
        <v>100</v>
      </c>
    </row>
    <row r="95" spans="1:8" outlineLevel="1" x14ac:dyDescent="0.25">
      <c r="B95" s="7" t="s">
        <v>86</v>
      </c>
    </row>
    <row r="96" spans="1:8" outlineLevel="1" x14ac:dyDescent="0.25">
      <c r="C96" s="22" t="s">
        <v>87</v>
      </c>
    </row>
    <row r="97" spans="1:22" ht="39" outlineLevel="1" x14ac:dyDescent="0.25">
      <c r="A97" s="10"/>
      <c r="B97" s="11"/>
      <c r="C97" s="13"/>
      <c r="D97" s="13"/>
      <c r="E97" s="14" t="s">
        <v>96</v>
      </c>
      <c r="F97" s="14" t="s">
        <v>95</v>
      </c>
      <c r="G97" s="14" t="s">
        <v>89</v>
      </c>
      <c r="H97" s="14" t="s">
        <v>173</v>
      </c>
    </row>
    <row r="98" spans="1:22" outlineLevel="1" x14ac:dyDescent="0.25">
      <c r="E98" s="80">
        <f>'State Data'!V56</f>
        <v>0</v>
      </c>
      <c r="F98" s="80">
        <f>'State Data'!W56</f>
        <v>0</v>
      </c>
      <c r="G98" s="116">
        <f>'State Q&amp;A'!A2</f>
        <v>0.875</v>
      </c>
      <c r="H98" s="95">
        <f>F98*G98</f>
        <v>0</v>
      </c>
    </row>
    <row r="99" spans="1:22" s="28" customFormat="1" ht="42.75" customHeight="1" outlineLevel="1" x14ac:dyDescent="0.25">
      <c r="A99" s="25"/>
      <c r="B99" s="26"/>
      <c r="C99" s="310" t="s">
        <v>102</v>
      </c>
      <c r="D99" s="310"/>
      <c r="E99" s="310"/>
      <c r="F99" s="310"/>
      <c r="G99" s="310"/>
      <c r="H99" s="310"/>
      <c r="I99" s="27"/>
      <c r="J99" s="27"/>
      <c r="K99" s="27"/>
      <c r="L99" s="27"/>
      <c r="M99" s="27"/>
      <c r="N99" s="27"/>
      <c r="O99" s="27"/>
      <c r="P99" s="27"/>
      <c r="Q99" s="27"/>
      <c r="R99" s="27"/>
      <c r="S99" s="27"/>
      <c r="T99" s="27"/>
      <c r="U99" s="27"/>
      <c r="V99" s="27"/>
    </row>
    <row r="100" spans="1:22" outlineLevel="1" x14ac:dyDescent="0.25"/>
    <row r="101" spans="1:22" outlineLevel="1" x14ac:dyDescent="0.25">
      <c r="C101" s="22" t="s">
        <v>88</v>
      </c>
    </row>
    <row r="102" spans="1:22" ht="39" outlineLevel="1" x14ac:dyDescent="0.25">
      <c r="A102" s="10"/>
      <c r="B102" s="11"/>
      <c r="C102" s="13"/>
      <c r="D102" s="13"/>
      <c r="E102" s="14" t="s">
        <v>92</v>
      </c>
      <c r="F102" s="14" t="s">
        <v>130</v>
      </c>
      <c r="G102" s="14" t="s">
        <v>89</v>
      </c>
      <c r="H102" s="14" t="s">
        <v>173</v>
      </c>
    </row>
    <row r="103" spans="1:22" outlineLevel="1" x14ac:dyDescent="0.25">
      <c r="E103" s="80">
        <f>'State Data'!X56</f>
        <v>0</v>
      </c>
      <c r="F103" s="80">
        <f>IF(E98=0,0,(F98/E98)*E103)</f>
        <v>0</v>
      </c>
      <c r="G103" s="116">
        <f>'State Q&amp;A'!A4</f>
        <v>8.3333333333333329E-2</v>
      </c>
      <c r="H103" s="95">
        <f>F103*G103</f>
        <v>0</v>
      </c>
    </row>
    <row r="104" spans="1:22" ht="66" customHeight="1" outlineLevel="1" x14ac:dyDescent="0.25">
      <c r="C104" s="310" t="s">
        <v>132</v>
      </c>
      <c r="D104" s="310"/>
      <c r="E104" s="310"/>
      <c r="F104" s="310"/>
      <c r="G104" s="310"/>
      <c r="H104" s="310"/>
    </row>
    <row r="105" spans="1:22" outlineLevel="1" x14ac:dyDescent="0.25"/>
    <row r="106" spans="1:22" outlineLevel="1" x14ac:dyDescent="0.25">
      <c r="C106" s="22" t="s">
        <v>98</v>
      </c>
    </row>
    <row r="107" spans="1:22" ht="51.75" outlineLevel="1" x14ac:dyDescent="0.25">
      <c r="C107" s="13"/>
      <c r="D107" s="13"/>
      <c r="E107" s="14" t="s">
        <v>93</v>
      </c>
      <c r="F107" s="14" t="s">
        <v>131</v>
      </c>
      <c r="G107" s="14" t="s">
        <v>89</v>
      </c>
      <c r="H107" s="14" t="s">
        <v>173</v>
      </c>
    </row>
    <row r="108" spans="1:22" outlineLevel="1" x14ac:dyDescent="0.25">
      <c r="E108" s="80">
        <f>'State Data'!Y56</f>
        <v>0</v>
      </c>
      <c r="F108" s="80">
        <f>IF(E98=0,0,(F98/E98)*E108)</f>
        <v>0</v>
      </c>
      <c r="G108" s="116">
        <f>'State Q&amp;A'!A6</f>
        <v>0.91666666666666663</v>
      </c>
      <c r="H108" s="95">
        <f>F108*G108</f>
        <v>0</v>
      </c>
    </row>
    <row r="109" spans="1:22" ht="134.25" customHeight="1" outlineLevel="1" x14ac:dyDescent="0.25">
      <c r="C109" s="310" t="s">
        <v>489</v>
      </c>
      <c r="D109" s="310"/>
      <c r="E109" s="310"/>
      <c r="F109" s="310"/>
      <c r="G109" s="310"/>
      <c r="H109" s="310"/>
    </row>
    <row r="110" spans="1:22" outlineLevel="1" x14ac:dyDescent="0.25"/>
    <row r="111" spans="1:22" outlineLevel="1" x14ac:dyDescent="0.25">
      <c r="B111" s="7" t="s">
        <v>94</v>
      </c>
    </row>
    <row r="112" spans="1:22" outlineLevel="1" x14ac:dyDescent="0.25">
      <c r="C112" s="22" t="s">
        <v>79</v>
      </c>
    </row>
    <row r="113" spans="1:22" ht="39" outlineLevel="1" x14ac:dyDescent="0.25">
      <c r="A113" s="10"/>
      <c r="B113" s="11"/>
      <c r="C113" s="14" t="s">
        <v>81</v>
      </c>
      <c r="D113" s="14" t="s">
        <v>82</v>
      </c>
      <c r="E113" s="14" t="s">
        <v>83</v>
      </c>
      <c r="F113" s="14" t="s">
        <v>84</v>
      </c>
      <c r="G113" s="14" t="s">
        <v>85</v>
      </c>
      <c r="H113" s="14" t="s">
        <v>173</v>
      </c>
    </row>
    <row r="114" spans="1:22" outlineLevel="1" x14ac:dyDescent="0.25">
      <c r="C114" s="15">
        <f>'State Data'!W57</f>
        <v>0</v>
      </c>
      <c r="D114" s="29">
        <v>0</v>
      </c>
      <c r="E114" s="29">
        <v>0</v>
      </c>
      <c r="F114" s="29">
        <f>'Interface Development'!F9</f>
        <v>58.8</v>
      </c>
      <c r="G114" s="15">
        <f>SUM(D114:F114)</f>
        <v>58.8</v>
      </c>
      <c r="H114" s="15">
        <f>G114*C114</f>
        <v>0</v>
      </c>
    </row>
    <row r="115" spans="1:22" ht="76.5" customHeight="1" outlineLevel="1" x14ac:dyDescent="0.25">
      <c r="C115" s="310" t="s">
        <v>200</v>
      </c>
      <c r="D115" s="310"/>
      <c r="E115" s="310"/>
      <c r="F115" s="310"/>
      <c r="G115" s="310"/>
      <c r="H115" s="310"/>
    </row>
    <row r="116" spans="1:22" outlineLevel="1" x14ac:dyDescent="0.25">
      <c r="C116" s="22" t="s">
        <v>174</v>
      </c>
    </row>
    <row r="117" spans="1:22" ht="26.25" outlineLevel="1" x14ac:dyDescent="0.25">
      <c r="D117" s="13"/>
      <c r="E117" s="13"/>
      <c r="F117" s="23"/>
      <c r="G117" s="23"/>
      <c r="H117" s="14" t="s">
        <v>173</v>
      </c>
    </row>
    <row r="118" spans="1:22" outlineLevel="1" x14ac:dyDescent="0.25">
      <c r="F118" s="24"/>
      <c r="G118" s="24"/>
      <c r="H118" s="21">
        <v>0</v>
      </c>
    </row>
    <row r="119" spans="1:22" ht="83.25" customHeight="1" outlineLevel="1" x14ac:dyDescent="0.25">
      <c r="C119" s="310" t="s">
        <v>506</v>
      </c>
      <c r="D119" s="310"/>
      <c r="E119" s="310"/>
      <c r="F119" s="310"/>
      <c r="G119" s="310"/>
      <c r="H119" s="310"/>
    </row>
    <row r="120" spans="1:22" outlineLevel="1" x14ac:dyDescent="0.25"/>
    <row r="121" spans="1:22" x14ac:dyDescent="0.25">
      <c r="A121" s="8" t="s">
        <v>101</v>
      </c>
    </row>
    <row r="122" spans="1:22" outlineLevel="1" x14ac:dyDescent="0.25">
      <c r="B122" s="7" t="s">
        <v>86</v>
      </c>
    </row>
    <row r="123" spans="1:22" outlineLevel="1" x14ac:dyDescent="0.25">
      <c r="C123" s="22" t="s">
        <v>87</v>
      </c>
    </row>
    <row r="124" spans="1:22" ht="39" outlineLevel="1" x14ac:dyDescent="0.25">
      <c r="A124" s="10"/>
      <c r="B124" s="11"/>
      <c r="C124" s="13"/>
      <c r="D124" s="13"/>
      <c r="E124" s="14" t="s">
        <v>96</v>
      </c>
      <c r="F124" s="14" t="s">
        <v>95</v>
      </c>
      <c r="G124" s="14" t="s">
        <v>89</v>
      </c>
      <c r="H124" s="14" t="s">
        <v>173</v>
      </c>
    </row>
    <row r="125" spans="1:22" outlineLevel="1" x14ac:dyDescent="0.25">
      <c r="E125" s="80">
        <f>'State Data'!Z56</f>
        <v>1052</v>
      </c>
      <c r="F125" s="80">
        <f>'State Data'!AA56</f>
        <v>0</v>
      </c>
      <c r="G125" s="116">
        <f>'State Q&amp;A'!A2</f>
        <v>0.875</v>
      </c>
      <c r="H125" s="95">
        <f>F125*G125</f>
        <v>0</v>
      </c>
    </row>
    <row r="126" spans="1:22" s="28" customFormat="1" ht="42.75" customHeight="1" outlineLevel="1" x14ac:dyDescent="0.25">
      <c r="A126" s="25"/>
      <c r="B126" s="26"/>
      <c r="C126" s="310" t="s">
        <v>102</v>
      </c>
      <c r="D126" s="310"/>
      <c r="E126" s="310"/>
      <c r="F126" s="310"/>
      <c r="G126" s="310"/>
      <c r="H126" s="310"/>
      <c r="I126" s="27"/>
      <c r="J126" s="27"/>
      <c r="K126" s="27"/>
      <c r="L126" s="27"/>
      <c r="M126" s="27"/>
      <c r="N126" s="27"/>
      <c r="O126" s="27"/>
      <c r="P126" s="27"/>
      <c r="Q126" s="27"/>
      <c r="R126" s="27"/>
      <c r="S126" s="27"/>
      <c r="T126" s="27"/>
      <c r="U126" s="27"/>
      <c r="V126" s="27"/>
    </row>
    <row r="127" spans="1:22" outlineLevel="1" x14ac:dyDescent="0.25"/>
    <row r="128" spans="1:22" outlineLevel="1" x14ac:dyDescent="0.25">
      <c r="C128" s="22" t="s">
        <v>88</v>
      </c>
    </row>
    <row r="129" spans="1:8" ht="39" outlineLevel="1" x14ac:dyDescent="0.25">
      <c r="A129" s="10"/>
      <c r="B129" s="11"/>
      <c r="C129" s="13"/>
      <c r="D129" s="13"/>
      <c r="E129" s="14" t="s">
        <v>92</v>
      </c>
      <c r="F129" s="14" t="s">
        <v>130</v>
      </c>
      <c r="G129" s="14" t="s">
        <v>89</v>
      </c>
      <c r="H129" s="14" t="s">
        <v>173</v>
      </c>
    </row>
    <row r="130" spans="1:8" outlineLevel="1" x14ac:dyDescent="0.25">
      <c r="E130" s="80">
        <f>'State Data'!AB56</f>
        <v>138</v>
      </c>
      <c r="F130" s="80">
        <f>E130</f>
        <v>138</v>
      </c>
      <c r="G130" s="116">
        <f>'State Q&amp;A'!A4</f>
        <v>8.3333333333333329E-2</v>
      </c>
      <c r="H130" s="95">
        <f>F130*G130</f>
        <v>11.5</v>
      </c>
    </row>
    <row r="131" spans="1:8" ht="59.25" customHeight="1" outlineLevel="1" x14ac:dyDescent="0.25">
      <c r="C131" s="310" t="s">
        <v>135</v>
      </c>
      <c r="D131" s="310"/>
      <c r="E131" s="310"/>
      <c r="F131" s="310"/>
      <c r="G131" s="310"/>
      <c r="H131" s="310"/>
    </row>
    <row r="132" spans="1:8" outlineLevel="1" x14ac:dyDescent="0.25"/>
    <row r="133" spans="1:8" outlineLevel="1" x14ac:dyDescent="0.25">
      <c r="C133" s="22" t="s">
        <v>98</v>
      </c>
    </row>
    <row r="134" spans="1:8" ht="51.75" outlineLevel="1" x14ac:dyDescent="0.25">
      <c r="C134" s="13"/>
      <c r="D134" s="13"/>
      <c r="E134" s="14" t="s">
        <v>93</v>
      </c>
      <c r="F134" s="14" t="s">
        <v>131</v>
      </c>
      <c r="G134" s="14" t="s">
        <v>89</v>
      </c>
      <c r="H134" s="14" t="s">
        <v>173</v>
      </c>
    </row>
    <row r="135" spans="1:8" outlineLevel="1" x14ac:dyDescent="0.25">
      <c r="E135" s="80">
        <f>'State Data'!AC56</f>
        <v>85.912602419040184</v>
      </c>
      <c r="F135" s="80">
        <f>(F125/E125)*E135</f>
        <v>0</v>
      </c>
      <c r="G135" s="116">
        <f>'State Q&amp;A'!A6</f>
        <v>0.91666666666666663</v>
      </c>
      <c r="H135" s="95">
        <f>F135*G135</f>
        <v>0</v>
      </c>
    </row>
    <row r="136" spans="1:8" ht="138" customHeight="1" outlineLevel="1" x14ac:dyDescent="0.25">
      <c r="C136" s="310" t="s">
        <v>489</v>
      </c>
      <c r="D136" s="310"/>
      <c r="E136" s="310"/>
      <c r="F136" s="310"/>
      <c r="G136" s="310"/>
      <c r="H136" s="310"/>
    </row>
    <row r="137" spans="1:8" outlineLevel="1" x14ac:dyDescent="0.25"/>
    <row r="138" spans="1:8" outlineLevel="1" x14ac:dyDescent="0.25">
      <c r="B138" s="7" t="s">
        <v>94</v>
      </c>
    </row>
    <row r="139" spans="1:8" outlineLevel="1" x14ac:dyDescent="0.25">
      <c r="C139" s="22" t="s">
        <v>79</v>
      </c>
    </row>
    <row r="140" spans="1:8" ht="39" outlineLevel="1" x14ac:dyDescent="0.25">
      <c r="A140" s="10"/>
      <c r="B140" s="11"/>
      <c r="C140" s="14" t="s">
        <v>81</v>
      </c>
      <c r="D140" s="14" t="s">
        <v>82</v>
      </c>
      <c r="E140" s="14" t="s">
        <v>83</v>
      </c>
      <c r="F140" s="14" t="s">
        <v>84</v>
      </c>
      <c r="G140" s="14" t="s">
        <v>85</v>
      </c>
      <c r="H140" s="14" t="s">
        <v>173</v>
      </c>
    </row>
    <row r="141" spans="1:8" outlineLevel="1" x14ac:dyDescent="0.25">
      <c r="C141" s="15">
        <f>'State Data'!Z57</f>
        <v>2</v>
      </c>
      <c r="D141" s="29">
        <v>0</v>
      </c>
      <c r="E141" s="29">
        <f>'Interface Development'!E9</f>
        <v>63.8</v>
      </c>
      <c r="F141" s="29">
        <v>0</v>
      </c>
      <c r="G141" s="15">
        <f>SUM(D141:F141)</f>
        <v>63.8</v>
      </c>
      <c r="H141" s="15">
        <f>G141*C141</f>
        <v>127.6</v>
      </c>
    </row>
    <row r="142" spans="1:8" ht="76.5" customHeight="1" outlineLevel="1" x14ac:dyDescent="0.25">
      <c r="C142" s="310" t="s">
        <v>200</v>
      </c>
      <c r="D142" s="310"/>
      <c r="E142" s="310"/>
      <c r="F142" s="310"/>
      <c r="G142" s="310"/>
      <c r="H142" s="310"/>
    </row>
    <row r="143" spans="1:8" outlineLevel="1" x14ac:dyDescent="0.25">
      <c r="C143" s="22" t="s">
        <v>174</v>
      </c>
    </row>
    <row r="144" spans="1:8" ht="26.25" outlineLevel="1" x14ac:dyDescent="0.25">
      <c r="D144" s="13"/>
      <c r="E144" s="13"/>
      <c r="F144" s="23"/>
      <c r="G144" s="23"/>
      <c r="H144" s="14" t="s">
        <v>173</v>
      </c>
    </row>
    <row r="145" spans="1:22" outlineLevel="1" x14ac:dyDescent="0.25">
      <c r="F145" s="24"/>
      <c r="G145" s="24"/>
      <c r="H145" s="21">
        <v>0</v>
      </c>
    </row>
    <row r="146" spans="1:22" ht="90.75" customHeight="1" outlineLevel="1" x14ac:dyDescent="0.25">
      <c r="C146" s="310" t="s">
        <v>506</v>
      </c>
      <c r="D146" s="310"/>
      <c r="E146" s="310"/>
      <c r="F146" s="310"/>
      <c r="G146" s="310"/>
      <c r="H146" s="310"/>
    </row>
    <row r="147" spans="1:22" outlineLevel="1" x14ac:dyDescent="0.25"/>
    <row r="148" spans="1:22" x14ac:dyDescent="0.25">
      <c r="A148" s="8" t="s">
        <v>118</v>
      </c>
    </row>
    <row r="149" spans="1:22" outlineLevel="1" x14ac:dyDescent="0.25">
      <c r="B149" s="7" t="s">
        <v>86</v>
      </c>
    </row>
    <row r="150" spans="1:22" outlineLevel="1" x14ac:dyDescent="0.25">
      <c r="C150" s="22" t="s">
        <v>87</v>
      </c>
    </row>
    <row r="151" spans="1:22" ht="39" outlineLevel="1" x14ac:dyDescent="0.25">
      <c r="A151" s="10"/>
      <c r="B151" s="11"/>
      <c r="C151" s="13"/>
      <c r="D151" s="13"/>
      <c r="E151" s="14" t="s">
        <v>96</v>
      </c>
      <c r="F151" s="14" t="s">
        <v>95</v>
      </c>
      <c r="G151" s="14" t="s">
        <v>89</v>
      </c>
      <c r="H151" s="14" t="s">
        <v>173</v>
      </c>
    </row>
    <row r="152" spans="1:22" outlineLevel="1" x14ac:dyDescent="0.25">
      <c r="E152" s="80">
        <f>'State Data'!AD56</f>
        <v>7261</v>
      </c>
      <c r="F152" s="80">
        <f>'State Data'!AE56</f>
        <v>5149</v>
      </c>
      <c r="G152" s="116">
        <f>'State Q&amp;A'!A2</f>
        <v>0.875</v>
      </c>
      <c r="H152" s="95">
        <f>F152*G152</f>
        <v>4505.375</v>
      </c>
    </row>
    <row r="153" spans="1:22" s="28" customFormat="1" ht="42.75" customHeight="1" outlineLevel="1" x14ac:dyDescent="0.25">
      <c r="A153" s="25"/>
      <c r="B153" s="26"/>
      <c r="C153" s="310" t="s">
        <v>102</v>
      </c>
      <c r="D153" s="310"/>
      <c r="E153" s="310"/>
      <c r="F153" s="310"/>
      <c r="G153" s="310"/>
      <c r="H153" s="310"/>
      <c r="I153" s="27"/>
      <c r="J153" s="27"/>
      <c r="K153" s="27"/>
      <c r="L153" s="27"/>
      <c r="M153" s="27"/>
      <c r="N153" s="27"/>
      <c r="O153" s="27"/>
      <c r="P153" s="27"/>
      <c r="Q153" s="27"/>
      <c r="R153" s="27"/>
      <c r="S153" s="27"/>
      <c r="T153" s="27"/>
      <c r="U153" s="27"/>
      <c r="V153" s="27"/>
    </row>
    <row r="154" spans="1:22" outlineLevel="1" x14ac:dyDescent="0.25"/>
    <row r="155" spans="1:22" outlineLevel="1" x14ac:dyDescent="0.25">
      <c r="C155" s="22" t="s">
        <v>88</v>
      </c>
    </row>
    <row r="156" spans="1:22" ht="39" outlineLevel="1" x14ac:dyDescent="0.25">
      <c r="A156" s="10"/>
      <c r="B156" s="11"/>
      <c r="C156" s="13"/>
      <c r="D156" s="13"/>
      <c r="E156" s="14" t="s">
        <v>92</v>
      </c>
      <c r="F156" s="14" t="s">
        <v>130</v>
      </c>
      <c r="G156" s="14" t="s">
        <v>89</v>
      </c>
      <c r="H156" s="14" t="s">
        <v>173</v>
      </c>
    </row>
    <row r="157" spans="1:22" outlineLevel="1" x14ac:dyDescent="0.25">
      <c r="E157" s="80">
        <f>'State Data'!AF56</f>
        <v>2605</v>
      </c>
      <c r="F157" s="80">
        <f>E157</f>
        <v>2605</v>
      </c>
      <c r="G157" s="116">
        <f>'State Q&amp;A'!A4</f>
        <v>8.3333333333333329E-2</v>
      </c>
      <c r="H157" s="95">
        <f>F157*G157</f>
        <v>217.08333333333331</v>
      </c>
    </row>
    <row r="158" spans="1:22" ht="64.5" customHeight="1" outlineLevel="1" x14ac:dyDescent="0.25">
      <c r="C158" s="310" t="s">
        <v>135</v>
      </c>
      <c r="D158" s="310"/>
      <c r="E158" s="310"/>
      <c r="F158" s="310"/>
      <c r="G158" s="310"/>
      <c r="H158" s="310"/>
    </row>
    <row r="159" spans="1:22" outlineLevel="1" x14ac:dyDescent="0.25"/>
    <row r="160" spans="1:22" outlineLevel="1" x14ac:dyDescent="0.25">
      <c r="C160" s="22" t="s">
        <v>98</v>
      </c>
    </row>
    <row r="161" spans="1:8" ht="51.75" outlineLevel="1" x14ac:dyDescent="0.25">
      <c r="C161" s="13"/>
      <c r="D161" s="13"/>
      <c r="E161" s="14" t="s">
        <v>93</v>
      </c>
      <c r="F161" s="14" t="s">
        <v>131</v>
      </c>
      <c r="G161" s="14" t="s">
        <v>89</v>
      </c>
      <c r="H161" s="14" t="s">
        <v>173</v>
      </c>
    </row>
    <row r="162" spans="1:8" outlineLevel="1" x14ac:dyDescent="0.25">
      <c r="E162" s="80">
        <f>'State Data'!AG56</f>
        <v>940</v>
      </c>
      <c r="F162" s="80">
        <f>(F152/E152)*E162</f>
        <v>666.58311527337833</v>
      </c>
      <c r="G162" s="116">
        <f>'State Q&amp;A'!A6</f>
        <v>0.91666666666666663</v>
      </c>
      <c r="H162" s="95">
        <f>F162*G162</f>
        <v>611.03452233393011</v>
      </c>
    </row>
    <row r="163" spans="1:8" ht="139.5" customHeight="1" outlineLevel="1" x14ac:dyDescent="0.25">
      <c r="C163" s="310" t="s">
        <v>489</v>
      </c>
      <c r="D163" s="310"/>
      <c r="E163" s="310"/>
      <c r="F163" s="310"/>
      <c r="G163" s="310"/>
      <c r="H163" s="310"/>
    </row>
    <row r="164" spans="1:8" outlineLevel="1" x14ac:dyDescent="0.25"/>
    <row r="165" spans="1:8" outlineLevel="1" x14ac:dyDescent="0.25">
      <c r="B165" s="7" t="s">
        <v>94</v>
      </c>
    </row>
    <row r="166" spans="1:8" outlineLevel="1" x14ac:dyDescent="0.25">
      <c r="C166" s="22" t="s">
        <v>79</v>
      </c>
    </row>
    <row r="167" spans="1:8" ht="39" outlineLevel="1" x14ac:dyDescent="0.25">
      <c r="A167" s="10"/>
      <c r="B167" s="11"/>
      <c r="C167" s="14" t="s">
        <v>81</v>
      </c>
      <c r="D167" s="14" t="s">
        <v>82</v>
      </c>
      <c r="E167" s="14" t="s">
        <v>83</v>
      </c>
      <c r="F167" s="14" t="s">
        <v>84</v>
      </c>
      <c r="G167" s="14" t="s">
        <v>85</v>
      </c>
      <c r="H167" s="14" t="s">
        <v>173</v>
      </c>
    </row>
    <row r="168" spans="1:8" outlineLevel="1" x14ac:dyDescent="0.25">
      <c r="C168" s="15">
        <f>'State Data'!AE57</f>
        <v>1</v>
      </c>
      <c r="D168" s="29">
        <v>0</v>
      </c>
      <c r="E168" s="29">
        <f>'Interface Development'!E9</f>
        <v>63.8</v>
      </c>
      <c r="F168" s="29">
        <v>0</v>
      </c>
      <c r="G168" s="15">
        <f>SUM(D168:F168)</f>
        <v>63.8</v>
      </c>
      <c r="H168" s="15">
        <f>G168*C168</f>
        <v>63.8</v>
      </c>
    </row>
    <row r="169" spans="1:8" ht="76.5" customHeight="1" outlineLevel="1" x14ac:dyDescent="0.25">
      <c r="C169" s="310" t="s">
        <v>200</v>
      </c>
      <c r="D169" s="310"/>
      <c r="E169" s="310"/>
      <c r="F169" s="310"/>
      <c r="G169" s="310"/>
      <c r="H169" s="310"/>
    </row>
    <row r="170" spans="1:8" outlineLevel="1" x14ac:dyDescent="0.25">
      <c r="C170" s="22" t="s">
        <v>174</v>
      </c>
    </row>
    <row r="171" spans="1:8" ht="26.25" outlineLevel="1" x14ac:dyDescent="0.25">
      <c r="D171" s="13"/>
      <c r="E171" s="13"/>
      <c r="F171" s="23"/>
      <c r="G171" s="23"/>
      <c r="H171" s="14" t="s">
        <v>173</v>
      </c>
    </row>
    <row r="172" spans="1:8" outlineLevel="1" x14ac:dyDescent="0.25">
      <c r="F172" s="24"/>
      <c r="G172" s="24"/>
      <c r="H172" s="21">
        <v>0</v>
      </c>
    </row>
    <row r="173" spans="1:8" ht="84.75" customHeight="1" outlineLevel="1" x14ac:dyDescent="0.25">
      <c r="C173" s="310" t="s">
        <v>506</v>
      </c>
      <c r="D173" s="310"/>
      <c r="E173" s="310"/>
      <c r="F173" s="310"/>
      <c r="G173" s="310"/>
      <c r="H173" s="310"/>
    </row>
    <row r="174" spans="1:8" outlineLevel="1" x14ac:dyDescent="0.25"/>
    <row r="175" spans="1:8" x14ac:dyDescent="0.25">
      <c r="A175" s="8" t="s">
        <v>103</v>
      </c>
    </row>
    <row r="176" spans="1:8" outlineLevel="1" x14ac:dyDescent="0.25">
      <c r="B176" s="7" t="s">
        <v>86</v>
      </c>
    </row>
    <row r="177" spans="1:22" outlineLevel="1" x14ac:dyDescent="0.25">
      <c r="C177" s="22" t="s">
        <v>87</v>
      </c>
    </row>
    <row r="178" spans="1:22" ht="39" outlineLevel="1" x14ac:dyDescent="0.25">
      <c r="A178" s="10"/>
      <c r="B178" s="11"/>
      <c r="C178" s="13"/>
      <c r="D178" s="13"/>
      <c r="E178" s="14" t="s">
        <v>96</v>
      </c>
      <c r="F178" s="14" t="s">
        <v>95</v>
      </c>
      <c r="G178" s="14" t="s">
        <v>89</v>
      </c>
      <c r="H178" s="14" t="s">
        <v>173</v>
      </c>
    </row>
    <row r="179" spans="1:22" outlineLevel="1" x14ac:dyDescent="0.25">
      <c r="E179" s="80">
        <f>'State Data'!AH56</f>
        <v>12600</v>
      </c>
      <c r="F179" s="80">
        <f>'State Data'!AI56</f>
        <v>0</v>
      </c>
      <c r="G179" s="116">
        <f>'State Q&amp;A'!A2</f>
        <v>0.875</v>
      </c>
      <c r="H179" s="95">
        <f>F179*G179</f>
        <v>0</v>
      </c>
    </row>
    <row r="180" spans="1:22" s="28" customFormat="1" ht="43.5" customHeight="1" outlineLevel="1" x14ac:dyDescent="0.25">
      <c r="A180" s="25"/>
      <c r="B180" s="26"/>
      <c r="C180" s="310" t="s">
        <v>102</v>
      </c>
      <c r="D180" s="310"/>
      <c r="E180" s="310"/>
      <c r="F180" s="310"/>
      <c r="G180" s="310"/>
      <c r="H180" s="310"/>
      <c r="I180" s="27"/>
      <c r="J180" s="27"/>
      <c r="K180" s="27"/>
      <c r="L180" s="27"/>
      <c r="M180" s="27"/>
      <c r="N180" s="27"/>
      <c r="O180" s="27"/>
      <c r="P180" s="27"/>
      <c r="Q180" s="27"/>
      <c r="R180" s="27"/>
      <c r="S180" s="27"/>
      <c r="T180" s="27"/>
      <c r="U180" s="27"/>
      <c r="V180" s="27"/>
    </row>
    <row r="181" spans="1:22" outlineLevel="1" x14ac:dyDescent="0.25"/>
    <row r="182" spans="1:22" outlineLevel="1" x14ac:dyDescent="0.25">
      <c r="C182" s="22" t="s">
        <v>88</v>
      </c>
    </row>
    <row r="183" spans="1:22" ht="39" outlineLevel="1" x14ac:dyDescent="0.25">
      <c r="A183" s="10"/>
      <c r="B183" s="11"/>
      <c r="C183" s="13"/>
      <c r="D183" s="13"/>
      <c r="E183" s="14" t="s">
        <v>92</v>
      </c>
      <c r="F183" s="14" t="s">
        <v>130</v>
      </c>
      <c r="G183" s="14" t="s">
        <v>89</v>
      </c>
      <c r="H183" s="14" t="s">
        <v>173</v>
      </c>
    </row>
    <row r="184" spans="1:22" outlineLevel="1" x14ac:dyDescent="0.25">
      <c r="E184" s="80">
        <f>'State Data'!AJ56</f>
        <v>4463</v>
      </c>
      <c r="F184" s="80">
        <f>E184</f>
        <v>4463</v>
      </c>
      <c r="G184" s="116">
        <f>'State Q&amp;A'!A4</f>
        <v>8.3333333333333329E-2</v>
      </c>
      <c r="H184" s="95">
        <f>F184*G184</f>
        <v>371.91666666666663</v>
      </c>
    </row>
    <row r="185" spans="1:22" ht="63.75" customHeight="1" outlineLevel="1" x14ac:dyDescent="0.25">
      <c r="C185" s="310" t="s">
        <v>135</v>
      </c>
      <c r="D185" s="310"/>
      <c r="E185" s="310"/>
      <c r="F185" s="310"/>
      <c r="G185" s="310"/>
      <c r="H185" s="310"/>
    </row>
    <row r="186" spans="1:22" outlineLevel="1" x14ac:dyDescent="0.25"/>
    <row r="187" spans="1:22" outlineLevel="1" x14ac:dyDescent="0.25">
      <c r="C187" s="22" t="s">
        <v>98</v>
      </c>
    </row>
    <row r="188" spans="1:22" ht="51.75" outlineLevel="1" x14ac:dyDescent="0.25">
      <c r="C188" s="13"/>
      <c r="D188" s="13"/>
      <c r="E188" s="14" t="s">
        <v>93</v>
      </c>
      <c r="F188" s="14" t="s">
        <v>131</v>
      </c>
      <c r="G188" s="14" t="s">
        <v>89</v>
      </c>
      <c r="H188" s="14" t="s">
        <v>173</v>
      </c>
    </row>
    <row r="189" spans="1:22" outlineLevel="1" x14ac:dyDescent="0.25">
      <c r="E189" s="80">
        <f>'State Data'!AK56</f>
        <v>2027.1497780270251</v>
      </c>
      <c r="F189" s="80">
        <f>E189</f>
        <v>2027.1497780270251</v>
      </c>
      <c r="G189" s="116">
        <f>'State Q&amp;A'!A6</f>
        <v>0.91666666666666663</v>
      </c>
      <c r="H189" s="95">
        <f>F189*G189</f>
        <v>1858.2206298581063</v>
      </c>
    </row>
    <row r="190" spans="1:22" ht="137.25" customHeight="1" outlineLevel="1" x14ac:dyDescent="0.25">
      <c r="C190" s="310" t="s">
        <v>489</v>
      </c>
      <c r="D190" s="310"/>
      <c r="E190" s="310"/>
      <c r="F190" s="310"/>
      <c r="G190" s="310"/>
      <c r="H190" s="310"/>
    </row>
    <row r="191" spans="1:22" outlineLevel="1" x14ac:dyDescent="0.25"/>
    <row r="192" spans="1:22" outlineLevel="1" x14ac:dyDescent="0.25">
      <c r="B192" s="7" t="s">
        <v>94</v>
      </c>
    </row>
    <row r="193" spans="1:22" outlineLevel="1" x14ac:dyDescent="0.25">
      <c r="C193" s="22" t="s">
        <v>79</v>
      </c>
    </row>
    <row r="194" spans="1:22" ht="39" outlineLevel="1" x14ac:dyDescent="0.25">
      <c r="A194" s="10"/>
      <c r="B194" s="11"/>
      <c r="C194" s="14" t="s">
        <v>81</v>
      </c>
      <c r="D194" s="14" t="s">
        <v>82</v>
      </c>
      <c r="E194" s="14" t="s">
        <v>83</v>
      </c>
      <c r="F194" s="14" t="s">
        <v>84</v>
      </c>
      <c r="G194" s="14" t="s">
        <v>85</v>
      </c>
      <c r="H194" s="14" t="s">
        <v>173</v>
      </c>
    </row>
    <row r="195" spans="1:22" outlineLevel="1" x14ac:dyDescent="0.25">
      <c r="C195" s="15">
        <f>'State Data'!AH57</f>
        <v>9</v>
      </c>
      <c r="D195" s="29">
        <v>0</v>
      </c>
      <c r="E195" s="29">
        <f>'Interface Development'!E9</f>
        <v>63.8</v>
      </c>
      <c r="F195" s="29">
        <f>'Interface Development'!F9</f>
        <v>58.8</v>
      </c>
      <c r="G195" s="15">
        <f>SUM(D195:F195)</f>
        <v>122.6</v>
      </c>
      <c r="H195" s="15">
        <f>G195*C195</f>
        <v>1103.3999999999999</v>
      </c>
    </row>
    <row r="196" spans="1:22" ht="76.5" customHeight="1" outlineLevel="1" x14ac:dyDescent="0.25">
      <c r="C196" s="310" t="s">
        <v>200</v>
      </c>
      <c r="D196" s="310"/>
      <c r="E196" s="310"/>
      <c r="F196" s="310"/>
      <c r="G196" s="310"/>
      <c r="H196" s="310"/>
    </row>
    <row r="197" spans="1:22" outlineLevel="1" x14ac:dyDescent="0.25">
      <c r="C197" s="22" t="s">
        <v>174</v>
      </c>
    </row>
    <row r="198" spans="1:22" ht="26.25" outlineLevel="1" x14ac:dyDescent="0.25">
      <c r="D198" s="13"/>
      <c r="E198" s="13"/>
      <c r="F198" s="23"/>
      <c r="G198" s="23"/>
      <c r="H198" s="14" t="s">
        <v>173</v>
      </c>
    </row>
    <row r="199" spans="1:22" outlineLevel="1" x14ac:dyDescent="0.25">
      <c r="F199" s="24"/>
      <c r="G199" s="24"/>
      <c r="H199" s="21">
        <v>0</v>
      </c>
    </row>
    <row r="200" spans="1:22" ht="80.25" customHeight="1" outlineLevel="1" x14ac:dyDescent="0.25">
      <c r="C200" s="310" t="s">
        <v>506</v>
      </c>
      <c r="D200" s="310"/>
      <c r="E200" s="310"/>
      <c r="F200" s="310"/>
      <c r="G200" s="310"/>
      <c r="H200" s="310"/>
    </row>
    <row r="201" spans="1:22" outlineLevel="1" x14ac:dyDescent="0.25"/>
    <row r="202" spans="1:22" x14ac:dyDescent="0.25">
      <c r="A202" s="8" t="s">
        <v>104</v>
      </c>
    </row>
    <row r="203" spans="1:22" outlineLevel="1" x14ac:dyDescent="0.25">
      <c r="B203" s="7" t="s">
        <v>86</v>
      </c>
    </row>
    <row r="204" spans="1:22" outlineLevel="1" x14ac:dyDescent="0.25">
      <c r="C204" s="22" t="s">
        <v>87</v>
      </c>
    </row>
    <row r="205" spans="1:22" ht="39" outlineLevel="1" x14ac:dyDescent="0.25">
      <c r="A205" s="10"/>
      <c r="B205" s="11"/>
      <c r="C205" s="13"/>
      <c r="D205" s="13"/>
      <c r="E205" s="14" t="s">
        <v>96</v>
      </c>
      <c r="F205" s="14" t="s">
        <v>95</v>
      </c>
      <c r="G205" s="14" t="s">
        <v>89</v>
      </c>
      <c r="H205" s="14" t="s">
        <v>173</v>
      </c>
    </row>
    <row r="206" spans="1:22" outlineLevel="1" x14ac:dyDescent="0.25">
      <c r="E206" s="80">
        <f>'State Data'!AL56</f>
        <v>3809</v>
      </c>
      <c r="F206" s="80">
        <f>'State Data'!AM56</f>
        <v>2943</v>
      </c>
      <c r="G206" s="116">
        <f>'State Q&amp;A'!A2</f>
        <v>0.875</v>
      </c>
      <c r="H206" s="95">
        <f>F206*G206</f>
        <v>2575.125</v>
      </c>
    </row>
    <row r="207" spans="1:22" s="28" customFormat="1" ht="42.75" customHeight="1" outlineLevel="1" x14ac:dyDescent="0.25">
      <c r="A207" s="25"/>
      <c r="B207" s="26"/>
      <c r="C207" s="310" t="s">
        <v>102</v>
      </c>
      <c r="D207" s="310"/>
      <c r="E207" s="310"/>
      <c r="F207" s="310"/>
      <c r="G207" s="310"/>
      <c r="H207" s="310"/>
      <c r="I207" s="27"/>
      <c r="J207" s="27"/>
      <c r="K207" s="27"/>
      <c r="L207" s="27"/>
      <c r="M207" s="27"/>
      <c r="N207" s="27"/>
      <c r="O207" s="27"/>
      <c r="P207" s="27"/>
      <c r="Q207" s="27"/>
      <c r="R207" s="27"/>
      <c r="S207" s="27"/>
      <c r="T207" s="27"/>
      <c r="U207" s="27"/>
      <c r="V207" s="27"/>
    </row>
    <row r="208" spans="1:22" outlineLevel="1" x14ac:dyDescent="0.25"/>
    <row r="209" spans="1:8" outlineLevel="1" x14ac:dyDescent="0.25">
      <c r="C209" s="22" t="s">
        <v>88</v>
      </c>
    </row>
    <row r="210" spans="1:8" ht="39" outlineLevel="1" x14ac:dyDescent="0.25">
      <c r="A210" s="10"/>
      <c r="B210" s="11"/>
      <c r="C210" s="13"/>
      <c r="D210" s="13"/>
      <c r="E210" s="14" t="s">
        <v>92</v>
      </c>
      <c r="F210" s="14" t="s">
        <v>130</v>
      </c>
      <c r="G210" s="14" t="s">
        <v>89</v>
      </c>
      <c r="H210" s="14" t="s">
        <v>173</v>
      </c>
    </row>
    <row r="211" spans="1:8" outlineLevel="1" x14ac:dyDescent="0.25">
      <c r="E211" s="80">
        <f>'State Data'!AN56</f>
        <v>1066</v>
      </c>
      <c r="F211" s="80">
        <f>E211</f>
        <v>1066</v>
      </c>
      <c r="G211" s="116">
        <f>'State Q&amp;A'!A4</f>
        <v>8.3333333333333329E-2</v>
      </c>
      <c r="H211" s="95">
        <f>F211*G211</f>
        <v>88.833333333333329</v>
      </c>
    </row>
    <row r="212" spans="1:8" ht="64.5" customHeight="1" outlineLevel="1" x14ac:dyDescent="0.25">
      <c r="C212" s="310" t="s">
        <v>135</v>
      </c>
      <c r="D212" s="310"/>
      <c r="E212" s="310"/>
      <c r="F212" s="310"/>
      <c r="G212" s="310"/>
      <c r="H212" s="310"/>
    </row>
    <row r="213" spans="1:8" outlineLevel="1" x14ac:dyDescent="0.25"/>
    <row r="214" spans="1:8" outlineLevel="1" x14ac:dyDescent="0.25">
      <c r="C214" s="22" t="s">
        <v>98</v>
      </c>
    </row>
    <row r="215" spans="1:8" ht="51.75" outlineLevel="1" x14ac:dyDescent="0.25">
      <c r="C215" s="13"/>
      <c r="D215" s="13"/>
      <c r="E215" s="14" t="s">
        <v>93</v>
      </c>
      <c r="F215" s="14" t="s">
        <v>131</v>
      </c>
      <c r="G215" s="14" t="s">
        <v>89</v>
      </c>
      <c r="H215" s="14" t="s">
        <v>173</v>
      </c>
    </row>
    <row r="216" spans="1:8" outlineLevel="1" x14ac:dyDescent="0.25">
      <c r="E216" s="80">
        <f>'State Data'!AO56</f>
        <v>456.23981900452486</v>
      </c>
      <c r="F216" s="80">
        <f>E216</f>
        <v>456.23981900452486</v>
      </c>
      <c r="G216" s="116">
        <f>'State Q&amp;A'!A6</f>
        <v>0.91666666666666663</v>
      </c>
      <c r="H216" s="95">
        <f>F216*G216</f>
        <v>418.2198340874811</v>
      </c>
    </row>
    <row r="217" spans="1:8" ht="143.25" customHeight="1" outlineLevel="1" x14ac:dyDescent="0.25">
      <c r="C217" s="310" t="s">
        <v>489</v>
      </c>
      <c r="D217" s="310"/>
      <c r="E217" s="310"/>
      <c r="F217" s="310"/>
      <c r="G217" s="310"/>
      <c r="H217" s="310"/>
    </row>
    <row r="218" spans="1:8" outlineLevel="1" x14ac:dyDescent="0.25"/>
    <row r="219" spans="1:8" outlineLevel="1" x14ac:dyDescent="0.25">
      <c r="B219" s="7" t="s">
        <v>94</v>
      </c>
    </row>
    <row r="220" spans="1:8" outlineLevel="1" x14ac:dyDescent="0.25">
      <c r="C220" s="22" t="s">
        <v>79</v>
      </c>
    </row>
    <row r="221" spans="1:8" ht="39" outlineLevel="1" x14ac:dyDescent="0.25">
      <c r="A221" s="10"/>
      <c r="B221" s="11"/>
      <c r="C221" s="14" t="s">
        <v>81</v>
      </c>
      <c r="D221" s="14" t="s">
        <v>82</v>
      </c>
      <c r="E221" s="14" t="s">
        <v>83</v>
      </c>
      <c r="F221" s="14" t="s">
        <v>84</v>
      </c>
      <c r="G221" s="14" t="s">
        <v>85</v>
      </c>
      <c r="H221" s="14" t="s">
        <v>173</v>
      </c>
    </row>
    <row r="222" spans="1:8" outlineLevel="1" x14ac:dyDescent="0.25">
      <c r="C222" s="15">
        <f>'State Data'!AM57</f>
        <v>4</v>
      </c>
      <c r="D222" s="29">
        <v>0</v>
      </c>
      <c r="E222" s="29">
        <f>'Interface Development'!E9</f>
        <v>63.8</v>
      </c>
      <c r="F222" s="29">
        <f>'Interface Development'!F9</f>
        <v>58.8</v>
      </c>
      <c r="G222" s="15">
        <f>SUM(D222:F222)</f>
        <v>122.6</v>
      </c>
      <c r="H222" s="15">
        <f>G222*C222</f>
        <v>490.4</v>
      </c>
    </row>
    <row r="223" spans="1:8" ht="76.5" customHeight="1" outlineLevel="1" x14ac:dyDescent="0.25">
      <c r="C223" s="310" t="s">
        <v>200</v>
      </c>
      <c r="D223" s="310"/>
      <c r="E223" s="310"/>
      <c r="F223" s="310"/>
      <c r="G223" s="310"/>
      <c r="H223" s="310"/>
    </row>
    <row r="224" spans="1:8" outlineLevel="1" x14ac:dyDescent="0.25">
      <c r="C224" s="22" t="s">
        <v>174</v>
      </c>
    </row>
    <row r="225" spans="1:22" ht="26.25" outlineLevel="1" x14ac:dyDescent="0.25">
      <c r="D225" s="13"/>
      <c r="E225" s="13"/>
      <c r="F225" s="23"/>
      <c r="G225" s="23"/>
      <c r="H225" s="14" t="s">
        <v>173</v>
      </c>
    </row>
    <row r="226" spans="1:22" outlineLevel="1" x14ac:dyDescent="0.25">
      <c r="F226" s="24"/>
      <c r="G226" s="24"/>
      <c r="H226" s="21">
        <v>0</v>
      </c>
    </row>
    <row r="227" spans="1:22" ht="87" customHeight="1" outlineLevel="1" x14ac:dyDescent="0.25">
      <c r="C227" s="310" t="s">
        <v>506</v>
      </c>
      <c r="D227" s="310"/>
      <c r="E227" s="310"/>
      <c r="F227" s="310"/>
      <c r="G227" s="310"/>
      <c r="H227" s="310"/>
    </row>
    <row r="228" spans="1:22" outlineLevel="1" x14ac:dyDescent="0.25"/>
    <row r="229" spans="1:22" x14ac:dyDescent="0.25">
      <c r="A229" s="8" t="s">
        <v>80</v>
      </c>
    </row>
    <row r="230" spans="1:22" outlineLevel="1" x14ac:dyDescent="0.25">
      <c r="B230" s="7" t="s">
        <v>86</v>
      </c>
    </row>
    <row r="231" spans="1:22" outlineLevel="1" x14ac:dyDescent="0.25">
      <c r="C231" s="22" t="s">
        <v>87</v>
      </c>
    </row>
    <row r="232" spans="1:22" s="13" customFormat="1" ht="39" outlineLevel="1" x14ac:dyDescent="0.25">
      <c r="A232" s="10"/>
      <c r="B232" s="11"/>
      <c r="E232" s="14" t="s">
        <v>96</v>
      </c>
      <c r="F232" s="14" t="s">
        <v>95</v>
      </c>
      <c r="G232" s="14" t="s">
        <v>89</v>
      </c>
      <c r="H232" s="14" t="s">
        <v>173</v>
      </c>
      <c r="I232" s="12"/>
      <c r="J232" s="12"/>
      <c r="K232" s="12"/>
      <c r="L232" s="12"/>
      <c r="M232" s="12"/>
      <c r="N232" s="12"/>
      <c r="O232" s="12"/>
      <c r="P232" s="12"/>
      <c r="Q232" s="12"/>
      <c r="R232" s="12"/>
      <c r="S232" s="12"/>
      <c r="T232" s="12"/>
      <c r="U232" s="12"/>
      <c r="V232" s="12"/>
    </row>
    <row r="233" spans="1:22" outlineLevel="1" x14ac:dyDescent="0.25">
      <c r="E233" s="80">
        <f>'State Data'!AP56</f>
        <v>115</v>
      </c>
      <c r="F233" s="80">
        <f>'State Data'!AQ56</f>
        <v>115</v>
      </c>
      <c r="G233" s="116">
        <f>'State Q&amp;A'!A2</f>
        <v>0.875</v>
      </c>
      <c r="H233" s="95">
        <f>F233*G233</f>
        <v>100.625</v>
      </c>
    </row>
    <row r="234" spans="1:22" s="28" customFormat="1" ht="42.75" customHeight="1" outlineLevel="1" x14ac:dyDescent="0.25">
      <c r="A234" s="25"/>
      <c r="B234" s="26"/>
      <c r="C234" s="310" t="s">
        <v>102</v>
      </c>
      <c r="D234" s="310"/>
      <c r="E234" s="310"/>
      <c r="F234" s="310"/>
      <c r="G234" s="310"/>
      <c r="H234" s="310"/>
      <c r="I234" s="27"/>
      <c r="J234" s="27"/>
      <c r="K234" s="27"/>
      <c r="L234" s="27"/>
      <c r="M234" s="27"/>
      <c r="N234" s="27"/>
      <c r="O234" s="27"/>
      <c r="P234" s="27"/>
      <c r="Q234" s="27"/>
      <c r="R234" s="27"/>
      <c r="S234" s="27"/>
      <c r="T234" s="27"/>
      <c r="U234" s="27"/>
      <c r="V234" s="27"/>
    </row>
    <row r="235" spans="1:22" outlineLevel="1" x14ac:dyDescent="0.25"/>
    <row r="236" spans="1:22" outlineLevel="1" x14ac:dyDescent="0.25">
      <c r="C236" s="22" t="s">
        <v>88</v>
      </c>
    </row>
    <row r="237" spans="1:22" s="13" customFormat="1" ht="39" outlineLevel="1" x14ac:dyDescent="0.25">
      <c r="A237" s="10"/>
      <c r="B237" s="11"/>
      <c r="E237" s="14" t="s">
        <v>92</v>
      </c>
      <c r="F237" s="14" t="s">
        <v>130</v>
      </c>
      <c r="G237" s="14" t="s">
        <v>89</v>
      </c>
      <c r="H237" s="14" t="s">
        <v>173</v>
      </c>
      <c r="I237" s="12"/>
      <c r="J237" s="12"/>
      <c r="K237" s="12"/>
      <c r="L237" s="12"/>
      <c r="M237" s="12"/>
      <c r="N237" s="12"/>
      <c r="O237" s="12"/>
      <c r="P237" s="12"/>
      <c r="Q237" s="12"/>
      <c r="R237" s="12"/>
      <c r="S237" s="12"/>
      <c r="T237" s="12"/>
      <c r="U237" s="12"/>
      <c r="V237" s="12"/>
    </row>
    <row r="238" spans="1:22" outlineLevel="1" x14ac:dyDescent="0.25">
      <c r="E238" s="80">
        <f>'State Data'!AR56</f>
        <v>150</v>
      </c>
      <c r="F238" s="80">
        <f>(F233/E233)*E238</f>
        <v>150</v>
      </c>
      <c r="G238" s="116">
        <f>'State Q&amp;A'!A4</f>
        <v>8.3333333333333329E-2</v>
      </c>
      <c r="H238" s="95">
        <f>F238*G238</f>
        <v>12.5</v>
      </c>
    </row>
    <row r="239" spans="1:22" ht="59.25" customHeight="1" outlineLevel="1" x14ac:dyDescent="0.25">
      <c r="C239" s="310" t="s">
        <v>135</v>
      </c>
      <c r="D239" s="310"/>
      <c r="E239" s="310"/>
      <c r="F239" s="310"/>
      <c r="G239" s="310"/>
      <c r="H239" s="310"/>
    </row>
    <row r="240" spans="1:22" outlineLevel="1" x14ac:dyDescent="0.25"/>
    <row r="241" spans="1:22" outlineLevel="1" x14ac:dyDescent="0.25">
      <c r="C241" s="22" t="s">
        <v>98</v>
      </c>
    </row>
    <row r="242" spans="1:22" ht="51.75" outlineLevel="1" x14ac:dyDescent="0.25">
      <c r="C242" s="13"/>
      <c r="D242" s="13"/>
      <c r="E242" s="14" t="s">
        <v>93</v>
      </c>
      <c r="F242" s="14" t="s">
        <v>131</v>
      </c>
      <c r="G242" s="14" t="s">
        <v>89</v>
      </c>
      <c r="H242" s="14" t="s">
        <v>173</v>
      </c>
    </row>
    <row r="243" spans="1:22" outlineLevel="1" x14ac:dyDescent="0.25">
      <c r="E243" s="80">
        <f>'State Data'!AS56</f>
        <v>13</v>
      </c>
      <c r="F243" s="80">
        <f>E243</f>
        <v>13</v>
      </c>
      <c r="G243" s="116">
        <f>'State Q&amp;A'!A6</f>
        <v>0.91666666666666663</v>
      </c>
      <c r="H243" s="95">
        <f>F243*G243</f>
        <v>11.916666666666666</v>
      </c>
    </row>
    <row r="244" spans="1:22" ht="126" customHeight="1" outlineLevel="1" x14ac:dyDescent="0.25">
      <c r="C244" s="310" t="s">
        <v>489</v>
      </c>
      <c r="D244" s="310"/>
      <c r="E244" s="310"/>
      <c r="F244" s="310"/>
      <c r="G244" s="310"/>
      <c r="H244" s="310"/>
    </row>
    <row r="245" spans="1:22" outlineLevel="1" x14ac:dyDescent="0.25"/>
    <row r="246" spans="1:22" outlineLevel="1" x14ac:dyDescent="0.25">
      <c r="B246" s="7" t="s">
        <v>94</v>
      </c>
    </row>
    <row r="247" spans="1:22" outlineLevel="1" x14ac:dyDescent="0.25">
      <c r="C247" s="22" t="s">
        <v>79</v>
      </c>
    </row>
    <row r="248" spans="1:22" s="13" customFormat="1" ht="39" outlineLevel="1" x14ac:dyDescent="0.25">
      <c r="A248" s="10"/>
      <c r="B248" s="11"/>
      <c r="C248" s="14" t="s">
        <v>81</v>
      </c>
      <c r="D248" s="14" t="s">
        <v>82</v>
      </c>
      <c r="E248" s="14" t="s">
        <v>83</v>
      </c>
      <c r="F248" s="14" t="s">
        <v>84</v>
      </c>
      <c r="G248" s="14" t="s">
        <v>85</v>
      </c>
      <c r="H248" s="14" t="s">
        <v>173</v>
      </c>
      <c r="I248" s="12"/>
      <c r="J248" s="12"/>
      <c r="K248" s="12"/>
      <c r="L248" s="12"/>
      <c r="M248" s="12"/>
      <c r="N248" s="12"/>
      <c r="O248" s="12"/>
      <c r="P248" s="12"/>
      <c r="Q248" s="12"/>
      <c r="R248" s="12"/>
      <c r="S248" s="12"/>
      <c r="T248" s="12"/>
      <c r="U248" s="12"/>
      <c r="V248" s="12"/>
    </row>
    <row r="249" spans="1:22" outlineLevel="1" x14ac:dyDescent="0.25">
      <c r="C249" s="15">
        <f>'State Data'!AQ57</f>
        <v>1</v>
      </c>
      <c r="D249" s="29">
        <f>'Interface Development'!D9</f>
        <v>118.00000000000001</v>
      </c>
      <c r="E249" s="29">
        <f>'Interface Development'!E9</f>
        <v>63.8</v>
      </c>
      <c r="F249" s="29">
        <f>'Interface Development'!F9</f>
        <v>58.8</v>
      </c>
      <c r="G249" s="15">
        <f>SUM(D249:F249)</f>
        <v>240.60000000000002</v>
      </c>
      <c r="H249" s="15">
        <f>G249*C249</f>
        <v>240.60000000000002</v>
      </c>
    </row>
    <row r="250" spans="1:22" ht="76.5" customHeight="1" outlineLevel="1" x14ac:dyDescent="0.25">
      <c r="C250" s="310" t="s">
        <v>200</v>
      </c>
      <c r="D250" s="310"/>
      <c r="E250" s="310"/>
      <c r="F250" s="310"/>
      <c r="G250" s="310"/>
      <c r="H250" s="310"/>
    </row>
    <row r="251" spans="1:22" outlineLevel="1" x14ac:dyDescent="0.25">
      <c r="C251" s="22" t="s">
        <v>174</v>
      </c>
    </row>
    <row r="252" spans="1:22" ht="26.25" outlineLevel="1" x14ac:dyDescent="0.25">
      <c r="D252" s="13"/>
      <c r="E252" s="13"/>
      <c r="F252" s="23"/>
      <c r="G252" s="23"/>
      <c r="H252" s="14" t="s">
        <v>173</v>
      </c>
    </row>
    <row r="253" spans="1:22" outlineLevel="1" x14ac:dyDescent="0.25">
      <c r="F253" s="24"/>
      <c r="G253" s="24"/>
      <c r="H253" s="21">
        <v>0</v>
      </c>
    </row>
    <row r="254" spans="1:22" ht="81.75" customHeight="1" outlineLevel="1" x14ac:dyDescent="0.25">
      <c r="C254" s="310" t="s">
        <v>506</v>
      </c>
      <c r="D254" s="310"/>
      <c r="E254" s="310"/>
      <c r="F254" s="310"/>
      <c r="G254" s="310"/>
      <c r="H254" s="310"/>
    </row>
    <row r="255" spans="1:22" outlineLevel="1" x14ac:dyDescent="0.25"/>
  </sheetData>
  <mergeCells count="44">
    <mergeCell ref="C72:H72"/>
    <mergeCell ref="C126:H126"/>
    <mergeCell ref="C131:H131"/>
    <mergeCell ref="C88:H88"/>
    <mergeCell ref="C115:H115"/>
    <mergeCell ref="C82:H82"/>
    <mergeCell ref="C92:H92"/>
    <mergeCell ref="C99:H99"/>
    <mergeCell ref="C104:H104"/>
    <mergeCell ref="C109:H109"/>
    <mergeCell ref="C119:H119"/>
    <mergeCell ref="C77:H77"/>
    <mergeCell ref="C254:H254"/>
    <mergeCell ref="C207:H207"/>
    <mergeCell ref="C212:H212"/>
    <mergeCell ref="C217:H217"/>
    <mergeCell ref="C227:H227"/>
    <mergeCell ref="C153:H153"/>
    <mergeCell ref="C158:H158"/>
    <mergeCell ref="C163:H163"/>
    <mergeCell ref="C173:H173"/>
    <mergeCell ref="C136:H136"/>
    <mergeCell ref="C146:H146"/>
    <mergeCell ref="C142:H142"/>
    <mergeCell ref="C169:H169"/>
    <mergeCell ref="A6:J6"/>
    <mergeCell ref="C45:H45"/>
    <mergeCell ref="C50:H50"/>
    <mergeCell ref="C55:H55"/>
    <mergeCell ref="C65:H65"/>
    <mergeCell ref="C18:H18"/>
    <mergeCell ref="C23:H23"/>
    <mergeCell ref="C28:H28"/>
    <mergeCell ref="C38:H38"/>
    <mergeCell ref="C196:H196"/>
    <mergeCell ref="C223:H223"/>
    <mergeCell ref="C250:H250"/>
    <mergeCell ref="C200:H200"/>
    <mergeCell ref="C180:H180"/>
    <mergeCell ref="C185:H185"/>
    <mergeCell ref="C190:H190"/>
    <mergeCell ref="C234:H234"/>
    <mergeCell ref="C239:H239"/>
    <mergeCell ref="C244:H244"/>
  </mergeCells>
  <printOptions horizontalCentered="1"/>
  <pageMargins left="0.25" right="0.25" top="0.75" bottom="0.75" header="0.3" footer="0.3"/>
  <pageSetup scale="90" orientation="portrait" r:id="rId1"/>
  <rowBreaks count="9" manualBreakCount="9">
    <brk id="12" max="14" man="1"/>
    <brk id="39" max="14" man="1"/>
    <brk id="66" max="14" man="1"/>
    <brk id="93" max="14" man="1"/>
    <brk id="120" max="14" man="1"/>
    <brk id="147" max="14" man="1"/>
    <brk id="174" max="14" man="1"/>
    <brk id="201" max="14" man="1"/>
    <brk id="228" max="14" man="1"/>
  </rowBreaks>
  <colBreaks count="1" manualBreakCount="1">
    <brk id="9" max="21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topLeftCell="A56" zoomScaleNormal="100" workbookViewId="0">
      <selection activeCell="H70" sqref="B70:H75"/>
    </sheetView>
  </sheetViews>
  <sheetFormatPr defaultRowHeight="15" x14ac:dyDescent="0.25"/>
  <cols>
    <col min="1" max="1" width="3.7109375" style="3" customWidth="1"/>
    <col min="2" max="2" width="13.28515625" customWidth="1"/>
    <col min="3" max="7" width="11.85546875" customWidth="1"/>
    <col min="8" max="8" width="11.85546875" style="1" customWidth="1"/>
    <col min="9" max="9" width="9.140625" style="1"/>
    <col min="10" max="10" width="2.85546875" style="2" customWidth="1"/>
    <col min="11" max="11" width="55.42578125" style="1" customWidth="1"/>
    <col min="12" max="14" width="16.28515625" style="1" customWidth="1"/>
    <col min="15" max="15" width="3.85546875" style="1" customWidth="1"/>
    <col min="16" max="18" width="16.28515625" style="1" customWidth="1"/>
    <col min="19" max="16384" width="9.140625" style="1"/>
  </cols>
  <sheetData>
    <row r="1" spans="1:18" x14ac:dyDescent="0.25">
      <c r="P1" s="321" t="s">
        <v>316</v>
      </c>
      <c r="Q1" s="321"/>
      <c r="R1" s="321"/>
    </row>
    <row r="2" spans="1:18" ht="39" x14ac:dyDescent="0.25">
      <c r="B2" s="225" t="s">
        <v>305</v>
      </c>
      <c r="C2" s="226">
        <v>33.020000000000003</v>
      </c>
      <c r="J2" s="319" t="s">
        <v>296</v>
      </c>
      <c r="K2" s="320"/>
      <c r="L2" s="126" t="s">
        <v>313</v>
      </c>
      <c r="M2" s="126" t="s">
        <v>314</v>
      </c>
      <c r="N2" s="127" t="s">
        <v>315</v>
      </c>
      <c r="P2" s="245" t="s">
        <v>313</v>
      </c>
      <c r="Q2" s="245" t="s">
        <v>314</v>
      </c>
      <c r="R2" s="246" t="s">
        <v>315</v>
      </c>
    </row>
    <row r="3" spans="1:18" x14ac:dyDescent="0.25">
      <c r="J3" s="161">
        <v>1</v>
      </c>
      <c r="K3" s="112" t="s">
        <v>286</v>
      </c>
      <c r="L3" s="238">
        <f>C19</f>
        <v>21650.534440977124</v>
      </c>
      <c r="M3" s="239">
        <f>E19</f>
        <v>714900.64724106481</v>
      </c>
      <c r="N3" s="239">
        <f>H19</f>
        <v>25532.165972895167</v>
      </c>
      <c r="P3" s="238">
        <f>'SuppStmt Effort'!K3</f>
        <v>21650.534440977124</v>
      </c>
      <c r="Q3" s="239">
        <f>P3*C$2</f>
        <v>714900.6472410647</v>
      </c>
      <c r="R3" s="239">
        <f>Q3/'1 - Init Submission'!L14</f>
        <v>25532.165972895167</v>
      </c>
    </row>
    <row r="4" spans="1:18" x14ac:dyDescent="0.25">
      <c r="J4" s="51">
        <v>2</v>
      </c>
      <c r="K4" s="19" t="s">
        <v>291</v>
      </c>
      <c r="L4" s="238">
        <f>C27</f>
        <v>109434.54074414239</v>
      </c>
      <c r="M4" s="239">
        <f>E27</f>
        <v>3613528.5353715825</v>
      </c>
      <c r="N4" s="239">
        <f>H27</f>
        <v>72270.570707431645</v>
      </c>
      <c r="P4" s="238">
        <f>'SuppStmt Effort'!K4</f>
        <v>109434.54074414239</v>
      </c>
      <c r="Q4" s="239">
        <f t="shared" ref="Q4:Q10" si="0">P4*C$2</f>
        <v>3613528.535371582</v>
      </c>
      <c r="R4" s="239">
        <f>Q4/50</f>
        <v>72270.570707431645</v>
      </c>
    </row>
    <row r="5" spans="1:18" x14ac:dyDescent="0.25">
      <c r="J5" s="161">
        <v>3</v>
      </c>
      <c r="K5" s="112" t="s">
        <v>292</v>
      </c>
      <c r="L5" s="238">
        <f>C35</f>
        <v>26663.838170127245</v>
      </c>
      <c r="M5" s="239">
        <f>E35</f>
        <v>880439.9363776017</v>
      </c>
      <c r="N5" s="239">
        <f>H35</f>
        <v>17608.798727552035</v>
      </c>
      <c r="P5" s="238">
        <f>'SuppStmt Effort'!K5</f>
        <v>26663.838170127245</v>
      </c>
      <c r="Q5" s="239">
        <f t="shared" si="0"/>
        <v>880439.9363776017</v>
      </c>
      <c r="R5" s="239">
        <f t="shared" ref="R5:R10" si="1">Q5/50</f>
        <v>17608.798727552035</v>
      </c>
    </row>
    <row r="6" spans="1:18" x14ac:dyDescent="0.25">
      <c r="J6" s="51">
        <v>4</v>
      </c>
      <c r="K6" s="19" t="s">
        <v>293</v>
      </c>
      <c r="L6" s="238">
        <f>C43</f>
        <v>15609.333333333334</v>
      </c>
      <c r="M6" s="239">
        <f>E43</f>
        <v>515420.1866666667</v>
      </c>
      <c r="N6" s="239">
        <f>H43</f>
        <v>10308.403733333334</v>
      </c>
      <c r="P6" s="238">
        <f>'SuppStmt Effort'!K6</f>
        <v>15609.333333333334</v>
      </c>
      <c r="Q6" s="239">
        <f t="shared" si="0"/>
        <v>515420.18666666676</v>
      </c>
      <c r="R6" s="239">
        <f t="shared" si="1"/>
        <v>10308.403733333334</v>
      </c>
    </row>
    <row r="7" spans="1:18" x14ac:dyDescent="0.25">
      <c r="J7" s="161">
        <v>5</v>
      </c>
      <c r="K7" s="112" t="s">
        <v>239</v>
      </c>
      <c r="L7" s="238">
        <f>C51</f>
        <v>291278.14796691685</v>
      </c>
      <c r="M7" s="239">
        <f>E51</f>
        <v>9618004.4458675943</v>
      </c>
      <c r="N7" s="239">
        <f>H51</f>
        <v>192360.08891735191</v>
      </c>
      <c r="P7" s="238">
        <f>'SuppStmt Effort'!K7</f>
        <v>291278.14796691685</v>
      </c>
      <c r="Q7" s="239">
        <f t="shared" si="0"/>
        <v>9618004.4458675943</v>
      </c>
      <c r="R7" s="239">
        <f t="shared" si="1"/>
        <v>192360.08891735188</v>
      </c>
    </row>
    <row r="8" spans="1:18" x14ac:dyDescent="0.25">
      <c r="J8" s="51">
        <v>6</v>
      </c>
      <c r="K8" s="19" t="s">
        <v>240</v>
      </c>
      <c r="L8" s="238">
        <f>C59</f>
        <v>1194.375</v>
      </c>
      <c r="M8" s="239">
        <f>E59</f>
        <v>39438.262500000004</v>
      </c>
      <c r="N8" s="239">
        <f>H59</f>
        <v>788.76525000000004</v>
      </c>
      <c r="P8" s="238">
        <f>'SuppStmt Effort'!K8</f>
        <v>1194.375</v>
      </c>
      <c r="Q8" s="239">
        <f t="shared" si="0"/>
        <v>39438.262500000004</v>
      </c>
      <c r="R8" s="239">
        <f t="shared" si="1"/>
        <v>788.76525000000004</v>
      </c>
    </row>
    <row r="9" spans="1:18" x14ac:dyDescent="0.25">
      <c r="J9" s="161">
        <v>7</v>
      </c>
      <c r="K9" s="112" t="s">
        <v>241</v>
      </c>
      <c r="L9" s="238">
        <f>C67</f>
        <v>31.25</v>
      </c>
      <c r="M9" s="239">
        <f>E67</f>
        <v>1031.8750000000002</v>
      </c>
      <c r="N9" s="239">
        <f>H67</f>
        <v>20.637500000000003</v>
      </c>
      <c r="P9" s="238">
        <f>'SuppStmt Effort'!K9</f>
        <v>31.25</v>
      </c>
      <c r="Q9" s="239">
        <f t="shared" si="0"/>
        <v>1031.875</v>
      </c>
      <c r="R9" s="239">
        <f t="shared" si="1"/>
        <v>20.637499999999999</v>
      </c>
    </row>
    <row r="10" spans="1:18" x14ac:dyDescent="0.25">
      <c r="J10" s="51">
        <v>8</v>
      </c>
      <c r="K10" s="19" t="s">
        <v>294</v>
      </c>
      <c r="L10" s="238">
        <f>C75</f>
        <v>3.75</v>
      </c>
      <c r="M10" s="239">
        <f>E75</f>
        <v>123.825</v>
      </c>
      <c r="N10" s="239">
        <f>H75</f>
        <v>2.4765000000000001</v>
      </c>
      <c r="P10" s="238">
        <f>'SuppStmt Effort'!K10</f>
        <v>3.75</v>
      </c>
      <c r="Q10" s="239">
        <f t="shared" si="0"/>
        <v>123.82500000000002</v>
      </c>
      <c r="R10" s="239">
        <f t="shared" si="1"/>
        <v>2.4765000000000001</v>
      </c>
    </row>
    <row r="11" spans="1:18" s="3" customFormat="1" ht="12.75" x14ac:dyDescent="0.2">
      <c r="J11" s="198"/>
      <c r="K11" s="133" t="s">
        <v>312</v>
      </c>
      <c r="L11" s="242">
        <f>SUM(L3:L10)</f>
        <v>465865.76965549693</v>
      </c>
      <c r="M11" s="240">
        <f>SUM(M3:M10)</f>
        <v>15382887.714024508</v>
      </c>
      <c r="N11" s="241">
        <f>SUM(N3:N10)</f>
        <v>318891.90730856406</v>
      </c>
      <c r="P11" s="242">
        <f>SUM(P3:P10)</f>
        <v>465865.76965549693</v>
      </c>
      <c r="Q11" s="240">
        <f>SUM(Q3:Q10)</f>
        <v>15382887.714024507</v>
      </c>
      <c r="R11" s="241">
        <f>SUM(R3:R10)</f>
        <v>318891.90730856406</v>
      </c>
    </row>
    <row r="12" spans="1:18" x14ac:dyDescent="0.25">
      <c r="J12" s="203"/>
      <c r="K12" s="291" t="s">
        <v>509</v>
      </c>
      <c r="L12" s="292">
        <f>L11/418.643</f>
        <v>1112.7996160344182</v>
      </c>
      <c r="M12" s="293">
        <f>M11/418.643</f>
        <v>36744.64332145649</v>
      </c>
      <c r="N12" s="294"/>
      <c r="P12" s="243">
        <f>P11/418.643</f>
        <v>1112.7996160344182</v>
      </c>
      <c r="Q12" s="244">
        <f>Q11/418.643</f>
        <v>36744.643321456482</v>
      </c>
      <c r="R12" s="204"/>
    </row>
    <row r="13" spans="1:18" x14ac:dyDescent="0.25">
      <c r="A13" s="3" t="s">
        <v>297</v>
      </c>
    </row>
    <row r="14" spans="1:18" s="2" customFormat="1" ht="12.75" x14ac:dyDescent="0.2">
      <c r="A14" s="218"/>
      <c r="B14" s="188" t="s">
        <v>484</v>
      </c>
      <c r="C14" s="214"/>
      <c r="D14" s="214" t="s">
        <v>298</v>
      </c>
      <c r="E14" s="215"/>
      <c r="F14" s="214"/>
      <c r="G14" s="214" t="s">
        <v>299</v>
      </c>
      <c r="H14" s="215"/>
      <c r="K14" s="1"/>
      <c r="L14" s="1"/>
      <c r="M14" s="1"/>
      <c r="N14" s="1"/>
    </row>
    <row r="15" spans="1:18" ht="36" x14ac:dyDescent="0.2">
      <c r="B15" s="217"/>
      <c r="C15" s="222" t="s">
        <v>257</v>
      </c>
      <c r="D15" s="223" t="s">
        <v>300</v>
      </c>
      <c r="E15" s="224" t="s">
        <v>301</v>
      </c>
      <c r="F15" s="223" t="s">
        <v>257</v>
      </c>
      <c r="G15" s="223" t="s">
        <v>300</v>
      </c>
      <c r="H15" s="224" t="s">
        <v>301</v>
      </c>
    </row>
    <row r="16" spans="1:18" ht="24" x14ac:dyDescent="0.2">
      <c r="B16" s="210" t="s">
        <v>309</v>
      </c>
      <c r="C16" s="216">
        <f>'SuppStmt Effort'!F18</f>
        <v>62690.603322931376</v>
      </c>
      <c r="D16" s="211">
        <f>C16/2080</f>
        <v>30.139713136024699</v>
      </c>
      <c r="E16" s="227">
        <f>C16*$C$2</f>
        <v>2070043.7217231942</v>
      </c>
      <c r="F16" s="216">
        <f>'SuppStmt Effort'!E18</f>
        <v>2238.9501186761204</v>
      </c>
      <c r="G16" s="211">
        <f>F16/2080</f>
        <v>1.0764183262865963</v>
      </c>
      <c r="H16" s="227">
        <f>F16*$C$2</f>
        <v>73930.1329186855</v>
      </c>
    </row>
    <row r="17" spans="1:14" ht="24" x14ac:dyDescent="0.2">
      <c r="B17" s="180" t="s">
        <v>94</v>
      </c>
      <c r="C17" s="181">
        <f>'SuppStmt Effort'!F19</f>
        <v>2260.9999999999995</v>
      </c>
      <c r="D17" s="205">
        <f>C17/2080</f>
        <v>1.0870192307692306</v>
      </c>
      <c r="E17" s="227">
        <f>C17*$C$2</f>
        <v>74658.219999999987</v>
      </c>
      <c r="F17" s="181">
        <f>'SuppStmt Effort'!E19</f>
        <v>80.749999999999986</v>
      </c>
      <c r="G17" s="205">
        <f>F17/2080</f>
        <v>3.8822115384615379E-2</v>
      </c>
      <c r="H17" s="227">
        <f>F17*$C$2</f>
        <v>2666.3649999999998</v>
      </c>
    </row>
    <row r="18" spans="1:14" ht="12.75" x14ac:dyDescent="0.2">
      <c r="B18" s="234" t="s">
        <v>302</v>
      </c>
      <c r="C18" s="235">
        <f t="shared" ref="C18:H18" si="2">SUM(C16:C17)</f>
        <v>64951.603322931376</v>
      </c>
      <c r="D18" s="236">
        <f t="shared" si="2"/>
        <v>31.226732366793929</v>
      </c>
      <c r="E18" s="237">
        <f t="shared" si="2"/>
        <v>2144701.9417231944</v>
      </c>
      <c r="F18" s="186">
        <f t="shared" si="2"/>
        <v>2319.7001186761204</v>
      </c>
      <c r="G18" s="229">
        <f t="shared" si="2"/>
        <v>1.1152404416712116</v>
      </c>
      <c r="H18" s="231">
        <f t="shared" si="2"/>
        <v>76596.497918685505</v>
      </c>
    </row>
    <row r="19" spans="1:14" s="3" customFormat="1" ht="12.75" x14ac:dyDescent="0.2">
      <c r="B19" s="219" t="s">
        <v>304</v>
      </c>
      <c r="C19" s="232">
        <f t="shared" ref="C19:H19" si="3">C18/3</f>
        <v>21650.534440977124</v>
      </c>
      <c r="D19" s="228">
        <f t="shared" si="3"/>
        <v>10.40891078893131</v>
      </c>
      <c r="E19" s="233">
        <f t="shared" si="3"/>
        <v>714900.64724106481</v>
      </c>
      <c r="F19" s="221">
        <f t="shared" si="3"/>
        <v>773.23337289204017</v>
      </c>
      <c r="G19" s="230">
        <f t="shared" si="3"/>
        <v>0.37174681389040387</v>
      </c>
      <c r="H19" s="233">
        <f t="shared" si="3"/>
        <v>25532.165972895167</v>
      </c>
      <c r="J19" s="2"/>
      <c r="K19" s="1"/>
      <c r="L19" s="1"/>
      <c r="M19" s="1"/>
      <c r="N19" s="1"/>
    </row>
    <row r="21" spans="1:14" x14ac:dyDescent="0.25">
      <c r="A21" s="3" t="s">
        <v>306</v>
      </c>
    </row>
    <row r="22" spans="1:14" ht="12.75" x14ac:dyDescent="0.2">
      <c r="A22" s="218"/>
      <c r="B22" s="188"/>
      <c r="C22" s="214"/>
      <c r="D22" s="214" t="s">
        <v>298</v>
      </c>
      <c r="E22" s="215"/>
      <c r="F22" s="214"/>
      <c r="G22" s="214" t="s">
        <v>299</v>
      </c>
      <c r="H22" s="215"/>
    </row>
    <row r="23" spans="1:14" ht="36" x14ac:dyDescent="0.2">
      <c r="B23" s="217"/>
      <c r="C23" s="222" t="s">
        <v>257</v>
      </c>
      <c r="D23" s="223" t="s">
        <v>300</v>
      </c>
      <c r="E23" s="224" t="s">
        <v>301</v>
      </c>
      <c r="F23" s="223" t="s">
        <v>257</v>
      </c>
      <c r="G23" s="223" t="s">
        <v>300</v>
      </c>
      <c r="H23" s="224" t="s">
        <v>301</v>
      </c>
    </row>
    <row r="24" spans="1:14" ht="24" x14ac:dyDescent="0.2">
      <c r="B24" s="210" t="s">
        <v>309</v>
      </c>
      <c r="C24" s="216">
        <f>'SuppStmt Effort'!F27</f>
        <v>328303.62223242718</v>
      </c>
      <c r="D24" s="216">
        <f>C24/2080</f>
        <v>157.83827991943613</v>
      </c>
      <c r="E24" s="227">
        <f>C24*$C$2</f>
        <v>10840585.606114747</v>
      </c>
      <c r="F24" s="216">
        <f>'SuppStmt Effort'!E27</f>
        <v>6566.0724446485438</v>
      </c>
      <c r="G24" s="211">
        <f>F24/2080</f>
        <v>3.1567655983887231</v>
      </c>
      <c r="H24" s="227">
        <f>F24*$C$2</f>
        <v>216811.71212229494</v>
      </c>
    </row>
    <row r="25" spans="1:14" ht="24" x14ac:dyDescent="0.2">
      <c r="B25" s="180" t="s">
        <v>94</v>
      </c>
      <c r="C25" s="181">
        <f>'SuppStmt Effort'!F28</f>
        <v>0</v>
      </c>
      <c r="D25" s="181">
        <f>C25/2080</f>
        <v>0</v>
      </c>
      <c r="E25" s="227">
        <f>C25*$C$2</f>
        <v>0</v>
      </c>
      <c r="F25" s="181">
        <f>'SuppStmt Effort'!E28</f>
        <v>0</v>
      </c>
      <c r="G25" s="205">
        <f>F25/2080</f>
        <v>0</v>
      </c>
      <c r="H25" s="227">
        <f>F25*$C$2</f>
        <v>0</v>
      </c>
    </row>
    <row r="26" spans="1:14" ht="12.75" x14ac:dyDescent="0.2">
      <c r="B26" s="234" t="s">
        <v>302</v>
      </c>
      <c r="C26" s="235">
        <f t="shared" ref="C26:H26" si="4">SUM(C24:C25)</f>
        <v>328303.62223242718</v>
      </c>
      <c r="D26" s="236">
        <f t="shared" si="4"/>
        <v>157.83827991943613</v>
      </c>
      <c r="E26" s="237">
        <f t="shared" si="4"/>
        <v>10840585.606114747</v>
      </c>
      <c r="F26" s="186">
        <f t="shared" si="4"/>
        <v>6566.0724446485438</v>
      </c>
      <c r="G26" s="229">
        <f t="shared" si="4"/>
        <v>3.1567655983887231</v>
      </c>
      <c r="H26" s="231">
        <f t="shared" si="4"/>
        <v>216811.71212229494</v>
      </c>
    </row>
    <row r="27" spans="1:14" ht="12.75" x14ac:dyDescent="0.2">
      <c r="B27" s="219" t="s">
        <v>304</v>
      </c>
      <c r="C27" s="232">
        <f t="shared" ref="C27:H27" si="5">C26/3</f>
        <v>109434.54074414239</v>
      </c>
      <c r="D27" s="228">
        <f t="shared" si="5"/>
        <v>52.61275997314538</v>
      </c>
      <c r="E27" s="233">
        <f t="shared" si="5"/>
        <v>3613528.5353715825</v>
      </c>
      <c r="F27" s="221">
        <f t="shared" si="5"/>
        <v>2188.6908148828479</v>
      </c>
      <c r="G27" s="230">
        <f t="shared" si="5"/>
        <v>1.0522551994629077</v>
      </c>
      <c r="H27" s="233">
        <f t="shared" si="5"/>
        <v>72270.570707431645</v>
      </c>
    </row>
    <row r="29" spans="1:14" x14ac:dyDescent="0.25">
      <c r="A29" s="3" t="s">
        <v>307</v>
      </c>
    </row>
    <row r="30" spans="1:14" ht="12.75" x14ac:dyDescent="0.2">
      <c r="A30" s="218"/>
      <c r="B30" s="188"/>
      <c r="C30" s="214"/>
      <c r="D30" s="214" t="s">
        <v>298</v>
      </c>
      <c r="E30" s="215"/>
      <c r="F30" s="214"/>
      <c r="G30" s="214" t="s">
        <v>299</v>
      </c>
      <c r="H30" s="215"/>
    </row>
    <row r="31" spans="1:14" ht="36" x14ac:dyDescent="0.2">
      <c r="B31" s="217"/>
      <c r="C31" s="222" t="s">
        <v>257</v>
      </c>
      <c r="D31" s="223" t="s">
        <v>300</v>
      </c>
      <c r="E31" s="224" t="s">
        <v>301</v>
      </c>
      <c r="F31" s="223" t="s">
        <v>257</v>
      </c>
      <c r="G31" s="223" t="s">
        <v>300</v>
      </c>
      <c r="H31" s="224" t="s">
        <v>301</v>
      </c>
    </row>
    <row r="32" spans="1:14" ht="24" x14ac:dyDescent="0.2">
      <c r="B32" s="210" t="s">
        <v>309</v>
      </c>
      <c r="C32" s="216">
        <f>'SuppStmt Effort'!F36</f>
        <v>79991.514510381734</v>
      </c>
      <c r="D32" s="216">
        <f>C32/2080</f>
        <v>38.45745889922199</v>
      </c>
      <c r="E32" s="227">
        <f>C32*$C$2</f>
        <v>2641319.8091328051</v>
      </c>
      <c r="F32" s="216">
        <f>'SuppStmt Effort'!E36</f>
        <v>1599.8302902076348</v>
      </c>
      <c r="G32" s="211">
        <f>F32/2080</f>
        <v>0.76914917798443982</v>
      </c>
      <c r="H32" s="227">
        <f>F32*$C$2</f>
        <v>52826.396182656106</v>
      </c>
    </row>
    <row r="33" spans="1:8" ht="24" x14ac:dyDescent="0.2">
      <c r="B33" s="180" t="s">
        <v>94</v>
      </c>
      <c r="C33" s="181">
        <f>'SuppStmt Effort'!F37</f>
        <v>0</v>
      </c>
      <c r="D33" s="181">
        <f>C33/2080</f>
        <v>0</v>
      </c>
      <c r="E33" s="227">
        <f>C33*$C$2</f>
        <v>0</v>
      </c>
      <c r="F33" s="181">
        <f>'SuppStmt Effort'!E37</f>
        <v>0</v>
      </c>
      <c r="G33" s="205">
        <f>F33/2080</f>
        <v>0</v>
      </c>
      <c r="H33" s="227">
        <f>F33*$C$2</f>
        <v>0</v>
      </c>
    </row>
    <row r="34" spans="1:8" ht="12.75" x14ac:dyDescent="0.2">
      <c r="B34" s="234" t="s">
        <v>302</v>
      </c>
      <c r="C34" s="235">
        <f t="shared" ref="C34:H34" si="6">SUM(C32:C33)</f>
        <v>79991.514510381734</v>
      </c>
      <c r="D34" s="236">
        <f t="shared" si="6"/>
        <v>38.45745889922199</v>
      </c>
      <c r="E34" s="237">
        <f t="shared" si="6"/>
        <v>2641319.8091328051</v>
      </c>
      <c r="F34" s="186">
        <f t="shared" si="6"/>
        <v>1599.8302902076348</v>
      </c>
      <c r="G34" s="229">
        <f t="shared" si="6"/>
        <v>0.76914917798443982</v>
      </c>
      <c r="H34" s="231">
        <f t="shared" si="6"/>
        <v>52826.396182656106</v>
      </c>
    </row>
    <row r="35" spans="1:8" ht="12.75" x14ac:dyDescent="0.2">
      <c r="B35" s="219" t="s">
        <v>304</v>
      </c>
      <c r="C35" s="232">
        <f t="shared" ref="C35:H35" si="7">C34/3</f>
        <v>26663.838170127245</v>
      </c>
      <c r="D35" s="228">
        <f t="shared" si="7"/>
        <v>12.81915296640733</v>
      </c>
      <c r="E35" s="233">
        <f t="shared" si="7"/>
        <v>880439.9363776017</v>
      </c>
      <c r="F35" s="221">
        <f t="shared" si="7"/>
        <v>533.27676340254493</v>
      </c>
      <c r="G35" s="230">
        <f t="shared" si="7"/>
        <v>0.25638305932814659</v>
      </c>
      <c r="H35" s="233">
        <f t="shared" si="7"/>
        <v>17608.798727552035</v>
      </c>
    </row>
    <row r="37" spans="1:8" x14ac:dyDescent="0.25">
      <c r="A37" s="3" t="s">
        <v>308</v>
      </c>
    </row>
    <row r="38" spans="1:8" ht="12.75" x14ac:dyDescent="0.2">
      <c r="A38" s="218"/>
      <c r="B38" s="188"/>
      <c r="C38" s="214"/>
      <c r="D38" s="214" t="s">
        <v>298</v>
      </c>
      <c r="E38" s="215"/>
      <c r="F38" s="214"/>
      <c r="G38" s="214" t="s">
        <v>299</v>
      </c>
      <c r="H38" s="215"/>
    </row>
    <row r="39" spans="1:8" ht="36" x14ac:dyDescent="0.2">
      <c r="B39" s="217"/>
      <c r="C39" s="222" t="s">
        <v>257</v>
      </c>
      <c r="D39" s="223" t="s">
        <v>300</v>
      </c>
      <c r="E39" s="224" t="s">
        <v>301</v>
      </c>
      <c r="F39" s="223" t="s">
        <v>257</v>
      </c>
      <c r="G39" s="223" t="s">
        <v>300</v>
      </c>
      <c r="H39" s="224" t="s">
        <v>301</v>
      </c>
    </row>
    <row r="40" spans="1:8" ht="24" x14ac:dyDescent="0.2">
      <c r="B40" s="210" t="s">
        <v>309</v>
      </c>
      <c r="C40" s="216">
        <f>'SuppStmt Effort'!F45</f>
        <v>45028</v>
      </c>
      <c r="D40" s="216">
        <f>C40/2080</f>
        <v>21.648076923076925</v>
      </c>
      <c r="E40" s="227">
        <f>C40*$C$2</f>
        <v>1486824.56</v>
      </c>
      <c r="F40" s="216">
        <f>'SuppStmt Effort'!E45</f>
        <v>900.56</v>
      </c>
      <c r="G40" s="211">
        <f>F40/2080</f>
        <v>0.43296153846153845</v>
      </c>
      <c r="H40" s="227">
        <f>F40*$C$2</f>
        <v>29736.4912</v>
      </c>
    </row>
    <row r="41" spans="1:8" ht="24" x14ac:dyDescent="0.2">
      <c r="B41" s="180" t="s">
        <v>94</v>
      </c>
      <c r="C41" s="181">
        <f>'SuppStmt Effort'!F46+'SuppStmt Effort'!F47</f>
        <v>1800</v>
      </c>
      <c r="D41" s="181">
        <f>C41/2080</f>
        <v>0.86538461538461542</v>
      </c>
      <c r="E41" s="227">
        <f>C41*$C$2</f>
        <v>59436.000000000007</v>
      </c>
      <c r="F41" s="181">
        <f>'SuppStmt Effort'!E46+'SuppStmt Effort'!E47</f>
        <v>36</v>
      </c>
      <c r="G41" s="205">
        <f>F41/2080</f>
        <v>1.7307692307692309E-2</v>
      </c>
      <c r="H41" s="227">
        <f>F41*$C$2</f>
        <v>1188.72</v>
      </c>
    </row>
    <row r="42" spans="1:8" ht="12.75" x14ac:dyDescent="0.2">
      <c r="B42" s="234" t="s">
        <v>302</v>
      </c>
      <c r="C42" s="235">
        <f t="shared" ref="C42:H42" si="8">SUM(C40:C41)</f>
        <v>46828</v>
      </c>
      <c r="D42" s="236">
        <f t="shared" si="8"/>
        <v>22.513461538461542</v>
      </c>
      <c r="E42" s="237">
        <f t="shared" si="8"/>
        <v>1546260.56</v>
      </c>
      <c r="F42" s="186">
        <f t="shared" si="8"/>
        <v>936.56</v>
      </c>
      <c r="G42" s="229">
        <f t="shared" si="8"/>
        <v>0.45026923076923075</v>
      </c>
      <c r="H42" s="231">
        <f t="shared" si="8"/>
        <v>30925.211200000002</v>
      </c>
    </row>
    <row r="43" spans="1:8" ht="12.75" x14ac:dyDescent="0.2">
      <c r="B43" s="219" t="s">
        <v>304</v>
      </c>
      <c r="C43" s="232">
        <f t="shared" ref="C43:H43" si="9">C42/3</f>
        <v>15609.333333333334</v>
      </c>
      <c r="D43" s="228">
        <f t="shared" si="9"/>
        <v>7.5044871794871808</v>
      </c>
      <c r="E43" s="233">
        <f t="shared" si="9"/>
        <v>515420.1866666667</v>
      </c>
      <c r="F43" s="221">
        <f t="shared" si="9"/>
        <v>312.18666666666667</v>
      </c>
      <c r="G43" s="230">
        <f t="shared" si="9"/>
        <v>0.15008974358974358</v>
      </c>
      <c r="H43" s="233">
        <f t="shared" si="9"/>
        <v>10308.403733333334</v>
      </c>
    </row>
    <row r="45" spans="1:8" x14ac:dyDescent="0.25">
      <c r="A45" s="3" t="s">
        <v>310</v>
      </c>
    </row>
    <row r="46" spans="1:8" ht="12.75" x14ac:dyDescent="0.2">
      <c r="A46" s="218"/>
      <c r="B46" s="188"/>
      <c r="C46" s="214"/>
      <c r="D46" s="214" t="s">
        <v>298</v>
      </c>
      <c r="E46" s="215"/>
      <c r="F46" s="214"/>
      <c r="G46" s="214" t="s">
        <v>299</v>
      </c>
      <c r="H46" s="215"/>
    </row>
    <row r="47" spans="1:8" ht="36" x14ac:dyDescent="0.2">
      <c r="B47" s="217"/>
      <c r="C47" s="222" t="s">
        <v>257</v>
      </c>
      <c r="D47" s="223" t="s">
        <v>300</v>
      </c>
      <c r="E47" s="224" t="s">
        <v>301</v>
      </c>
      <c r="F47" s="223" t="s">
        <v>257</v>
      </c>
      <c r="G47" s="223" t="s">
        <v>300</v>
      </c>
      <c r="H47" s="224" t="s">
        <v>301</v>
      </c>
    </row>
    <row r="48" spans="1:8" ht="24" x14ac:dyDescent="0.2">
      <c r="B48" s="210" t="s">
        <v>309</v>
      </c>
      <c r="C48" s="216">
        <f>'SuppStmt Effort'!F55</f>
        <v>873834.44390075048</v>
      </c>
      <c r="D48" s="216">
        <f>C48/2080</f>
        <v>420.11271341382235</v>
      </c>
      <c r="E48" s="227">
        <f>C48*$C$2</f>
        <v>28854013.337602783</v>
      </c>
      <c r="F48" s="216">
        <f>'SuppStmt Effort'!E55</f>
        <v>17476.688878015011</v>
      </c>
      <c r="G48" s="211">
        <f>F48/2080</f>
        <v>8.4022542682764474</v>
      </c>
      <c r="H48" s="227">
        <f>F48*$C$2</f>
        <v>577080.26675205573</v>
      </c>
    </row>
    <row r="49" spans="1:8" ht="24" x14ac:dyDescent="0.2">
      <c r="B49" s="180" t="s">
        <v>94</v>
      </c>
      <c r="C49" s="181">
        <f>'SuppStmt Effort'!F56</f>
        <v>0</v>
      </c>
      <c r="D49" s="181">
        <f>C49/2080</f>
        <v>0</v>
      </c>
      <c r="E49" s="227">
        <f>C49*$C$2</f>
        <v>0</v>
      </c>
      <c r="F49" s="181">
        <f>'SuppStmt Effort'!E56</f>
        <v>0</v>
      </c>
      <c r="G49" s="205">
        <f>F49/2080</f>
        <v>0</v>
      </c>
      <c r="H49" s="227">
        <f>F49*$C$2</f>
        <v>0</v>
      </c>
    </row>
    <row r="50" spans="1:8" ht="12.75" x14ac:dyDescent="0.2">
      <c r="B50" s="234" t="s">
        <v>302</v>
      </c>
      <c r="C50" s="235">
        <f t="shared" ref="C50:H50" si="10">SUM(C48:C49)</f>
        <v>873834.44390075048</v>
      </c>
      <c r="D50" s="236">
        <f t="shared" si="10"/>
        <v>420.11271341382235</v>
      </c>
      <c r="E50" s="237">
        <f t="shared" si="10"/>
        <v>28854013.337602783</v>
      </c>
      <c r="F50" s="186">
        <f t="shared" si="10"/>
        <v>17476.688878015011</v>
      </c>
      <c r="G50" s="229">
        <f t="shared" si="10"/>
        <v>8.4022542682764474</v>
      </c>
      <c r="H50" s="231">
        <f t="shared" si="10"/>
        <v>577080.26675205573</v>
      </c>
    </row>
    <row r="51" spans="1:8" ht="12.75" x14ac:dyDescent="0.2">
      <c r="B51" s="219" t="s">
        <v>304</v>
      </c>
      <c r="C51" s="232">
        <f t="shared" ref="C51:H51" si="11">C50/3</f>
        <v>291278.14796691685</v>
      </c>
      <c r="D51" s="228">
        <f t="shared" si="11"/>
        <v>140.03757113794077</v>
      </c>
      <c r="E51" s="233">
        <f t="shared" si="11"/>
        <v>9618004.4458675943</v>
      </c>
      <c r="F51" s="221">
        <f t="shared" si="11"/>
        <v>5825.5629593383374</v>
      </c>
      <c r="G51" s="230">
        <f t="shared" si="11"/>
        <v>2.8007514227588159</v>
      </c>
      <c r="H51" s="233">
        <f t="shared" si="11"/>
        <v>192360.08891735191</v>
      </c>
    </row>
    <row r="53" spans="1:8" x14ac:dyDescent="0.25">
      <c r="A53" s="3" t="s">
        <v>311</v>
      </c>
    </row>
    <row r="54" spans="1:8" ht="12.75" x14ac:dyDescent="0.2">
      <c r="A54" s="218"/>
      <c r="B54" s="188"/>
      <c r="C54" s="214"/>
      <c r="D54" s="214" t="s">
        <v>298</v>
      </c>
      <c r="E54" s="215"/>
      <c r="F54" s="214"/>
      <c r="G54" s="214" t="s">
        <v>299</v>
      </c>
      <c r="H54" s="215"/>
    </row>
    <row r="55" spans="1:8" ht="36" x14ac:dyDescent="0.2">
      <c r="B55" s="217"/>
      <c r="C55" s="222" t="s">
        <v>257</v>
      </c>
      <c r="D55" s="223" t="s">
        <v>300</v>
      </c>
      <c r="E55" s="224" t="s">
        <v>301</v>
      </c>
      <c r="F55" s="223" t="s">
        <v>257</v>
      </c>
      <c r="G55" s="223" t="s">
        <v>300</v>
      </c>
      <c r="H55" s="224" t="s">
        <v>301</v>
      </c>
    </row>
    <row r="56" spans="1:8" ht="24" x14ac:dyDescent="0.2">
      <c r="B56" s="210" t="s">
        <v>309</v>
      </c>
      <c r="C56" s="216">
        <f>'SuppStmt Effort'!F64</f>
        <v>3583.125</v>
      </c>
      <c r="D56" s="216">
        <f>C56/2080</f>
        <v>1.72265625</v>
      </c>
      <c r="E56" s="227">
        <f>C56*$C$2</f>
        <v>118314.78750000001</v>
      </c>
      <c r="F56" s="216">
        <f>'SuppStmt Effort'!E64</f>
        <v>71.662499999999994</v>
      </c>
      <c r="G56" s="211">
        <f>F56/2080</f>
        <v>3.4453124999999994E-2</v>
      </c>
      <c r="H56" s="227">
        <f>F56*$C$2</f>
        <v>2366.2957500000002</v>
      </c>
    </row>
    <row r="57" spans="1:8" ht="24" x14ac:dyDescent="0.2">
      <c r="B57" s="180" t="s">
        <v>94</v>
      </c>
      <c r="C57" s="181">
        <f>'SuppStmt Effort'!F65</f>
        <v>0</v>
      </c>
      <c r="D57" s="181">
        <f>C57/2080</f>
        <v>0</v>
      </c>
      <c r="E57" s="227">
        <f>C57*$C$2</f>
        <v>0</v>
      </c>
      <c r="F57" s="181">
        <f>'SuppStmt Effort'!E65</f>
        <v>0</v>
      </c>
      <c r="G57" s="205">
        <f>F57/2080</f>
        <v>0</v>
      </c>
      <c r="H57" s="227">
        <f>F57*$C$2</f>
        <v>0</v>
      </c>
    </row>
    <row r="58" spans="1:8" ht="12.75" x14ac:dyDescent="0.2">
      <c r="B58" s="234" t="s">
        <v>302</v>
      </c>
      <c r="C58" s="235">
        <f t="shared" ref="C58:H58" si="12">SUM(C56:C57)</f>
        <v>3583.125</v>
      </c>
      <c r="D58" s="236">
        <f t="shared" si="12"/>
        <v>1.72265625</v>
      </c>
      <c r="E58" s="237">
        <f t="shared" si="12"/>
        <v>118314.78750000001</v>
      </c>
      <c r="F58" s="186">
        <f t="shared" si="12"/>
        <v>71.662499999999994</v>
      </c>
      <c r="G58" s="229">
        <f t="shared" si="12"/>
        <v>3.4453124999999994E-2</v>
      </c>
      <c r="H58" s="231">
        <f t="shared" si="12"/>
        <v>2366.2957500000002</v>
      </c>
    </row>
    <row r="59" spans="1:8" ht="12.75" x14ac:dyDescent="0.2">
      <c r="B59" s="219" t="s">
        <v>304</v>
      </c>
      <c r="C59" s="232">
        <f t="shared" ref="C59:H59" si="13">C58/3</f>
        <v>1194.375</v>
      </c>
      <c r="D59" s="228">
        <f t="shared" si="13"/>
        <v>0.57421875</v>
      </c>
      <c r="E59" s="233">
        <f t="shared" si="13"/>
        <v>39438.262500000004</v>
      </c>
      <c r="F59" s="221">
        <f t="shared" si="13"/>
        <v>23.887499999999999</v>
      </c>
      <c r="G59" s="230">
        <f t="shared" si="13"/>
        <v>1.1484374999999998E-2</v>
      </c>
      <c r="H59" s="233">
        <f t="shared" si="13"/>
        <v>788.76525000000004</v>
      </c>
    </row>
    <row r="61" spans="1:8" x14ac:dyDescent="0.25">
      <c r="A61" s="3" t="s">
        <v>275</v>
      </c>
    </row>
    <row r="62" spans="1:8" ht="12.75" x14ac:dyDescent="0.2">
      <c r="B62" s="188"/>
      <c r="C62" s="214"/>
      <c r="D62" s="214" t="s">
        <v>298</v>
      </c>
      <c r="E62" s="215"/>
      <c r="F62" s="214"/>
      <c r="G62" s="214" t="s">
        <v>299</v>
      </c>
      <c r="H62" s="215"/>
    </row>
    <row r="63" spans="1:8" ht="36" x14ac:dyDescent="0.2">
      <c r="B63" s="217"/>
      <c r="C63" s="222" t="s">
        <v>257</v>
      </c>
      <c r="D63" s="223" t="s">
        <v>300</v>
      </c>
      <c r="E63" s="224" t="s">
        <v>301</v>
      </c>
      <c r="F63" s="223" t="s">
        <v>257</v>
      </c>
      <c r="G63" s="223" t="s">
        <v>300</v>
      </c>
      <c r="H63" s="224" t="s">
        <v>301</v>
      </c>
    </row>
    <row r="64" spans="1:8" ht="24" x14ac:dyDescent="0.2">
      <c r="B64" s="210" t="s">
        <v>309</v>
      </c>
      <c r="C64" s="216">
        <f>'SuppStmt Effort'!F73</f>
        <v>93.75</v>
      </c>
      <c r="D64" s="216">
        <f>C64/2080</f>
        <v>4.5072115384615384E-2</v>
      </c>
      <c r="E64" s="227">
        <f>C64*$C$2</f>
        <v>3095.6250000000005</v>
      </c>
      <c r="F64" s="211">
        <f>'SuppStmt Effort'!E73</f>
        <v>1.875</v>
      </c>
      <c r="G64" s="211">
        <f>F64/2080</f>
        <v>9.0144230769230774E-4</v>
      </c>
      <c r="H64" s="227">
        <f>F64*$C$2</f>
        <v>61.912500000000009</v>
      </c>
    </row>
    <row r="65" spans="1:8" ht="24" x14ac:dyDescent="0.2">
      <c r="B65" s="180" t="s">
        <v>94</v>
      </c>
      <c r="C65" s="181">
        <f>'SuppStmt Effort'!F74</f>
        <v>0</v>
      </c>
      <c r="D65" s="181">
        <f>C65/2080</f>
        <v>0</v>
      </c>
      <c r="E65" s="227">
        <f>C65*$C$2</f>
        <v>0</v>
      </c>
      <c r="F65" s="181">
        <f>'SuppStmt Effort'!E74</f>
        <v>0</v>
      </c>
      <c r="G65" s="205">
        <f>F65/2080</f>
        <v>0</v>
      </c>
      <c r="H65" s="227">
        <f>F65*$C$2</f>
        <v>0</v>
      </c>
    </row>
    <row r="66" spans="1:8" ht="12.75" x14ac:dyDescent="0.2">
      <c r="B66" s="234" t="s">
        <v>302</v>
      </c>
      <c r="C66" s="235">
        <f t="shared" ref="C66:H66" si="14">SUM(C64:C65)</f>
        <v>93.75</v>
      </c>
      <c r="D66" s="236">
        <f t="shared" si="14"/>
        <v>4.5072115384615384E-2</v>
      </c>
      <c r="E66" s="237">
        <f t="shared" si="14"/>
        <v>3095.6250000000005</v>
      </c>
      <c r="F66" s="187">
        <f t="shared" si="14"/>
        <v>1.875</v>
      </c>
      <c r="G66" s="229">
        <f t="shared" si="14"/>
        <v>9.0144230769230774E-4</v>
      </c>
      <c r="H66" s="231">
        <f t="shared" si="14"/>
        <v>61.912500000000009</v>
      </c>
    </row>
    <row r="67" spans="1:8" ht="12.75" x14ac:dyDescent="0.2">
      <c r="B67" s="219" t="s">
        <v>304</v>
      </c>
      <c r="C67" s="232">
        <f t="shared" ref="C67:H67" si="15">C66/3</f>
        <v>31.25</v>
      </c>
      <c r="D67" s="228">
        <f t="shared" si="15"/>
        <v>1.5024038461538462E-2</v>
      </c>
      <c r="E67" s="233">
        <f t="shared" si="15"/>
        <v>1031.8750000000002</v>
      </c>
      <c r="F67" s="220">
        <f t="shared" si="15"/>
        <v>0.625</v>
      </c>
      <c r="G67" s="230">
        <f t="shared" si="15"/>
        <v>3.0048076923076925E-4</v>
      </c>
      <c r="H67" s="233">
        <f t="shared" si="15"/>
        <v>20.637500000000003</v>
      </c>
    </row>
    <row r="69" spans="1:8" x14ac:dyDescent="0.25">
      <c r="A69" s="3" t="s">
        <v>295</v>
      </c>
    </row>
    <row r="70" spans="1:8" ht="12.75" x14ac:dyDescent="0.2">
      <c r="B70" s="188"/>
      <c r="C70" s="214"/>
      <c r="D70" s="214" t="s">
        <v>298</v>
      </c>
      <c r="E70" s="215"/>
      <c r="F70" s="214"/>
      <c r="G70" s="214" t="s">
        <v>299</v>
      </c>
      <c r="H70" s="215"/>
    </row>
    <row r="71" spans="1:8" ht="36" x14ac:dyDescent="0.2">
      <c r="B71" s="217"/>
      <c r="C71" s="222" t="s">
        <v>257</v>
      </c>
      <c r="D71" s="223" t="s">
        <v>300</v>
      </c>
      <c r="E71" s="224" t="s">
        <v>301</v>
      </c>
      <c r="F71" s="223" t="s">
        <v>257</v>
      </c>
      <c r="G71" s="223" t="s">
        <v>300</v>
      </c>
      <c r="H71" s="224" t="s">
        <v>301</v>
      </c>
    </row>
    <row r="72" spans="1:8" ht="24" x14ac:dyDescent="0.2">
      <c r="B72" s="210" t="s">
        <v>309</v>
      </c>
      <c r="C72" s="216">
        <f>'SuppStmt Effort'!F82</f>
        <v>11.25</v>
      </c>
      <c r="D72" s="216">
        <f>C72/2080</f>
        <v>5.408653846153846E-3</v>
      </c>
      <c r="E72" s="227">
        <f>C72*$C$2</f>
        <v>371.47500000000002</v>
      </c>
      <c r="F72" s="211">
        <f>'SuppStmt Effort'!E82</f>
        <v>0.22500000000000001</v>
      </c>
      <c r="G72" s="211">
        <f>F72/2080</f>
        <v>1.0817307692307693E-4</v>
      </c>
      <c r="H72" s="227">
        <f>F72*$C$2</f>
        <v>7.4295000000000009</v>
      </c>
    </row>
    <row r="73" spans="1:8" ht="24" x14ac:dyDescent="0.2">
      <c r="B73" s="180" t="s">
        <v>94</v>
      </c>
      <c r="C73" s="181">
        <f>'SuppStmt Effort'!F83</f>
        <v>0</v>
      </c>
      <c r="D73" s="181">
        <f>C73/2080</f>
        <v>0</v>
      </c>
      <c r="E73" s="227">
        <f>C73*$C$2</f>
        <v>0</v>
      </c>
      <c r="F73" s="181">
        <f>'SuppStmt Effort'!E83</f>
        <v>0</v>
      </c>
      <c r="G73" s="205">
        <f>F73/2080</f>
        <v>0</v>
      </c>
      <c r="H73" s="227">
        <f>F73*$C$2</f>
        <v>0</v>
      </c>
    </row>
    <row r="74" spans="1:8" ht="12.75" x14ac:dyDescent="0.2">
      <c r="B74" s="234" t="s">
        <v>302</v>
      </c>
      <c r="C74" s="235">
        <f t="shared" ref="C74:H74" si="16">SUM(C72:C73)</f>
        <v>11.25</v>
      </c>
      <c r="D74" s="236">
        <f t="shared" si="16"/>
        <v>5.408653846153846E-3</v>
      </c>
      <c r="E74" s="237">
        <f t="shared" si="16"/>
        <v>371.47500000000002</v>
      </c>
      <c r="F74" s="187">
        <f t="shared" si="16"/>
        <v>0.22500000000000001</v>
      </c>
      <c r="G74" s="229">
        <f t="shared" si="16"/>
        <v>1.0817307692307693E-4</v>
      </c>
      <c r="H74" s="231">
        <f t="shared" si="16"/>
        <v>7.4295000000000009</v>
      </c>
    </row>
    <row r="75" spans="1:8" ht="12.75" x14ac:dyDescent="0.2">
      <c r="B75" s="219" t="s">
        <v>304</v>
      </c>
      <c r="C75" s="232">
        <f t="shared" ref="C75:H75" si="17">C74/3</f>
        <v>3.75</v>
      </c>
      <c r="D75" s="228">
        <f t="shared" si="17"/>
        <v>1.8028846153846153E-3</v>
      </c>
      <c r="E75" s="233">
        <f t="shared" si="17"/>
        <v>123.825</v>
      </c>
      <c r="F75" s="220">
        <f t="shared" si="17"/>
        <v>7.4999999999999997E-2</v>
      </c>
      <c r="G75" s="230">
        <f t="shared" si="17"/>
        <v>3.6057692307692311E-5</v>
      </c>
      <c r="H75" s="233">
        <f t="shared" si="17"/>
        <v>2.4765000000000001</v>
      </c>
    </row>
  </sheetData>
  <mergeCells count="2">
    <mergeCell ref="J2:K2"/>
    <mergeCell ref="P1:R1"/>
  </mergeCells>
  <pageMargins left="0.75" right="0.75" top="1" bottom="1"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4"/>
  <sheetViews>
    <sheetView topLeftCell="A2" workbookViewId="0">
      <selection activeCell="F18" sqref="B2:F18"/>
    </sheetView>
  </sheetViews>
  <sheetFormatPr defaultRowHeight="12.75" x14ac:dyDescent="0.2"/>
  <cols>
    <col min="1" max="1" width="9.140625" style="1"/>
    <col min="2" max="6" width="18.42578125" style="1" customWidth="1"/>
    <col min="7" max="7" width="10" style="1" customWidth="1"/>
    <col min="8" max="8" width="4.7109375" style="1" customWidth="1"/>
    <col min="9" max="9" width="53.140625" style="1" bestFit="1" customWidth="1"/>
    <col min="10" max="10" width="11" style="1" customWidth="1"/>
    <col min="11" max="16384" width="9.140625" style="1"/>
  </cols>
  <sheetData>
    <row r="2" spans="2:10" s="176" customFormat="1" ht="51" x14ac:dyDescent="0.2">
      <c r="B2" s="252"/>
      <c r="C2" s="126" t="s">
        <v>319</v>
      </c>
      <c r="D2" s="126" t="s">
        <v>317</v>
      </c>
      <c r="E2" s="126" t="s">
        <v>318</v>
      </c>
      <c r="F2" s="127" t="s">
        <v>302</v>
      </c>
      <c r="H2" s="322" t="s">
        <v>336</v>
      </c>
      <c r="I2" s="320"/>
      <c r="J2" s="127" t="s">
        <v>335</v>
      </c>
    </row>
    <row r="3" spans="2:10" s="3" customFormat="1" x14ac:dyDescent="0.2">
      <c r="B3" s="265" t="s">
        <v>320</v>
      </c>
      <c r="C3" s="266"/>
      <c r="D3" s="266"/>
      <c r="E3" s="266"/>
      <c r="F3" s="267"/>
      <c r="H3" s="161">
        <v>1</v>
      </c>
      <c r="I3" s="112" t="s">
        <v>286</v>
      </c>
      <c r="J3" s="174">
        <f>'1 - Init Submission'!L14</f>
        <v>28</v>
      </c>
    </row>
    <row r="4" spans="2:10" x14ac:dyDescent="0.2">
      <c r="B4" s="262" t="s">
        <v>321</v>
      </c>
      <c r="C4" s="263">
        <v>2.2000000000000002</v>
      </c>
      <c r="D4" s="264">
        <v>0</v>
      </c>
      <c r="E4" s="264">
        <v>7980831.4199999999</v>
      </c>
      <c r="F4" s="264">
        <f>SUM(D4:E4)</f>
        <v>7980831.4199999999</v>
      </c>
      <c r="H4" s="51">
        <v>2</v>
      </c>
      <c r="I4" s="19" t="s">
        <v>291</v>
      </c>
      <c r="J4" s="174">
        <f>'2 - Newly Doc''d'!I4</f>
        <v>121602</v>
      </c>
    </row>
    <row r="5" spans="2:10" x14ac:dyDescent="0.2">
      <c r="B5" s="253" t="s">
        <v>322</v>
      </c>
      <c r="C5" s="254">
        <v>2.2000000000000002</v>
      </c>
      <c r="D5" s="239">
        <f>120200*C5</f>
        <v>264440</v>
      </c>
      <c r="E5" s="239">
        <v>3129097.33</v>
      </c>
      <c r="F5" s="239">
        <f t="shared" ref="F5:F10" si="0">SUM(D5:E5)</f>
        <v>3393537.33</v>
      </c>
      <c r="H5" s="161">
        <v>3</v>
      </c>
      <c r="I5" s="112" t="s">
        <v>292</v>
      </c>
      <c r="J5" s="174">
        <f>'3 - Newly Doc''d'!G5</f>
        <v>22854.718431537636</v>
      </c>
    </row>
    <row r="6" spans="2:10" x14ac:dyDescent="0.2">
      <c r="B6" s="253" t="s">
        <v>323</v>
      </c>
      <c r="C6" s="254">
        <v>2.2000000000000002</v>
      </c>
      <c r="D6" s="239">
        <f>1.03*D5</f>
        <v>272373.2</v>
      </c>
      <c r="E6" s="239">
        <v>3262624</v>
      </c>
      <c r="F6" s="239">
        <f t="shared" si="0"/>
        <v>3534997.2</v>
      </c>
      <c r="H6" s="51">
        <v>4</v>
      </c>
      <c r="I6" s="19" t="s">
        <v>293</v>
      </c>
      <c r="J6" s="174">
        <f>'4 - Newly Doc''d'!G7</f>
        <v>22514</v>
      </c>
    </row>
    <row r="7" spans="2:10" x14ac:dyDescent="0.2">
      <c r="B7" s="253" t="s">
        <v>324</v>
      </c>
      <c r="C7" s="254">
        <v>2.2000000000000002</v>
      </c>
      <c r="D7" s="239">
        <f t="shared" ref="D7:D10" si="1">1.03*D6</f>
        <v>280544.39600000001</v>
      </c>
      <c r="E7" s="239">
        <v>3034085.3000000003</v>
      </c>
      <c r="F7" s="239">
        <f t="shared" si="0"/>
        <v>3314629.6960000005</v>
      </c>
      <c r="H7" s="161">
        <v>5</v>
      </c>
      <c r="I7" s="112" t="s">
        <v>239</v>
      </c>
      <c r="J7" s="174">
        <f>'5 - End Term'!L5</f>
        <v>298159</v>
      </c>
    </row>
    <row r="8" spans="2:10" x14ac:dyDescent="0.2">
      <c r="B8" s="253" t="s">
        <v>325</v>
      </c>
      <c r="C8" s="254">
        <v>2.2000000000000002</v>
      </c>
      <c r="D8" s="239">
        <f t="shared" si="1"/>
        <v>288960.72788000002</v>
      </c>
      <c r="E8" s="239">
        <v>3161144.4900000007</v>
      </c>
      <c r="F8" s="239">
        <f t="shared" si="0"/>
        <v>3450105.2178800008</v>
      </c>
      <c r="H8" s="51">
        <v>6</v>
      </c>
      <c r="I8" s="19" t="s">
        <v>240</v>
      </c>
      <c r="J8" s="174">
        <f>'6 - Chg Residence'!J3</f>
        <v>637</v>
      </c>
    </row>
    <row r="9" spans="2:10" x14ac:dyDescent="0.2">
      <c r="B9" s="253" t="s">
        <v>326</v>
      </c>
      <c r="C9" s="254">
        <v>2.2000000000000002</v>
      </c>
      <c r="D9" s="239">
        <f t="shared" si="1"/>
        <v>297629.54971640004</v>
      </c>
      <c r="E9" s="239">
        <v>3632746.37</v>
      </c>
      <c r="F9" s="239">
        <f t="shared" si="0"/>
        <v>3930375.9197164001</v>
      </c>
      <c r="H9" s="161">
        <v>7</v>
      </c>
      <c r="I9" s="112" t="s">
        <v>241</v>
      </c>
      <c r="J9" s="174">
        <f>'7 - Data Correct'!I3</f>
        <v>50</v>
      </c>
    </row>
    <row r="10" spans="2:10" x14ac:dyDescent="0.2">
      <c r="B10" s="253" t="s">
        <v>327</v>
      </c>
      <c r="C10" s="254">
        <v>2.2000000000000002</v>
      </c>
      <c r="D10" s="239">
        <f t="shared" si="1"/>
        <v>306558.43620789202</v>
      </c>
      <c r="E10" s="239">
        <v>2660856.44</v>
      </c>
      <c r="F10" s="239">
        <f t="shared" si="0"/>
        <v>2967414.8762078919</v>
      </c>
      <c r="H10" s="51">
        <v>8</v>
      </c>
      <c r="I10" s="19" t="s">
        <v>294</v>
      </c>
      <c r="J10" s="174">
        <f>'8 - Data Correct'!H3</f>
        <v>6</v>
      </c>
    </row>
    <row r="11" spans="2:10" x14ac:dyDescent="0.2">
      <c r="B11" s="249" t="s">
        <v>332</v>
      </c>
      <c r="C11" s="250"/>
      <c r="D11" s="255">
        <f>SUM(D4:D10)</f>
        <v>1710506.3098042919</v>
      </c>
      <c r="E11" s="255">
        <f t="shared" ref="E11:F11" si="2">SUM(E4:E10)</f>
        <v>26861385.350000005</v>
      </c>
      <c r="F11" s="256">
        <f t="shared" si="2"/>
        <v>28571891.659804288</v>
      </c>
      <c r="H11" s="302"/>
      <c r="I11" s="303" t="s">
        <v>337</v>
      </c>
      <c r="J11" s="304">
        <f>SUM(J3:J10)</f>
        <v>465850.71843153762</v>
      </c>
    </row>
    <row r="12" spans="2:10" x14ac:dyDescent="0.2">
      <c r="B12" s="251" t="s">
        <v>333</v>
      </c>
      <c r="C12" s="250"/>
      <c r="D12" s="255">
        <f>AVERAGE(D4:D10)</f>
        <v>244358.044257756</v>
      </c>
      <c r="E12" s="255">
        <f t="shared" ref="E12:F12" si="3">AVERAGE(E4:E10)</f>
        <v>3837340.7642857148</v>
      </c>
      <c r="F12" s="256">
        <f t="shared" si="3"/>
        <v>4081698.8085434698</v>
      </c>
    </row>
    <row r="13" spans="2:10" s="3" customFormat="1" x14ac:dyDescent="0.2">
      <c r="B13" s="247" t="s">
        <v>328</v>
      </c>
      <c r="C13" s="248"/>
      <c r="D13" s="257"/>
      <c r="E13" s="257"/>
      <c r="F13" s="258"/>
    </row>
    <row r="14" spans="2:10" x14ac:dyDescent="0.2">
      <c r="B14" s="253" t="s">
        <v>329</v>
      </c>
      <c r="C14" s="254">
        <v>2.2000000000000002</v>
      </c>
      <c r="D14" s="239">
        <f>1.03*D10</f>
        <v>315755.1892941288</v>
      </c>
      <c r="E14" s="239">
        <v>2702637.4</v>
      </c>
      <c r="F14" s="239">
        <f>SUM(D14:E14)</f>
        <v>3018392.5892941286</v>
      </c>
    </row>
    <row r="15" spans="2:10" x14ac:dyDescent="0.2">
      <c r="B15" s="253" t="s">
        <v>330</v>
      </c>
      <c r="C15" s="254">
        <v>2.2000000000000002</v>
      </c>
      <c r="D15" s="239">
        <f>1.03*D14</f>
        <v>325227.84497295268</v>
      </c>
      <c r="E15" s="239">
        <v>2469194.27</v>
      </c>
      <c r="F15" s="239">
        <f t="shared" ref="F15:F16" si="4">SUM(D15:E15)</f>
        <v>2794422.1149729528</v>
      </c>
    </row>
    <row r="16" spans="2:10" x14ac:dyDescent="0.2">
      <c r="B16" s="253" t="s">
        <v>331</v>
      </c>
      <c r="C16" s="254">
        <v>2.2000000000000002</v>
      </c>
      <c r="D16" s="239">
        <f>1.03*D15</f>
        <v>334984.68032214127</v>
      </c>
      <c r="E16" s="239">
        <v>2459042.41</v>
      </c>
      <c r="F16" s="239">
        <f t="shared" si="4"/>
        <v>2794027.0903221415</v>
      </c>
    </row>
    <row r="17" spans="2:6" x14ac:dyDescent="0.2">
      <c r="B17" s="249" t="s">
        <v>332</v>
      </c>
      <c r="C17" s="250"/>
      <c r="D17" s="255">
        <f>SUM(D14:D16)</f>
        <v>975967.71458922268</v>
      </c>
      <c r="E17" s="255">
        <f t="shared" ref="E17:F17" si="5">SUM(E14:E16)</f>
        <v>7630874.0800000001</v>
      </c>
      <c r="F17" s="256">
        <f t="shared" si="5"/>
        <v>8606841.7945892215</v>
      </c>
    </row>
    <row r="18" spans="2:6" s="3" customFormat="1" x14ac:dyDescent="0.2">
      <c r="B18" s="259" t="s">
        <v>333</v>
      </c>
      <c r="C18" s="137"/>
      <c r="D18" s="260">
        <f>AVERAGE(D14:D16)</f>
        <v>325322.57152974088</v>
      </c>
      <c r="E18" s="260">
        <f t="shared" ref="E18:F18" si="6">AVERAGE(E14:E16)</f>
        <v>2543624.6933333334</v>
      </c>
      <c r="F18" s="261">
        <f t="shared" si="6"/>
        <v>2868947.2648630738</v>
      </c>
    </row>
    <row r="23" spans="2:6" x14ac:dyDescent="0.2">
      <c r="D23" s="301"/>
    </row>
    <row r="24" spans="2:6" x14ac:dyDescent="0.2">
      <c r="D24" s="301"/>
    </row>
  </sheetData>
  <mergeCells count="1">
    <mergeCell ref="H2:I2"/>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64"/>
  <sheetViews>
    <sheetView zoomScaleNormal="100" workbookViewId="0">
      <pane xSplit="1" ySplit="4" topLeftCell="B40" activePane="bottomRight" state="frozen"/>
      <selection pane="topRight" activeCell="B1" sqref="B1"/>
      <selection pane="bottomLeft" activeCell="A5" sqref="A5"/>
      <selection pane="bottomRight" activeCell="A62" sqref="A62"/>
    </sheetView>
  </sheetViews>
  <sheetFormatPr defaultRowHeight="12.75" x14ac:dyDescent="0.2"/>
  <cols>
    <col min="1" max="1" width="20" style="1" customWidth="1"/>
    <col min="2" max="5" width="12.7109375" style="4" customWidth="1"/>
    <col min="6" max="9" width="8.42578125" style="2" customWidth="1"/>
    <col min="10" max="43" width="11.85546875" style="5" customWidth="1"/>
    <col min="44" max="45" width="11.85546875" style="1" customWidth="1"/>
    <col min="46" max="50" width="12.5703125" style="1" customWidth="1"/>
    <col min="51" max="16384" width="9.140625" style="1"/>
  </cols>
  <sheetData>
    <row r="1" spans="1:49" s="3" customFormat="1" ht="15" customHeight="1" x14ac:dyDescent="0.2">
      <c r="A1" s="65"/>
      <c r="B1" s="66"/>
      <c r="C1" s="69"/>
      <c r="D1" s="66"/>
      <c r="E1" s="67"/>
      <c r="F1" s="330" t="s">
        <v>2</v>
      </c>
      <c r="G1" s="331"/>
      <c r="H1" s="331"/>
      <c r="I1" s="332"/>
      <c r="J1" s="324" t="s">
        <v>5</v>
      </c>
      <c r="K1" s="325"/>
      <c r="L1" s="325"/>
      <c r="M1" s="326"/>
      <c r="N1" s="324" t="s">
        <v>6</v>
      </c>
      <c r="O1" s="325"/>
      <c r="P1" s="325"/>
      <c r="Q1" s="326"/>
      <c r="R1" s="324" t="s">
        <v>7</v>
      </c>
      <c r="S1" s="325"/>
      <c r="T1" s="325"/>
      <c r="U1" s="326"/>
      <c r="V1" s="324" t="s">
        <v>8</v>
      </c>
      <c r="W1" s="325"/>
      <c r="X1" s="325"/>
      <c r="Y1" s="326"/>
      <c r="Z1" s="324" t="s">
        <v>9</v>
      </c>
      <c r="AA1" s="325"/>
      <c r="AB1" s="325"/>
      <c r="AC1" s="326"/>
      <c r="AD1" s="324" t="s">
        <v>10</v>
      </c>
      <c r="AE1" s="325"/>
      <c r="AF1" s="325"/>
      <c r="AG1" s="326"/>
      <c r="AH1" s="324" t="s">
        <v>11</v>
      </c>
      <c r="AI1" s="325"/>
      <c r="AJ1" s="325"/>
      <c r="AK1" s="326"/>
      <c r="AL1" s="324" t="s">
        <v>12</v>
      </c>
      <c r="AM1" s="325"/>
      <c r="AN1" s="325"/>
      <c r="AO1" s="326"/>
      <c r="AP1" s="324" t="s">
        <v>13</v>
      </c>
      <c r="AQ1" s="325"/>
      <c r="AR1" s="325"/>
      <c r="AS1" s="326"/>
      <c r="AT1" s="324" t="s">
        <v>202</v>
      </c>
      <c r="AU1" s="325"/>
      <c r="AV1" s="325"/>
      <c r="AW1" s="326"/>
    </row>
    <row r="2" spans="1:49" s="6" customFormat="1" ht="65.25" customHeight="1" x14ac:dyDescent="0.2">
      <c r="A2" s="68" t="s">
        <v>0</v>
      </c>
      <c r="B2" s="69" t="s">
        <v>488</v>
      </c>
      <c r="C2" s="69" t="s">
        <v>405</v>
      </c>
      <c r="D2" s="69" t="s">
        <v>119</v>
      </c>
      <c r="E2" s="70" t="s">
        <v>211</v>
      </c>
      <c r="F2" s="48" t="s">
        <v>1</v>
      </c>
      <c r="G2" s="49" t="s">
        <v>3</v>
      </c>
      <c r="H2" s="49" t="s">
        <v>91</v>
      </c>
      <c r="I2" s="50" t="s">
        <v>90</v>
      </c>
      <c r="J2" s="327" t="s">
        <v>120</v>
      </c>
      <c r="K2" s="328"/>
      <c r="L2" s="328"/>
      <c r="M2" s="329"/>
      <c r="N2" s="327" t="s">
        <v>123</v>
      </c>
      <c r="O2" s="328"/>
      <c r="P2" s="328"/>
      <c r="Q2" s="329"/>
      <c r="R2" s="327" t="s">
        <v>124</v>
      </c>
      <c r="S2" s="328"/>
      <c r="T2" s="328"/>
      <c r="U2" s="329"/>
      <c r="V2" s="327" t="s">
        <v>125</v>
      </c>
      <c r="W2" s="328"/>
      <c r="X2" s="328"/>
      <c r="Y2" s="329"/>
      <c r="Z2" s="327" t="s">
        <v>126</v>
      </c>
      <c r="AA2" s="328"/>
      <c r="AB2" s="328"/>
      <c r="AC2" s="329"/>
      <c r="AD2" s="327" t="s">
        <v>127</v>
      </c>
      <c r="AE2" s="328"/>
      <c r="AF2" s="328"/>
      <c r="AG2" s="329"/>
      <c r="AH2" s="327" t="s">
        <v>128</v>
      </c>
      <c r="AI2" s="328"/>
      <c r="AJ2" s="328"/>
      <c r="AK2" s="329"/>
      <c r="AL2" s="327" t="s">
        <v>129</v>
      </c>
      <c r="AM2" s="328"/>
      <c r="AN2" s="328"/>
      <c r="AO2" s="329"/>
      <c r="AP2" s="327" t="s">
        <v>14</v>
      </c>
      <c r="AQ2" s="328"/>
      <c r="AR2" s="328"/>
      <c r="AS2" s="329"/>
      <c r="AT2" s="117" t="s">
        <v>203</v>
      </c>
      <c r="AU2" s="118" t="s">
        <v>203</v>
      </c>
      <c r="AV2" s="118" t="s">
        <v>206</v>
      </c>
      <c r="AW2" s="119" t="s">
        <v>207</v>
      </c>
    </row>
    <row r="3" spans="1:49" hidden="1" x14ac:dyDescent="0.2">
      <c r="A3" s="71"/>
      <c r="B3" s="20"/>
      <c r="C3" s="20" t="s">
        <v>15</v>
      </c>
      <c r="D3" s="20"/>
      <c r="E3" s="72"/>
      <c r="F3" s="51"/>
      <c r="G3" s="52"/>
      <c r="H3" s="52"/>
      <c r="I3" s="53"/>
      <c r="J3" s="34" t="s">
        <v>16</v>
      </c>
      <c r="K3" s="35"/>
      <c r="L3" s="35"/>
      <c r="M3" s="45"/>
      <c r="N3" s="34"/>
      <c r="O3" s="35" t="s">
        <v>17</v>
      </c>
      <c r="P3" s="35"/>
      <c r="Q3" s="45"/>
      <c r="R3" s="34" t="s">
        <v>18</v>
      </c>
      <c r="S3" s="35"/>
      <c r="T3" s="35"/>
      <c r="U3" s="45"/>
      <c r="V3" s="34"/>
      <c r="W3" s="35" t="s">
        <v>19</v>
      </c>
      <c r="X3" s="35"/>
      <c r="Y3" s="45"/>
      <c r="Z3" s="34" t="s">
        <v>20</v>
      </c>
      <c r="AA3" s="35"/>
      <c r="AB3" s="35"/>
      <c r="AC3" s="45"/>
      <c r="AD3" s="34"/>
      <c r="AE3" s="35" t="s">
        <v>21</v>
      </c>
      <c r="AF3" s="35"/>
      <c r="AG3" s="45"/>
      <c r="AH3" s="34" t="s">
        <v>22</v>
      </c>
      <c r="AI3" s="35"/>
      <c r="AJ3" s="35"/>
      <c r="AK3" s="45"/>
      <c r="AL3" s="34"/>
      <c r="AM3" s="35" t="s">
        <v>23</v>
      </c>
      <c r="AN3" s="35"/>
      <c r="AO3" s="45"/>
      <c r="AP3" s="34"/>
      <c r="AQ3" s="35" t="s">
        <v>24</v>
      </c>
      <c r="AR3" s="19"/>
      <c r="AS3" s="36"/>
      <c r="AT3" s="34"/>
      <c r="AU3" s="35" t="s">
        <v>24</v>
      </c>
      <c r="AV3" s="19"/>
      <c r="AW3" s="36"/>
    </row>
    <row r="4" spans="1:49" x14ac:dyDescent="0.2">
      <c r="A4" s="73"/>
      <c r="B4" s="74"/>
      <c r="C4" s="74"/>
      <c r="D4" s="74"/>
      <c r="E4" s="75"/>
      <c r="F4" s="54"/>
      <c r="G4" s="55"/>
      <c r="H4" s="55"/>
      <c r="I4" s="56"/>
      <c r="J4" s="37" t="s">
        <v>96</v>
      </c>
      <c r="K4" s="38" t="s">
        <v>97</v>
      </c>
      <c r="L4" s="38" t="s">
        <v>121</v>
      </c>
      <c r="M4" s="39" t="s">
        <v>122</v>
      </c>
      <c r="N4" s="37" t="s">
        <v>96</v>
      </c>
      <c r="O4" s="38" t="s">
        <v>97</v>
      </c>
      <c r="P4" s="38" t="s">
        <v>121</v>
      </c>
      <c r="Q4" s="39" t="s">
        <v>122</v>
      </c>
      <c r="R4" s="37" t="s">
        <v>96</v>
      </c>
      <c r="S4" s="38" t="s">
        <v>97</v>
      </c>
      <c r="T4" s="38" t="s">
        <v>121</v>
      </c>
      <c r="U4" s="39" t="s">
        <v>122</v>
      </c>
      <c r="V4" s="37" t="s">
        <v>96</v>
      </c>
      <c r="W4" s="38" t="s">
        <v>97</v>
      </c>
      <c r="X4" s="38" t="s">
        <v>121</v>
      </c>
      <c r="Y4" s="39" t="s">
        <v>122</v>
      </c>
      <c r="Z4" s="37" t="s">
        <v>96</v>
      </c>
      <c r="AA4" s="38" t="s">
        <v>97</v>
      </c>
      <c r="AB4" s="38" t="s">
        <v>121</v>
      </c>
      <c r="AC4" s="39" t="s">
        <v>122</v>
      </c>
      <c r="AD4" s="37" t="s">
        <v>96</v>
      </c>
      <c r="AE4" s="38" t="s">
        <v>97</v>
      </c>
      <c r="AF4" s="38" t="s">
        <v>121</v>
      </c>
      <c r="AG4" s="39" t="s">
        <v>122</v>
      </c>
      <c r="AH4" s="37" t="s">
        <v>96</v>
      </c>
      <c r="AI4" s="38" t="s">
        <v>97</v>
      </c>
      <c r="AJ4" s="38" t="s">
        <v>121</v>
      </c>
      <c r="AK4" s="39" t="s">
        <v>122</v>
      </c>
      <c r="AL4" s="37" t="s">
        <v>96</v>
      </c>
      <c r="AM4" s="38" t="s">
        <v>97</v>
      </c>
      <c r="AN4" s="38" t="s">
        <v>121</v>
      </c>
      <c r="AO4" s="39" t="s">
        <v>122</v>
      </c>
      <c r="AP4" s="37" t="s">
        <v>96</v>
      </c>
      <c r="AQ4" s="38" t="s">
        <v>97</v>
      </c>
      <c r="AR4" s="38" t="s">
        <v>121</v>
      </c>
      <c r="AS4" s="39" t="s">
        <v>122</v>
      </c>
      <c r="AT4" s="37" t="s">
        <v>204</v>
      </c>
      <c r="AU4" s="38" t="s">
        <v>205</v>
      </c>
      <c r="AV4" s="38" t="s">
        <v>204</v>
      </c>
      <c r="AW4" s="39" t="s">
        <v>204</v>
      </c>
    </row>
    <row r="5" spans="1:49" x14ac:dyDescent="0.2">
      <c r="A5" s="71" t="s">
        <v>26</v>
      </c>
      <c r="B5" s="20">
        <v>2214</v>
      </c>
      <c r="C5" s="20">
        <v>2296</v>
      </c>
      <c r="D5" s="20">
        <v>720</v>
      </c>
      <c r="E5" s="280">
        <f>IF(AW5&gt;100%,AU5,AU5*AW5)</f>
        <v>340</v>
      </c>
      <c r="F5" s="51" t="s">
        <v>25</v>
      </c>
      <c r="G5" s="52" t="s">
        <v>25</v>
      </c>
      <c r="H5" s="52" t="s">
        <v>25</v>
      </c>
      <c r="I5" s="53" t="str">
        <f>IF(C5=0,"",IF(B5/C5&gt;79%,"Yes",""))</f>
        <v>Yes</v>
      </c>
      <c r="J5" s="34">
        <f>IF(AND($F5="Yes",$G5="Yes",$H5="Yes",$I5="Yes"),$C5,"")</f>
        <v>2296</v>
      </c>
      <c r="K5" s="35">
        <v>0</v>
      </c>
      <c r="L5" s="35">
        <f>IF(J5="","",$D5)</f>
        <v>720</v>
      </c>
      <c r="M5" s="45">
        <f>IF(J5="","",$E5)</f>
        <v>340</v>
      </c>
      <c r="N5" s="34" t="str">
        <f>IF(O5="","",C5)</f>
        <v/>
      </c>
      <c r="O5" s="35" t="str">
        <f>IF(AND(F5="Yes",G5="Yes",H5="Yes",I5=""),C5-B5,"")</f>
        <v/>
      </c>
      <c r="P5" s="35" t="str">
        <f>IF(N5="","",$D5)</f>
        <v/>
      </c>
      <c r="Q5" s="45" t="str">
        <f>IF(N5="","",$E5)</f>
        <v/>
      </c>
      <c r="R5" s="34" t="str">
        <f>IF(AND(F5="Yes",G5="Yes",H5="",I5="Yes"),C5,"")</f>
        <v/>
      </c>
      <c r="S5" s="35">
        <v>0</v>
      </c>
      <c r="T5" s="35" t="str">
        <f>IF(R5="","",$D5)</f>
        <v/>
      </c>
      <c r="U5" s="45" t="str">
        <f>IF(R5="","",$E5)</f>
        <v/>
      </c>
      <c r="V5" s="34" t="str">
        <f>IF(W5="","",C5)</f>
        <v/>
      </c>
      <c r="W5" s="35" t="str">
        <f>IF(AND(F5="Yes",G5="Yes",H5="",I5=""),C5-B5,"")</f>
        <v/>
      </c>
      <c r="X5" s="35" t="str">
        <f>IF(V5="","",$D5)</f>
        <v/>
      </c>
      <c r="Y5" s="45" t="str">
        <f>IF(V5="","",$E5)</f>
        <v/>
      </c>
      <c r="Z5" s="34" t="str">
        <f>IF(AND(F5="Yes",G5="",H5="Yes",I5="Yes"),C5,"")</f>
        <v/>
      </c>
      <c r="AA5" s="35">
        <v>0</v>
      </c>
      <c r="AB5" s="35" t="str">
        <f>IF(Z5="","",$D5)</f>
        <v/>
      </c>
      <c r="AC5" s="45" t="str">
        <f>IF(Z5="","",$E5)</f>
        <v/>
      </c>
      <c r="AD5" s="34" t="str">
        <f>IF(AE5="","",C5)</f>
        <v/>
      </c>
      <c r="AE5" s="35" t="str">
        <f>IF(AND(F5="Yes",G5="",H5="Yes",I5=""),C5-B5,"")</f>
        <v/>
      </c>
      <c r="AF5" s="35" t="str">
        <f>IF(AD5="","",$D5)</f>
        <v/>
      </c>
      <c r="AG5" s="45" t="str">
        <f>IF(AD5="","",$E5)</f>
        <v/>
      </c>
      <c r="AH5" s="34" t="str">
        <f>IF(AND(F5="Yes",G5="",H5="",I5="Yes"),C5,"")</f>
        <v/>
      </c>
      <c r="AI5" s="35">
        <v>0</v>
      </c>
      <c r="AJ5" s="35" t="str">
        <f>IF(AH5="","",$D5)</f>
        <v/>
      </c>
      <c r="AK5" s="45" t="str">
        <f>IF(AH5="","",$E5)</f>
        <v/>
      </c>
      <c r="AL5" s="34" t="str">
        <f>IF(AM5="","",C5)</f>
        <v/>
      </c>
      <c r="AM5" s="35" t="str">
        <f>IF(AND(F5="Yes",G5="",H5="",I5=""),C5-B5,"")</f>
        <v/>
      </c>
      <c r="AN5" s="35" t="str">
        <f>IF(AL5="","",$D5)</f>
        <v/>
      </c>
      <c r="AO5" s="45" t="str">
        <f>IF(AL5="","",$E5)</f>
        <v/>
      </c>
      <c r="AP5" s="34" t="str">
        <f>IF(AQ5="","",C5)</f>
        <v/>
      </c>
      <c r="AQ5" s="40" t="str">
        <f>IF(AND(F5="",G5="",H5="",I5=""),C5-B5,"")</f>
        <v/>
      </c>
      <c r="AR5" s="35" t="str">
        <f>IF(AP5="","",$D5)</f>
        <v/>
      </c>
      <c r="AS5" s="45" t="str">
        <f>IF(AP5="","",$E5)</f>
        <v/>
      </c>
      <c r="AT5" s="149">
        <v>1727</v>
      </c>
      <c r="AU5" s="20">
        <v>340</v>
      </c>
      <c r="AV5" s="150">
        <v>1752</v>
      </c>
      <c r="AW5" s="151">
        <f>IF(AT5=0,0,(AV5/AT5))</f>
        <v>1.0144759698899826</v>
      </c>
    </row>
    <row r="6" spans="1:49" x14ac:dyDescent="0.2">
      <c r="A6" s="71" t="s">
        <v>27</v>
      </c>
      <c r="B6" s="20">
        <v>11364</v>
      </c>
      <c r="C6" s="20">
        <v>11176</v>
      </c>
      <c r="D6" s="20">
        <v>5096</v>
      </c>
      <c r="E6" s="280">
        <f t="shared" ref="E6:E54" si="0">IF(AW6&gt;100%,AU6,AU6*AW6)</f>
        <v>2758.5674452104126</v>
      </c>
      <c r="F6" s="51" t="s">
        <v>25</v>
      </c>
      <c r="G6" s="52" t="s">
        <v>25</v>
      </c>
      <c r="H6" s="52" t="s">
        <v>25</v>
      </c>
      <c r="I6" s="53" t="str">
        <f t="shared" ref="I6:I10" si="1">IF(C6=0,"",IF(B6/C6&gt;79%,"Yes",""))</f>
        <v>Yes</v>
      </c>
      <c r="J6" s="34">
        <f t="shared" ref="J6:J54" si="2">IF(AND($F6="Yes",$G6="Yes",$H6="Yes",$I6="Yes"),$C6,"")</f>
        <v>11176</v>
      </c>
      <c r="K6" s="35">
        <v>0</v>
      </c>
      <c r="L6" s="35">
        <f t="shared" ref="L6:L54" si="3">IF(J6="","",D6)</f>
        <v>5096</v>
      </c>
      <c r="M6" s="45">
        <f t="shared" ref="M6:M54" si="4">IF(J6="","",E6)</f>
        <v>2758.5674452104126</v>
      </c>
      <c r="N6" s="34" t="str">
        <f t="shared" ref="N6:N54" si="5">IF(O6="","",C6)</f>
        <v/>
      </c>
      <c r="O6" s="35" t="str">
        <f t="shared" ref="O6:O10" si="6">IF(AND(F6="Yes",G6="Yes",H6="Yes",I6=""),C6-B6,"")</f>
        <v/>
      </c>
      <c r="P6" s="35" t="str">
        <f t="shared" ref="P6:P20" si="7">IF(N6="","",$D6)</f>
        <v/>
      </c>
      <c r="Q6" s="45" t="str">
        <f t="shared" ref="Q6:Q20" si="8">IF(N6="","",$E6)</f>
        <v/>
      </c>
      <c r="R6" s="34" t="str">
        <f t="shared" ref="R6:R7" si="9">IF(AND(F6="Yes",G6="Yes",H6="",I6="Yes"),C6,"")</f>
        <v/>
      </c>
      <c r="S6" s="35">
        <v>0</v>
      </c>
      <c r="T6" s="35" t="str">
        <f t="shared" ref="T6:T7" si="10">IF(R6="","",$D6)</f>
        <v/>
      </c>
      <c r="U6" s="45" t="str">
        <f t="shared" ref="U6:U7" si="11">IF(R6="","",$E6)</f>
        <v/>
      </c>
      <c r="V6" s="34" t="str">
        <f t="shared" ref="V6:V54" si="12">IF(W6="","",C6)</f>
        <v/>
      </c>
      <c r="W6" s="35" t="str">
        <f t="shared" ref="W6:W10" si="13">IF(AND(F6="Yes",G6="Yes",H6="",I6=""),C6-B6,"")</f>
        <v/>
      </c>
      <c r="X6" s="35" t="str">
        <f t="shared" ref="X6:X54" si="14">IF(V6="","",$D6)</f>
        <v/>
      </c>
      <c r="Y6" s="45" t="str">
        <f t="shared" ref="Y6:Y54" si="15">IF(V6="","",$E6)</f>
        <v/>
      </c>
      <c r="Z6" s="34" t="str">
        <f t="shared" ref="Z6:Z8" si="16">IF(AND(F6="Yes",G6="",H6="Yes",I6="Yes"),C6,"")</f>
        <v/>
      </c>
      <c r="AA6" s="35">
        <v>0</v>
      </c>
      <c r="AB6" s="35" t="str">
        <f t="shared" ref="AB6:AB8" si="17">IF(Z6="","",$D6)</f>
        <v/>
      </c>
      <c r="AC6" s="45" t="str">
        <f t="shared" ref="AC6:AC8" si="18">IF(Z6="","",$E6)</f>
        <v/>
      </c>
      <c r="AD6" s="34" t="str">
        <f t="shared" ref="AD6:AD54" si="19">IF(AE6="","",C6)</f>
        <v/>
      </c>
      <c r="AE6" s="35" t="str">
        <f t="shared" ref="AE6:AE10" si="20">IF(AND(F6="Yes",G6="",H6="Yes",I6=""),C6-B6,"")</f>
        <v/>
      </c>
      <c r="AF6" s="35" t="str">
        <f t="shared" ref="AF6:AF54" si="21">IF(AD6="","",$D6)</f>
        <v/>
      </c>
      <c r="AG6" s="45" t="str">
        <f t="shared" ref="AG6:AG54" si="22">IF(AD6="","",$E6)</f>
        <v/>
      </c>
      <c r="AH6" s="34" t="str">
        <f t="shared" ref="AH6:AH8" si="23">IF(AND(F6="Yes",G6="",H6="",I6="Yes"),C6,"")</f>
        <v/>
      </c>
      <c r="AI6" s="35">
        <v>0</v>
      </c>
      <c r="AJ6" s="35" t="str">
        <f t="shared" ref="AJ6:AJ8" si="24">IF(AH6="","",$D6)</f>
        <v/>
      </c>
      <c r="AK6" s="45" t="str">
        <f t="shared" ref="AK6:AK8" si="25">IF(AH6="","",$E6)</f>
        <v/>
      </c>
      <c r="AL6" s="34" t="str">
        <f t="shared" ref="AL6:AL54" si="26">IF(AM6="","",C6)</f>
        <v/>
      </c>
      <c r="AM6" s="35" t="str">
        <f t="shared" ref="AM6:AM10" si="27">IF(AND(F6="Yes",G6="",H6="",I6=""),C6-B6,"")</f>
        <v/>
      </c>
      <c r="AN6" s="35" t="str">
        <f t="shared" ref="AN6:AN54" si="28">IF(AL6="","",$D6)</f>
        <v/>
      </c>
      <c r="AO6" s="45" t="str">
        <f t="shared" ref="AO6:AO54" si="29">IF(AL6="","",$E6)</f>
        <v/>
      </c>
      <c r="AP6" s="34" t="str">
        <f t="shared" ref="AP6:AP54" si="30">IF(AQ6="","",C6)</f>
        <v/>
      </c>
      <c r="AQ6" s="40" t="str">
        <f t="shared" ref="AQ6:AQ10" si="31">IF(AND(F6="",G6="",H6="",I6=""),C6-B6,"")</f>
        <v/>
      </c>
      <c r="AR6" s="35" t="str">
        <f t="shared" ref="AR6:AR54" si="32">IF(AP6="","",$D6)</f>
        <v/>
      </c>
      <c r="AS6" s="45" t="str">
        <f t="shared" ref="AS6:AS54" si="33">IF(AP6="","",$E6)</f>
        <v/>
      </c>
      <c r="AT6" s="149">
        <v>9719</v>
      </c>
      <c r="AU6" s="20">
        <v>2841</v>
      </c>
      <c r="AV6" s="150">
        <v>9437</v>
      </c>
      <c r="AW6" s="151">
        <f t="shared" ref="AW6:AW56" si="34">IF(AT6=0,0,(AV6/AT6))</f>
        <v>0.97098466920465065</v>
      </c>
    </row>
    <row r="7" spans="1:49" x14ac:dyDescent="0.2">
      <c r="A7" s="71" t="s">
        <v>28</v>
      </c>
      <c r="B7" s="20">
        <v>7782</v>
      </c>
      <c r="C7" s="20">
        <v>8477</v>
      </c>
      <c r="D7" s="20">
        <v>2577</v>
      </c>
      <c r="E7" s="280">
        <f t="shared" si="0"/>
        <v>2166.7995039272428</v>
      </c>
      <c r="F7" s="51" t="s">
        <v>25</v>
      </c>
      <c r="G7" s="172" t="s">
        <v>25</v>
      </c>
      <c r="H7" s="52"/>
      <c r="I7" s="53" t="str">
        <f t="shared" si="1"/>
        <v>Yes</v>
      </c>
      <c r="J7" s="34" t="str">
        <f t="shared" si="2"/>
        <v/>
      </c>
      <c r="K7" s="35">
        <v>0</v>
      </c>
      <c r="L7" s="35" t="str">
        <f t="shared" si="3"/>
        <v/>
      </c>
      <c r="M7" s="45" t="str">
        <f t="shared" si="4"/>
        <v/>
      </c>
      <c r="N7" s="34" t="str">
        <f t="shared" si="5"/>
        <v/>
      </c>
      <c r="O7" s="35" t="str">
        <f t="shared" si="6"/>
        <v/>
      </c>
      <c r="P7" s="35" t="str">
        <f t="shared" si="7"/>
        <v/>
      </c>
      <c r="Q7" s="45" t="str">
        <f t="shared" si="8"/>
        <v/>
      </c>
      <c r="R7" s="34">
        <f t="shared" si="9"/>
        <v>8477</v>
      </c>
      <c r="S7" s="35">
        <v>0</v>
      </c>
      <c r="T7" s="35">
        <f t="shared" si="10"/>
        <v>2577</v>
      </c>
      <c r="U7" s="45">
        <f t="shared" si="11"/>
        <v>2166.7995039272428</v>
      </c>
      <c r="V7" s="34" t="str">
        <f t="shared" si="12"/>
        <v/>
      </c>
      <c r="W7" s="35" t="str">
        <f t="shared" si="13"/>
        <v/>
      </c>
      <c r="X7" s="35" t="str">
        <f t="shared" si="14"/>
        <v/>
      </c>
      <c r="Y7" s="45" t="str">
        <f t="shared" si="15"/>
        <v/>
      </c>
      <c r="Z7" s="34" t="str">
        <f t="shared" si="16"/>
        <v/>
      </c>
      <c r="AA7" s="35">
        <v>0</v>
      </c>
      <c r="AB7" s="35" t="str">
        <f t="shared" si="17"/>
        <v/>
      </c>
      <c r="AC7" s="45" t="str">
        <f t="shared" si="18"/>
        <v/>
      </c>
      <c r="AD7" s="34" t="str">
        <f t="shared" si="19"/>
        <v/>
      </c>
      <c r="AE7" s="35" t="str">
        <f t="shared" si="20"/>
        <v/>
      </c>
      <c r="AF7" s="35" t="str">
        <f t="shared" si="21"/>
        <v/>
      </c>
      <c r="AG7" s="45" t="str">
        <f t="shared" si="22"/>
        <v/>
      </c>
      <c r="AH7" s="34" t="str">
        <f t="shared" si="23"/>
        <v/>
      </c>
      <c r="AI7" s="35">
        <v>0</v>
      </c>
      <c r="AJ7" s="35" t="str">
        <f t="shared" si="24"/>
        <v/>
      </c>
      <c r="AK7" s="45" t="str">
        <f t="shared" si="25"/>
        <v/>
      </c>
      <c r="AL7" s="34" t="str">
        <f t="shared" si="26"/>
        <v/>
      </c>
      <c r="AM7" s="35" t="str">
        <f t="shared" si="27"/>
        <v/>
      </c>
      <c r="AN7" s="35" t="str">
        <f t="shared" si="28"/>
        <v/>
      </c>
      <c r="AO7" s="45" t="str">
        <f t="shared" si="29"/>
        <v/>
      </c>
      <c r="AP7" s="34" t="str">
        <f t="shared" si="30"/>
        <v/>
      </c>
      <c r="AQ7" s="40" t="str">
        <f t="shared" si="31"/>
        <v/>
      </c>
      <c r="AR7" s="35" t="str">
        <f t="shared" si="32"/>
        <v/>
      </c>
      <c r="AS7" s="45" t="str">
        <f t="shared" si="33"/>
        <v/>
      </c>
      <c r="AT7" s="149">
        <v>7257</v>
      </c>
      <c r="AU7" s="20">
        <v>2544</v>
      </c>
      <c r="AV7" s="150">
        <v>6181</v>
      </c>
      <c r="AW7" s="151">
        <f t="shared" si="34"/>
        <v>0.85172936475127459</v>
      </c>
    </row>
    <row r="8" spans="1:49" x14ac:dyDescent="0.2">
      <c r="A8" s="71" t="s">
        <v>29</v>
      </c>
      <c r="B8" s="20">
        <v>7456</v>
      </c>
      <c r="C8" s="20">
        <v>8083</v>
      </c>
      <c r="D8" s="20">
        <v>2421</v>
      </c>
      <c r="E8" s="280">
        <f t="shared" si="0"/>
        <v>1019.8718362950996</v>
      </c>
      <c r="F8" s="51" t="s">
        <v>25</v>
      </c>
      <c r="G8" s="52" t="s">
        <v>25</v>
      </c>
      <c r="H8" s="52" t="s">
        <v>25</v>
      </c>
      <c r="I8" s="53" t="str">
        <f t="shared" si="1"/>
        <v>Yes</v>
      </c>
      <c r="J8" s="34">
        <f t="shared" si="2"/>
        <v>8083</v>
      </c>
      <c r="K8" s="35">
        <v>0</v>
      </c>
      <c r="L8" s="35">
        <f t="shared" si="3"/>
        <v>2421</v>
      </c>
      <c r="M8" s="45">
        <f t="shared" si="4"/>
        <v>1019.8718362950996</v>
      </c>
      <c r="N8" s="34" t="str">
        <f t="shared" si="5"/>
        <v/>
      </c>
      <c r="O8" s="35" t="str">
        <f t="shared" si="6"/>
        <v/>
      </c>
      <c r="P8" s="35" t="str">
        <f t="shared" si="7"/>
        <v/>
      </c>
      <c r="Q8" s="45" t="str">
        <f t="shared" si="8"/>
        <v/>
      </c>
      <c r="R8" s="34" t="str">
        <f t="shared" ref="R8:R15" si="35">IF(AND(F8="Yes",G8="Yes",H8="",I8="Yes"),C8,"")</f>
        <v/>
      </c>
      <c r="S8" s="35">
        <v>0</v>
      </c>
      <c r="T8" s="35" t="str">
        <f t="shared" ref="T8:T15" si="36">IF(R8="","",$D8)</f>
        <v/>
      </c>
      <c r="U8" s="45" t="str">
        <f t="shared" ref="U8:U15" si="37">IF(R8="","",$E8)</f>
        <v/>
      </c>
      <c r="V8" s="34" t="str">
        <f t="shared" si="12"/>
        <v/>
      </c>
      <c r="W8" s="35" t="str">
        <f t="shared" si="13"/>
        <v/>
      </c>
      <c r="X8" s="35" t="str">
        <f t="shared" si="14"/>
        <v/>
      </c>
      <c r="Y8" s="45" t="str">
        <f t="shared" si="15"/>
        <v/>
      </c>
      <c r="Z8" s="34" t="str">
        <f t="shared" si="16"/>
        <v/>
      </c>
      <c r="AA8" s="35">
        <v>0</v>
      </c>
      <c r="AB8" s="35" t="str">
        <f t="shared" si="17"/>
        <v/>
      </c>
      <c r="AC8" s="45" t="str">
        <f t="shared" si="18"/>
        <v/>
      </c>
      <c r="AD8" s="34" t="str">
        <f t="shared" si="19"/>
        <v/>
      </c>
      <c r="AE8" s="35" t="str">
        <f t="shared" si="20"/>
        <v/>
      </c>
      <c r="AF8" s="35" t="str">
        <f t="shared" si="21"/>
        <v/>
      </c>
      <c r="AG8" s="45" t="str">
        <f t="shared" si="22"/>
        <v/>
      </c>
      <c r="AH8" s="34" t="str">
        <f t="shared" si="23"/>
        <v/>
      </c>
      <c r="AI8" s="35">
        <v>0</v>
      </c>
      <c r="AJ8" s="35" t="str">
        <f t="shared" si="24"/>
        <v/>
      </c>
      <c r="AK8" s="45" t="str">
        <f t="shared" si="25"/>
        <v/>
      </c>
      <c r="AL8" s="34" t="str">
        <f t="shared" si="26"/>
        <v/>
      </c>
      <c r="AM8" s="35" t="str">
        <f t="shared" si="27"/>
        <v/>
      </c>
      <c r="AN8" s="35" t="str">
        <f t="shared" si="28"/>
        <v/>
      </c>
      <c r="AO8" s="45" t="str">
        <f t="shared" si="29"/>
        <v/>
      </c>
      <c r="AP8" s="34" t="str">
        <f t="shared" si="30"/>
        <v/>
      </c>
      <c r="AQ8" s="40" t="str">
        <f t="shared" si="31"/>
        <v/>
      </c>
      <c r="AR8" s="35" t="str">
        <f t="shared" si="32"/>
        <v/>
      </c>
      <c r="AS8" s="45" t="str">
        <f t="shared" si="33"/>
        <v/>
      </c>
      <c r="AT8" s="149">
        <v>5571</v>
      </c>
      <c r="AU8" s="20">
        <v>1051</v>
      </c>
      <c r="AV8" s="150">
        <v>5406</v>
      </c>
      <c r="AW8" s="151">
        <f t="shared" si="34"/>
        <v>0.97038233710285404</v>
      </c>
    </row>
    <row r="9" spans="1:49" x14ac:dyDescent="0.2">
      <c r="A9" s="71" t="s">
        <v>30</v>
      </c>
      <c r="B9" s="20">
        <v>150592</v>
      </c>
      <c r="C9" s="20">
        <v>160669</v>
      </c>
      <c r="D9" s="20">
        <v>47313</v>
      </c>
      <c r="E9" s="280">
        <f t="shared" si="0"/>
        <v>31441.416715593161</v>
      </c>
      <c r="F9" s="51" t="s">
        <v>25</v>
      </c>
      <c r="G9" s="52" t="s">
        <v>25</v>
      </c>
      <c r="H9" s="52"/>
      <c r="I9" s="53" t="str">
        <f t="shared" si="1"/>
        <v>Yes</v>
      </c>
      <c r="J9" s="34" t="str">
        <f t="shared" si="2"/>
        <v/>
      </c>
      <c r="K9" s="35">
        <v>0</v>
      </c>
      <c r="L9" s="35" t="str">
        <f t="shared" si="3"/>
        <v/>
      </c>
      <c r="M9" s="45" t="str">
        <f t="shared" si="4"/>
        <v/>
      </c>
      <c r="N9" s="34" t="str">
        <f t="shared" si="5"/>
        <v/>
      </c>
      <c r="O9" s="35" t="str">
        <f t="shared" si="6"/>
        <v/>
      </c>
      <c r="P9" s="35" t="str">
        <f t="shared" si="7"/>
        <v/>
      </c>
      <c r="Q9" s="45" t="str">
        <f t="shared" si="8"/>
        <v/>
      </c>
      <c r="R9" s="34">
        <f t="shared" si="35"/>
        <v>160669</v>
      </c>
      <c r="S9" s="35">
        <v>0</v>
      </c>
      <c r="T9" s="35">
        <f t="shared" si="36"/>
        <v>47313</v>
      </c>
      <c r="U9" s="45">
        <f t="shared" si="37"/>
        <v>31441.416715593161</v>
      </c>
      <c r="V9" s="34" t="str">
        <f t="shared" si="12"/>
        <v/>
      </c>
      <c r="W9" s="35" t="str">
        <f t="shared" si="13"/>
        <v/>
      </c>
      <c r="X9" s="35" t="str">
        <f t="shared" si="14"/>
        <v/>
      </c>
      <c r="Y9" s="45" t="str">
        <f t="shared" si="15"/>
        <v/>
      </c>
      <c r="Z9" s="34" t="str">
        <f t="shared" ref="Z9:Z55" si="38">IF(AND(F9="Yes",G9="",H9="Yes",I9="Yes"),C9,"")</f>
        <v/>
      </c>
      <c r="AA9" s="35">
        <v>0</v>
      </c>
      <c r="AB9" s="35" t="str">
        <f t="shared" ref="AB9:AB55" si="39">IF(Z9="","",$D9)</f>
        <v/>
      </c>
      <c r="AC9" s="45" t="str">
        <f t="shared" ref="AC9:AC55" si="40">IF(Z9="","",$E9)</f>
        <v/>
      </c>
      <c r="AD9" s="34" t="str">
        <f t="shared" si="19"/>
        <v/>
      </c>
      <c r="AE9" s="35" t="str">
        <f t="shared" si="20"/>
        <v/>
      </c>
      <c r="AF9" s="35" t="str">
        <f t="shared" si="21"/>
        <v/>
      </c>
      <c r="AG9" s="45" t="str">
        <f t="shared" si="22"/>
        <v/>
      </c>
      <c r="AH9" s="34" t="str">
        <f t="shared" ref="AH9:AH54" si="41">IF(AND(F9="Yes",G9="",H9="",I9="Yes"),C9,"")</f>
        <v/>
      </c>
      <c r="AI9" s="35">
        <v>0</v>
      </c>
      <c r="AJ9" s="35" t="str">
        <f t="shared" ref="AJ9:AJ54" si="42">IF(AH9="","",$D9)</f>
        <v/>
      </c>
      <c r="AK9" s="45" t="str">
        <f t="shared" ref="AK9:AK54" si="43">IF(AH9="","",$E9)</f>
        <v/>
      </c>
      <c r="AL9" s="34" t="str">
        <f t="shared" si="26"/>
        <v/>
      </c>
      <c r="AM9" s="35" t="str">
        <f t="shared" si="27"/>
        <v/>
      </c>
      <c r="AN9" s="35" t="str">
        <f t="shared" si="28"/>
        <v/>
      </c>
      <c r="AO9" s="45" t="str">
        <f t="shared" si="29"/>
        <v/>
      </c>
      <c r="AP9" s="34" t="str">
        <f t="shared" si="30"/>
        <v/>
      </c>
      <c r="AQ9" s="40" t="str">
        <f t="shared" si="31"/>
        <v/>
      </c>
      <c r="AR9" s="35" t="str">
        <f t="shared" si="32"/>
        <v/>
      </c>
      <c r="AS9" s="45" t="str">
        <f t="shared" si="33"/>
        <v/>
      </c>
      <c r="AT9" s="149">
        <v>115820</v>
      </c>
      <c r="AU9" s="20">
        <v>34484</v>
      </c>
      <c r="AV9" s="150">
        <v>105601</v>
      </c>
      <c r="AW9" s="151">
        <f t="shared" si="34"/>
        <v>0.91176826109480225</v>
      </c>
    </row>
    <row r="10" spans="1:49" x14ac:dyDescent="0.2">
      <c r="A10" s="71" t="s">
        <v>31</v>
      </c>
      <c r="B10" s="20">
        <v>5012</v>
      </c>
      <c r="C10" s="20">
        <v>4861</v>
      </c>
      <c r="D10" s="20">
        <v>1898</v>
      </c>
      <c r="E10" s="280">
        <f t="shared" si="0"/>
        <v>954</v>
      </c>
      <c r="F10" s="51" t="s">
        <v>25</v>
      </c>
      <c r="G10" s="52" t="s">
        <v>25</v>
      </c>
      <c r="H10" s="52" t="s">
        <v>25</v>
      </c>
      <c r="I10" s="53" t="str">
        <f t="shared" si="1"/>
        <v>Yes</v>
      </c>
      <c r="J10" s="34">
        <f t="shared" si="2"/>
        <v>4861</v>
      </c>
      <c r="K10" s="35">
        <v>0</v>
      </c>
      <c r="L10" s="35">
        <f t="shared" si="3"/>
        <v>1898</v>
      </c>
      <c r="M10" s="45">
        <f t="shared" si="4"/>
        <v>954</v>
      </c>
      <c r="N10" s="34" t="str">
        <f t="shared" si="5"/>
        <v/>
      </c>
      <c r="O10" s="35" t="str">
        <f t="shared" si="6"/>
        <v/>
      </c>
      <c r="P10" s="35" t="str">
        <f t="shared" si="7"/>
        <v/>
      </c>
      <c r="Q10" s="45" t="str">
        <f t="shared" si="8"/>
        <v/>
      </c>
      <c r="R10" s="34" t="str">
        <f t="shared" si="35"/>
        <v/>
      </c>
      <c r="S10" s="35">
        <v>0</v>
      </c>
      <c r="T10" s="35" t="str">
        <f t="shared" si="36"/>
        <v/>
      </c>
      <c r="U10" s="45" t="str">
        <f t="shared" si="37"/>
        <v/>
      </c>
      <c r="V10" s="34" t="str">
        <f t="shared" si="12"/>
        <v/>
      </c>
      <c r="W10" s="35" t="str">
        <f t="shared" si="13"/>
        <v/>
      </c>
      <c r="X10" s="35" t="str">
        <f t="shared" si="14"/>
        <v/>
      </c>
      <c r="Y10" s="45" t="str">
        <f t="shared" si="15"/>
        <v/>
      </c>
      <c r="Z10" s="34" t="str">
        <f t="shared" si="38"/>
        <v/>
      </c>
      <c r="AA10" s="35">
        <v>0</v>
      </c>
      <c r="AB10" s="35" t="str">
        <f t="shared" si="39"/>
        <v/>
      </c>
      <c r="AC10" s="45" t="str">
        <f t="shared" si="40"/>
        <v/>
      </c>
      <c r="AD10" s="34" t="str">
        <f t="shared" si="19"/>
        <v/>
      </c>
      <c r="AE10" s="35" t="str">
        <f t="shared" si="20"/>
        <v/>
      </c>
      <c r="AF10" s="35" t="str">
        <f t="shared" si="21"/>
        <v/>
      </c>
      <c r="AG10" s="45" t="str">
        <f t="shared" si="22"/>
        <v/>
      </c>
      <c r="AH10" s="34" t="str">
        <f t="shared" si="41"/>
        <v/>
      </c>
      <c r="AI10" s="35">
        <v>0</v>
      </c>
      <c r="AJ10" s="35" t="str">
        <f t="shared" si="42"/>
        <v/>
      </c>
      <c r="AK10" s="45" t="str">
        <f t="shared" si="43"/>
        <v/>
      </c>
      <c r="AL10" s="34" t="str">
        <f t="shared" si="26"/>
        <v/>
      </c>
      <c r="AM10" s="35" t="str">
        <f t="shared" si="27"/>
        <v/>
      </c>
      <c r="AN10" s="35" t="str">
        <f t="shared" si="28"/>
        <v/>
      </c>
      <c r="AO10" s="45" t="str">
        <f t="shared" si="29"/>
        <v/>
      </c>
      <c r="AP10" s="34" t="str">
        <f t="shared" si="30"/>
        <v/>
      </c>
      <c r="AQ10" s="40" t="str">
        <f t="shared" si="31"/>
        <v/>
      </c>
      <c r="AR10" s="35" t="str">
        <f t="shared" si="32"/>
        <v/>
      </c>
      <c r="AS10" s="45" t="str">
        <f t="shared" si="33"/>
        <v/>
      </c>
      <c r="AT10" s="149">
        <v>3728</v>
      </c>
      <c r="AU10" s="20">
        <v>954</v>
      </c>
      <c r="AV10" s="150">
        <v>4410</v>
      </c>
      <c r="AW10" s="151">
        <f t="shared" si="34"/>
        <v>1.1829399141630901</v>
      </c>
    </row>
    <row r="11" spans="1:49" x14ac:dyDescent="0.2">
      <c r="A11" s="71" t="s">
        <v>71</v>
      </c>
      <c r="B11" s="20">
        <v>0</v>
      </c>
      <c r="C11" s="20">
        <v>0</v>
      </c>
      <c r="D11" s="20">
        <v>0</v>
      </c>
      <c r="E11" s="280">
        <f t="shared" si="0"/>
        <v>0</v>
      </c>
      <c r="F11" s="171" t="s">
        <v>25</v>
      </c>
      <c r="G11" s="172" t="s">
        <v>25</v>
      </c>
      <c r="H11" s="172" t="s">
        <v>25</v>
      </c>
      <c r="I11" s="53" t="str">
        <f t="shared" ref="I11:I54" si="44">IF(C11=0,"",IF(B11/C11&gt;79%,"Yes",""))</f>
        <v/>
      </c>
      <c r="J11" s="34" t="str">
        <f t="shared" si="2"/>
        <v/>
      </c>
      <c r="K11" s="35">
        <v>0</v>
      </c>
      <c r="L11" s="35" t="str">
        <f t="shared" si="3"/>
        <v/>
      </c>
      <c r="M11" s="45" t="str">
        <f t="shared" si="4"/>
        <v/>
      </c>
      <c r="N11" s="34">
        <f t="shared" si="5"/>
        <v>0</v>
      </c>
      <c r="O11" s="35">
        <f t="shared" ref="O11:O54" si="45">IF(AND(F11="Yes",G11="Yes",H11="Yes",I11=""),C11-B11,"")</f>
        <v>0</v>
      </c>
      <c r="P11" s="35">
        <f t="shared" si="7"/>
        <v>0</v>
      </c>
      <c r="Q11" s="45">
        <f t="shared" si="8"/>
        <v>0</v>
      </c>
      <c r="R11" s="34" t="str">
        <f t="shared" si="35"/>
        <v/>
      </c>
      <c r="S11" s="35">
        <v>0</v>
      </c>
      <c r="T11" s="35" t="str">
        <f t="shared" si="36"/>
        <v/>
      </c>
      <c r="U11" s="45" t="str">
        <f t="shared" si="37"/>
        <v/>
      </c>
      <c r="V11" s="34" t="str">
        <f t="shared" si="12"/>
        <v/>
      </c>
      <c r="W11" s="35" t="str">
        <f t="shared" ref="W11:W54" si="46">IF(AND(F11="Yes",G11="Yes",H11="",I11=""),C11-B11,"")</f>
        <v/>
      </c>
      <c r="X11" s="35" t="str">
        <f t="shared" si="14"/>
        <v/>
      </c>
      <c r="Y11" s="45" t="str">
        <f t="shared" si="15"/>
        <v/>
      </c>
      <c r="Z11" s="34" t="str">
        <f t="shared" si="38"/>
        <v/>
      </c>
      <c r="AA11" s="35">
        <v>0</v>
      </c>
      <c r="AB11" s="35" t="str">
        <f t="shared" si="39"/>
        <v/>
      </c>
      <c r="AC11" s="45" t="str">
        <f t="shared" si="40"/>
        <v/>
      </c>
      <c r="AD11" s="34" t="str">
        <f t="shared" si="19"/>
        <v/>
      </c>
      <c r="AE11" s="35" t="str">
        <f t="shared" ref="AE11:AE54" si="47">IF(AND(F11="Yes",G11="",H11="Yes",I11=""),C11-B11,"")</f>
        <v/>
      </c>
      <c r="AF11" s="35" t="str">
        <f t="shared" si="21"/>
        <v/>
      </c>
      <c r="AG11" s="45" t="str">
        <f t="shared" si="22"/>
        <v/>
      </c>
      <c r="AH11" s="34" t="str">
        <f t="shared" si="41"/>
        <v/>
      </c>
      <c r="AI11" s="35">
        <v>0</v>
      </c>
      <c r="AJ11" s="35" t="str">
        <f t="shared" si="42"/>
        <v/>
      </c>
      <c r="AK11" s="45" t="str">
        <f t="shared" si="43"/>
        <v/>
      </c>
      <c r="AL11" s="34" t="str">
        <f t="shared" si="26"/>
        <v/>
      </c>
      <c r="AM11" s="35" t="str">
        <f t="shared" ref="AM11:AM54" si="48">IF(AND(F11="Yes",G11="",H11="",I11=""),C11-B11,"")</f>
        <v/>
      </c>
      <c r="AN11" s="35" t="str">
        <f t="shared" si="28"/>
        <v/>
      </c>
      <c r="AO11" s="45" t="str">
        <f t="shared" si="29"/>
        <v/>
      </c>
      <c r="AP11" s="34" t="str">
        <f t="shared" si="30"/>
        <v/>
      </c>
      <c r="AQ11" s="40" t="str">
        <f t="shared" ref="AQ11:AQ54" si="49">IF(AND(F11="",G11="",H11="",I11=""),C11-B11,"")</f>
        <v/>
      </c>
      <c r="AR11" s="35" t="str">
        <f t="shared" si="32"/>
        <v/>
      </c>
      <c r="AS11" s="45" t="str">
        <f t="shared" si="33"/>
        <v/>
      </c>
      <c r="AT11" s="149">
        <v>0</v>
      </c>
      <c r="AU11" s="20">
        <v>0</v>
      </c>
      <c r="AV11" s="150">
        <v>0</v>
      </c>
      <c r="AW11" s="151">
        <f t="shared" si="34"/>
        <v>0</v>
      </c>
    </row>
    <row r="12" spans="1:49" x14ac:dyDescent="0.2">
      <c r="A12" s="71" t="s">
        <v>32</v>
      </c>
      <c r="B12" s="20">
        <v>179</v>
      </c>
      <c r="C12" s="20">
        <v>178</v>
      </c>
      <c r="D12" s="20">
        <v>17</v>
      </c>
      <c r="E12" s="280">
        <f t="shared" si="0"/>
        <v>12.230769230769232</v>
      </c>
      <c r="F12" s="51" t="s">
        <v>25</v>
      </c>
      <c r="G12" s="52" t="s">
        <v>25</v>
      </c>
      <c r="H12" s="52" t="s">
        <v>25</v>
      </c>
      <c r="I12" s="53" t="str">
        <f t="shared" si="44"/>
        <v>Yes</v>
      </c>
      <c r="J12" s="34">
        <f t="shared" si="2"/>
        <v>178</v>
      </c>
      <c r="K12" s="35">
        <v>0</v>
      </c>
      <c r="L12" s="35">
        <f t="shared" si="3"/>
        <v>17</v>
      </c>
      <c r="M12" s="45">
        <f t="shared" si="4"/>
        <v>12.230769230769232</v>
      </c>
      <c r="N12" s="34" t="str">
        <f t="shared" si="5"/>
        <v/>
      </c>
      <c r="O12" s="35" t="str">
        <f t="shared" si="45"/>
        <v/>
      </c>
      <c r="P12" s="35" t="str">
        <f t="shared" si="7"/>
        <v/>
      </c>
      <c r="Q12" s="45" t="str">
        <f t="shared" si="8"/>
        <v/>
      </c>
      <c r="R12" s="34" t="str">
        <f t="shared" si="35"/>
        <v/>
      </c>
      <c r="S12" s="35">
        <v>0</v>
      </c>
      <c r="T12" s="35" t="str">
        <f t="shared" si="36"/>
        <v/>
      </c>
      <c r="U12" s="45" t="str">
        <f t="shared" si="37"/>
        <v/>
      </c>
      <c r="V12" s="34" t="str">
        <f t="shared" si="12"/>
        <v/>
      </c>
      <c r="W12" s="35" t="str">
        <f t="shared" si="46"/>
        <v/>
      </c>
      <c r="X12" s="35" t="str">
        <f t="shared" si="14"/>
        <v/>
      </c>
      <c r="Y12" s="45" t="str">
        <f t="shared" si="15"/>
        <v/>
      </c>
      <c r="Z12" s="34" t="str">
        <f t="shared" si="38"/>
        <v/>
      </c>
      <c r="AA12" s="35">
        <v>0</v>
      </c>
      <c r="AB12" s="35" t="str">
        <f t="shared" si="39"/>
        <v/>
      </c>
      <c r="AC12" s="45" t="str">
        <f t="shared" si="40"/>
        <v/>
      </c>
      <c r="AD12" s="34" t="str">
        <f t="shared" si="19"/>
        <v/>
      </c>
      <c r="AE12" s="35" t="str">
        <f t="shared" si="47"/>
        <v/>
      </c>
      <c r="AF12" s="35" t="str">
        <f t="shared" si="21"/>
        <v/>
      </c>
      <c r="AG12" s="45" t="str">
        <f t="shared" si="22"/>
        <v/>
      </c>
      <c r="AH12" s="34" t="str">
        <f t="shared" si="41"/>
        <v/>
      </c>
      <c r="AI12" s="35">
        <v>0</v>
      </c>
      <c r="AJ12" s="35" t="str">
        <f t="shared" si="42"/>
        <v/>
      </c>
      <c r="AK12" s="45" t="str">
        <f t="shared" si="43"/>
        <v/>
      </c>
      <c r="AL12" s="34" t="str">
        <f t="shared" si="26"/>
        <v/>
      </c>
      <c r="AM12" s="35" t="str">
        <f t="shared" si="48"/>
        <v/>
      </c>
      <c r="AN12" s="35" t="str">
        <f t="shared" si="28"/>
        <v/>
      </c>
      <c r="AO12" s="45" t="str">
        <f t="shared" si="29"/>
        <v/>
      </c>
      <c r="AP12" s="34" t="str">
        <f t="shared" si="30"/>
        <v/>
      </c>
      <c r="AQ12" s="40" t="str">
        <f t="shared" si="49"/>
        <v/>
      </c>
      <c r="AR12" s="35" t="str">
        <f t="shared" si="32"/>
        <v/>
      </c>
      <c r="AS12" s="45" t="str">
        <f t="shared" si="33"/>
        <v/>
      </c>
      <c r="AT12" s="149">
        <v>91</v>
      </c>
      <c r="AU12" s="20">
        <v>21</v>
      </c>
      <c r="AV12" s="150">
        <v>53</v>
      </c>
      <c r="AW12" s="151">
        <f t="shared" si="34"/>
        <v>0.58241758241758246</v>
      </c>
    </row>
    <row r="13" spans="1:49" x14ac:dyDescent="0.2">
      <c r="A13" s="71" t="s">
        <v>33</v>
      </c>
      <c r="B13" s="20">
        <v>13129</v>
      </c>
      <c r="C13" s="20">
        <v>28905</v>
      </c>
      <c r="D13" s="20">
        <v>8756</v>
      </c>
      <c r="E13" s="280">
        <f t="shared" si="0"/>
        <v>3826</v>
      </c>
      <c r="F13" s="51" t="s">
        <v>25</v>
      </c>
      <c r="G13" s="52" t="s">
        <v>25</v>
      </c>
      <c r="H13" s="52" t="s">
        <v>25</v>
      </c>
      <c r="I13" s="53" t="str">
        <f t="shared" si="44"/>
        <v/>
      </c>
      <c r="J13" s="34" t="str">
        <f t="shared" si="2"/>
        <v/>
      </c>
      <c r="K13" s="35">
        <v>0</v>
      </c>
      <c r="L13" s="35" t="str">
        <f t="shared" si="3"/>
        <v/>
      </c>
      <c r="M13" s="45" t="str">
        <f t="shared" si="4"/>
        <v/>
      </c>
      <c r="N13" s="34">
        <f t="shared" si="5"/>
        <v>28905</v>
      </c>
      <c r="O13" s="35">
        <f t="shared" si="45"/>
        <v>15776</v>
      </c>
      <c r="P13" s="35">
        <f t="shared" si="7"/>
        <v>8756</v>
      </c>
      <c r="Q13" s="45">
        <f t="shared" si="8"/>
        <v>3826</v>
      </c>
      <c r="R13" s="34" t="str">
        <f t="shared" si="35"/>
        <v/>
      </c>
      <c r="S13" s="35">
        <v>0</v>
      </c>
      <c r="T13" s="35" t="str">
        <f t="shared" si="36"/>
        <v/>
      </c>
      <c r="U13" s="45" t="str">
        <f t="shared" si="37"/>
        <v/>
      </c>
      <c r="V13" s="34" t="str">
        <f t="shared" si="12"/>
        <v/>
      </c>
      <c r="W13" s="35" t="str">
        <f t="shared" si="46"/>
        <v/>
      </c>
      <c r="X13" s="35" t="str">
        <f t="shared" si="14"/>
        <v/>
      </c>
      <c r="Y13" s="45" t="str">
        <f t="shared" si="15"/>
        <v/>
      </c>
      <c r="Z13" s="34" t="str">
        <f t="shared" si="38"/>
        <v/>
      </c>
      <c r="AA13" s="35">
        <v>0</v>
      </c>
      <c r="AB13" s="35" t="str">
        <f t="shared" si="39"/>
        <v/>
      </c>
      <c r="AC13" s="45" t="str">
        <f t="shared" si="40"/>
        <v/>
      </c>
      <c r="AD13" s="34" t="str">
        <f t="shared" si="19"/>
        <v/>
      </c>
      <c r="AE13" s="35" t="str">
        <f t="shared" si="47"/>
        <v/>
      </c>
      <c r="AF13" s="35" t="str">
        <f t="shared" si="21"/>
        <v/>
      </c>
      <c r="AG13" s="45" t="str">
        <f t="shared" si="22"/>
        <v/>
      </c>
      <c r="AH13" s="34" t="str">
        <f t="shared" si="41"/>
        <v/>
      </c>
      <c r="AI13" s="35">
        <v>0</v>
      </c>
      <c r="AJ13" s="35" t="str">
        <f t="shared" si="42"/>
        <v/>
      </c>
      <c r="AK13" s="45" t="str">
        <f t="shared" si="43"/>
        <v/>
      </c>
      <c r="AL13" s="34" t="str">
        <f t="shared" si="26"/>
        <v/>
      </c>
      <c r="AM13" s="35" t="str">
        <f t="shared" si="48"/>
        <v/>
      </c>
      <c r="AN13" s="35" t="str">
        <f t="shared" si="28"/>
        <v/>
      </c>
      <c r="AO13" s="45" t="str">
        <f t="shared" si="29"/>
        <v/>
      </c>
      <c r="AP13" s="34" t="str">
        <f t="shared" si="30"/>
        <v/>
      </c>
      <c r="AQ13" s="40" t="str">
        <f t="shared" si="49"/>
        <v/>
      </c>
      <c r="AR13" s="35" t="str">
        <f t="shared" si="32"/>
        <v/>
      </c>
      <c r="AS13" s="45" t="str">
        <f t="shared" si="33"/>
        <v/>
      </c>
      <c r="AT13" s="149">
        <v>17451</v>
      </c>
      <c r="AU13" s="20">
        <v>3826</v>
      </c>
      <c r="AV13" s="150">
        <v>23424</v>
      </c>
      <c r="AW13" s="151">
        <f t="shared" si="34"/>
        <v>1.3422726491318548</v>
      </c>
    </row>
    <row r="14" spans="1:49" x14ac:dyDescent="0.2">
      <c r="A14" s="71" t="s">
        <v>34</v>
      </c>
      <c r="B14" s="20">
        <v>7850</v>
      </c>
      <c r="C14" s="20">
        <v>9448</v>
      </c>
      <c r="D14" s="20">
        <v>1779</v>
      </c>
      <c r="E14" s="280">
        <f t="shared" si="0"/>
        <v>820.11248527679629</v>
      </c>
      <c r="F14" s="51" t="s">
        <v>25</v>
      </c>
      <c r="G14" s="58" t="s">
        <v>25</v>
      </c>
      <c r="H14" s="58" t="s">
        <v>25</v>
      </c>
      <c r="I14" s="53" t="str">
        <f t="shared" si="44"/>
        <v>Yes</v>
      </c>
      <c r="J14" s="34">
        <f t="shared" si="2"/>
        <v>9448</v>
      </c>
      <c r="K14" s="35">
        <v>0</v>
      </c>
      <c r="L14" s="35">
        <f t="shared" si="3"/>
        <v>1779</v>
      </c>
      <c r="M14" s="45">
        <f t="shared" si="4"/>
        <v>820.11248527679629</v>
      </c>
      <c r="N14" s="34" t="str">
        <f t="shared" si="5"/>
        <v/>
      </c>
      <c r="O14" s="35" t="str">
        <f t="shared" si="45"/>
        <v/>
      </c>
      <c r="P14" s="35" t="str">
        <f t="shared" si="7"/>
        <v/>
      </c>
      <c r="Q14" s="45" t="str">
        <f t="shared" si="8"/>
        <v/>
      </c>
      <c r="R14" s="34" t="str">
        <f t="shared" si="35"/>
        <v/>
      </c>
      <c r="S14" s="35">
        <v>0</v>
      </c>
      <c r="T14" s="35" t="str">
        <f t="shared" si="36"/>
        <v/>
      </c>
      <c r="U14" s="45" t="str">
        <f t="shared" si="37"/>
        <v/>
      </c>
      <c r="V14" s="34" t="str">
        <f t="shared" si="12"/>
        <v/>
      </c>
      <c r="W14" s="35" t="str">
        <f t="shared" si="46"/>
        <v/>
      </c>
      <c r="X14" s="35" t="str">
        <f t="shared" si="14"/>
        <v/>
      </c>
      <c r="Y14" s="45" t="str">
        <f t="shared" si="15"/>
        <v/>
      </c>
      <c r="Z14" s="34" t="str">
        <f t="shared" si="38"/>
        <v/>
      </c>
      <c r="AA14" s="35">
        <v>0</v>
      </c>
      <c r="AB14" s="35" t="str">
        <f t="shared" si="39"/>
        <v/>
      </c>
      <c r="AC14" s="45" t="str">
        <f t="shared" si="40"/>
        <v/>
      </c>
      <c r="AD14" s="34" t="str">
        <f t="shared" si="19"/>
        <v/>
      </c>
      <c r="AE14" s="35" t="str">
        <f t="shared" si="47"/>
        <v/>
      </c>
      <c r="AF14" s="35" t="str">
        <f t="shared" si="21"/>
        <v/>
      </c>
      <c r="AG14" s="45" t="str">
        <f t="shared" si="22"/>
        <v/>
      </c>
      <c r="AH14" s="34" t="str">
        <f t="shared" si="41"/>
        <v/>
      </c>
      <c r="AI14" s="35">
        <v>0</v>
      </c>
      <c r="AJ14" s="35" t="str">
        <f t="shared" si="42"/>
        <v/>
      </c>
      <c r="AK14" s="45" t="str">
        <f t="shared" si="43"/>
        <v/>
      </c>
      <c r="AL14" s="34" t="str">
        <f t="shared" si="26"/>
        <v/>
      </c>
      <c r="AM14" s="35" t="str">
        <f t="shared" si="48"/>
        <v/>
      </c>
      <c r="AN14" s="35" t="str">
        <f t="shared" si="28"/>
        <v/>
      </c>
      <c r="AO14" s="45" t="str">
        <f t="shared" si="29"/>
        <v/>
      </c>
      <c r="AP14" s="34" t="str">
        <f t="shared" si="30"/>
        <v/>
      </c>
      <c r="AQ14" s="40" t="str">
        <f t="shared" si="49"/>
        <v/>
      </c>
      <c r="AR14" s="35" t="str">
        <f t="shared" si="32"/>
        <v/>
      </c>
      <c r="AS14" s="45" t="str">
        <f t="shared" si="33"/>
        <v/>
      </c>
      <c r="AT14" s="149">
        <v>5094</v>
      </c>
      <c r="AU14" s="20">
        <v>899</v>
      </c>
      <c r="AV14" s="150">
        <v>4647</v>
      </c>
      <c r="AW14" s="151">
        <f t="shared" si="34"/>
        <v>0.91224970553592466</v>
      </c>
    </row>
    <row r="15" spans="1:49" x14ac:dyDescent="0.2">
      <c r="A15" s="71" t="s">
        <v>35</v>
      </c>
      <c r="B15" s="20">
        <v>2250</v>
      </c>
      <c r="C15" s="20">
        <v>1941</v>
      </c>
      <c r="D15" s="20">
        <v>934</v>
      </c>
      <c r="E15" s="280">
        <f t="shared" si="0"/>
        <v>430</v>
      </c>
      <c r="F15" s="51" t="s">
        <v>25</v>
      </c>
      <c r="G15" s="52"/>
      <c r="H15" s="52"/>
      <c r="I15" s="53" t="str">
        <f t="shared" si="44"/>
        <v>Yes</v>
      </c>
      <c r="J15" s="34" t="str">
        <f t="shared" si="2"/>
        <v/>
      </c>
      <c r="K15" s="35">
        <v>0</v>
      </c>
      <c r="L15" s="35" t="str">
        <f t="shared" si="3"/>
        <v/>
      </c>
      <c r="M15" s="45" t="str">
        <f t="shared" si="4"/>
        <v/>
      </c>
      <c r="N15" s="34" t="str">
        <f t="shared" si="5"/>
        <v/>
      </c>
      <c r="O15" s="35" t="str">
        <f t="shared" si="45"/>
        <v/>
      </c>
      <c r="P15" s="35" t="str">
        <f t="shared" si="7"/>
        <v/>
      </c>
      <c r="Q15" s="45" t="str">
        <f t="shared" si="8"/>
        <v/>
      </c>
      <c r="R15" s="34" t="str">
        <f t="shared" si="35"/>
        <v/>
      </c>
      <c r="S15" s="35">
        <v>0</v>
      </c>
      <c r="T15" s="35" t="str">
        <f t="shared" si="36"/>
        <v/>
      </c>
      <c r="U15" s="45" t="str">
        <f t="shared" si="37"/>
        <v/>
      </c>
      <c r="V15" s="34" t="str">
        <f t="shared" si="12"/>
        <v/>
      </c>
      <c r="W15" s="35" t="str">
        <f t="shared" si="46"/>
        <v/>
      </c>
      <c r="X15" s="35" t="str">
        <f t="shared" si="14"/>
        <v/>
      </c>
      <c r="Y15" s="45" t="str">
        <f t="shared" si="15"/>
        <v/>
      </c>
      <c r="Z15" s="34" t="str">
        <f t="shared" si="38"/>
        <v/>
      </c>
      <c r="AA15" s="35">
        <v>0</v>
      </c>
      <c r="AB15" s="35" t="str">
        <f t="shared" si="39"/>
        <v/>
      </c>
      <c r="AC15" s="45" t="str">
        <f t="shared" si="40"/>
        <v/>
      </c>
      <c r="AD15" s="34" t="str">
        <f t="shared" si="19"/>
        <v/>
      </c>
      <c r="AE15" s="35" t="str">
        <f t="shared" si="47"/>
        <v/>
      </c>
      <c r="AF15" s="35" t="str">
        <f t="shared" si="21"/>
        <v/>
      </c>
      <c r="AG15" s="45" t="str">
        <f t="shared" si="22"/>
        <v/>
      </c>
      <c r="AH15" s="34">
        <f t="shared" si="41"/>
        <v>1941</v>
      </c>
      <c r="AI15" s="35">
        <v>0</v>
      </c>
      <c r="AJ15" s="35">
        <f t="shared" si="42"/>
        <v>934</v>
      </c>
      <c r="AK15" s="45">
        <f t="shared" si="43"/>
        <v>430</v>
      </c>
      <c r="AL15" s="34" t="str">
        <f t="shared" si="26"/>
        <v/>
      </c>
      <c r="AM15" s="35" t="str">
        <f t="shared" si="48"/>
        <v/>
      </c>
      <c r="AN15" s="35" t="str">
        <f t="shared" si="28"/>
        <v/>
      </c>
      <c r="AO15" s="45" t="str">
        <f t="shared" si="29"/>
        <v/>
      </c>
      <c r="AP15" s="34" t="str">
        <f t="shared" si="30"/>
        <v/>
      </c>
      <c r="AQ15" s="40" t="str">
        <f t="shared" si="49"/>
        <v/>
      </c>
      <c r="AR15" s="35" t="str">
        <f t="shared" si="32"/>
        <v/>
      </c>
      <c r="AS15" s="45" t="str">
        <f t="shared" si="33"/>
        <v/>
      </c>
      <c r="AT15" s="149">
        <v>1821</v>
      </c>
      <c r="AU15" s="20">
        <v>430</v>
      </c>
      <c r="AV15" s="150">
        <v>1872</v>
      </c>
      <c r="AW15" s="151">
        <f t="shared" si="34"/>
        <v>1.0280065897858319</v>
      </c>
    </row>
    <row r="16" spans="1:49" x14ac:dyDescent="0.2">
      <c r="A16" s="71" t="s">
        <v>36</v>
      </c>
      <c r="B16" s="20">
        <v>1800</v>
      </c>
      <c r="C16" s="20">
        <v>4466</v>
      </c>
      <c r="D16" s="20">
        <v>1202</v>
      </c>
      <c r="E16" s="280">
        <f t="shared" si="0"/>
        <v>751</v>
      </c>
      <c r="F16" s="51" t="s">
        <v>25</v>
      </c>
      <c r="G16" s="52" t="s">
        <v>25</v>
      </c>
      <c r="H16" s="52" t="s">
        <v>25</v>
      </c>
      <c r="I16" s="53" t="str">
        <f t="shared" si="44"/>
        <v/>
      </c>
      <c r="J16" s="34" t="str">
        <f t="shared" si="2"/>
        <v/>
      </c>
      <c r="K16" s="35">
        <v>0</v>
      </c>
      <c r="L16" s="35" t="str">
        <f t="shared" si="3"/>
        <v/>
      </c>
      <c r="M16" s="45" t="str">
        <f t="shared" si="4"/>
        <v/>
      </c>
      <c r="N16" s="34">
        <f t="shared" si="5"/>
        <v>4466</v>
      </c>
      <c r="O16" s="35">
        <f t="shared" si="45"/>
        <v>2666</v>
      </c>
      <c r="P16" s="35">
        <f t="shared" si="7"/>
        <v>1202</v>
      </c>
      <c r="Q16" s="45">
        <f t="shared" si="8"/>
        <v>751</v>
      </c>
      <c r="R16" s="34" t="str">
        <f t="shared" ref="R16:R54" si="50">IF(AND(F16="Yes",G16="Yes",H16="",I16="Yes"),C16,"")</f>
        <v/>
      </c>
      <c r="S16" s="35">
        <v>0</v>
      </c>
      <c r="T16" s="35" t="str">
        <f t="shared" ref="T16:T54" si="51">IF(R16="","",$D16)</f>
        <v/>
      </c>
      <c r="U16" s="45" t="str">
        <f t="shared" ref="U16:U54" si="52">IF(R16="","",$E16)</f>
        <v/>
      </c>
      <c r="V16" s="34" t="str">
        <f t="shared" si="12"/>
        <v/>
      </c>
      <c r="W16" s="35" t="str">
        <f t="shared" si="46"/>
        <v/>
      </c>
      <c r="X16" s="35" t="str">
        <f t="shared" si="14"/>
        <v/>
      </c>
      <c r="Y16" s="45" t="str">
        <f t="shared" si="15"/>
        <v/>
      </c>
      <c r="Z16" s="34" t="str">
        <f t="shared" si="38"/>
        <v/>
      </c>
      <c r="AA16" s="35">
        <v>0</v>
      </c>
      <c r="AB16" s="35" t="str">
        <f t="shared" si="39"/>
        <v/>
      </c>
      <c r="AC16" s="45" t="str">
        <f t="shared" si="40"/>
        <v/>
      </c>
      <c r="AD16" s="34" t="str">
        <f t="shared" si="19"/>
        <v/>
      </c>
      <c r="AE16" s="35" t="str">
        <f t="shared" si="47"/>
        <v/>
      </c>
      <c r="AF16" s="35" t="str">
        <f t="shared" si="21"/>
        <v/>
      </c>
      <c r="AG16" s="45" t="str">
        <f t="shared" si="22"/>
        <v/>
      </c>
      <c r="AH16" s="34" t="str">
        <f t="shared" si="41"/>
        <v/>
      </c>
      <c r="AI16" s="35">
        <v>0</v>
      </c>
      <c r="AJ16" s="35" t="str">
        <f t="shared" si="42"/>
        <v/>
      </c>
      <c r="AK16" s="45" t="str">
        <f t="shared" si="43"/>
        <v/>
      </c>
      <c r="AL16" s="34" t="str">
        <f t="shared" si="26"/>
        <v/>
      </c>
      <c r="AM16" s="35" t="str">
        <f t="shared" si="48"/>
        <v/>
      </c>
      <c r="AN16" s="35" t="str">
        <f t="shared" si="28"/>
        <v/>
      </c>
      <c r="AO16" s="45" t="str">
        <f t="shared" si="29"/>
        <v/>
      </c>
      <c r="AP16" s="34" t="str">
        <f t="shared" si="30"/>
        <v/>
      </c>
      <c r="AQ16" s="40" t="str">
        <f t="shared" si="49"/>
        <v/>
      </c>
      <c r="AR16" s="35" t="str">
        <f t="shared" si="32"/>
        <v/>
      </c>
      <c r="AS16" s="45" t="str">
        <f t="shared" si="33"/>
        <v/>
      </c>
      <c r="AT16" s="149">
        <v>3338</v>
      </c>
      <c r="AU16" s="20">
        <v>751</v>
      </c>
      <c r="AV16" s="150">
        <v>3362</v>
      </c>
      <c r="AW16" s="151">
        <f t="shared" si="34"/>
        <v>1.0071899340922708</v>
      </c>
    </row>
    <row r="17" spans="1:49" x14ac:dyDescent="0.2">
      <c r="A17" s="71" t="s">
        <v>37</v>
      </c>
      <c r="B17" s="20">
        <v>1877</v>
      </c>
      <c r="C17" s="20">
        <v>1885</v>
      </c>
      <c r="D17" s="20">
        <v>281</v>
      </c>
      <c r="E17" s="280">
        <f t="shared" si="0"/>
        <v>208.79966611018364</v>
      </c>
      <c r="F17" s="51" t="s">
        <v>25</v>
      </c>
      <c r="G17" s="52" t="s">
        <v>25</v>
      </c>
      <c r="H17" s="52" t="s">
        <v>25</v>
      </c>
      <c r="I17" s="53" t="str">
        <f t="shared" si="44"/>
        <v>Yes</v>
      </c>
      <c r="J17" s="34">
        <f t="shared" si="2"/>
        <v>1885</v>
      </c>
      <c r="K17" s="35">
        <v>0</v>
      </c>
      <c r="L17" s="35">
        <f t="shared" si="3"/>
        <v>281</v>
      </c>
      <c r="M17" s="45">
        <f t="shared" si="4"/>
        <v>208.79966611018364</v>
      </c>
      <c r="N17" s="34" t="str">
        <f t="shared" si="5"/>
        <v/>
      </c>
      <c r="O17" s="35" t="str">
        <f t="shared" si="45"/>
        <v/>
      </c>
      <c r="P17" s="35" t="str">
        <f t="shared" si="7"/>
        <v/>
      </c>
      <c r="Q17" s="45" t="str">
        <f t="shared" si="8"/>
        <v/>
      </c>
      <c r="R17" s="34" t="str">
        <f t="shared" si="50"/>
        <v/>
      </c>
      <c r="S17" s="35">
        <v>0</v>
      </c>
      <c r="T17" s="35" t="str">
        <f t="shared" si="51"/>
        <v/>
      </c>
      <c r="U17" s="45" t="str">
        <f t="shared" si="52"/>
        <v/>
      </c>
      <c r="V17" s="34" t="str">
        <f t="shared" si="12"/>
        <v/>
      </c>
      <c r="W17" s="35" t="str">
        <f t="shared" si="46"/>
        <v/>
      </c>
      <c r="X17" s="35" t="str">
        <f t="shared" si="14"/>
        <v/>
      </c>
      <c r="Y17" s="45" t="str">
        <f t="shared" si="15"/>
        <v/>
      </c>
      <c r="Z17" s="34" t="str">
        <f t="shared" si="38"/>
        <v/>
      </c>
      <c r="AA17" s="35">
        <v>0</v>
      </c>
      <c r="AB17" s="35" t="str">
        <f t="shared" si="39"/>
        <v/>
      </c>
      <c r="AC17" s="45" t="str">
        <f t="shared" si="40"/>
        <v/>
      </c>
      <c r="AD17" s="34" t="str">
        <f t="shared" si="19"/>
        <v/>
      </c>
      <c r="AE17" s="35" t="str">
        <f t="shared" si="47"/>
        <v/>
      </c>
      <c r="AF17" s="35" t="str">
        <f t="shared" si="21"/>
        <v/>
      </c>
      <c r="AG17" s="45" t="str">
        <f t="shared" si="22"/>
        <v/>
      </c>
      <c r="AH17" s="34" t="str">
        <f t="shared" si="41"/>
        <v/>
      </c>
      <c r="AI17" s="35">
        <v>0</v>
      </c>
      <c r="AJ17" s="35" t="str">
        <f t="shared" si="42"/>
        <v/>
      </c>
      <c r="AK17" s="45" t="str">
        <f t="shared" si="43"/>
        <v/>
      </c>
      <c r="AL17" s="34" t="str">
        <f t="shared" si="26"/>
        <v/>
      </c>
      <c r="AM17" s="35" t="str">
        <f t="shared" si="48"/>
        <v/>
      </c>
      <c r="AN17" s="35" t="str">
        <f t="shared" si="28"/>
        <v/>
      </c>
      <c r="AO17" s="45" t="str">
        <f t="shared" si="29"/>
        <v/>
      </c>
      <c r="AP17" s="34" t="str">
        <f t="shared" si="30"/>
        <v/>
      </c>
      <c r="AQ17" s="40" t="str">
        <f t="shared" si="49"/>
        <v/>
      </c>
      <c r="AR17" s="35" t="str">
        <f t="shared" si="32"/>
        <v/>
      </c>
      <c r="AS17" s="45" t="str">
        <f t="shared" si="33"/>
        <v/>
      </c>
      <c r="AT17" s="149">
        <v>1198</v>
      </c>
      <c r="AU17" s="20">
        <v>362</v>
      </c>
      <c r="AV17" s="150">
        <v>691</v>
      </c>
      <c r="AW17" s="151">
        <f t="shared" si="34"/>
        <v>0.57679465776293826</v>
      </c>
    </row>
    <row r="18" spans="1:49" x14ac:dyDescent="0.2">
      <c r="A18" s="71" t="s">
        <v>38</v>
      </c>
      <c r="B18" s="20">
        <v>1030</v>
      </c>
      <c r="C18" s="20">
        <v>1039</v>
      </c>
      <c r="D18" s="20">
        <v>165</v>
      </c>
      <c r="E18" s="280">
        <f t="shared" si="0"/>
        <v>209.19008264462809</v>
      </c>
      <c r="F18" s="51" t="s">
        <v>25</v>
      </c>
      <c r="G18" s="172" t="s">
        <v>25</v>
      </c>
      <c r="H18" s="172" t="s">
        <v>25</v>
      </c>
      <c r="I18" s="53" t="str">
        <f t="shared" si="44"/>
        <v>Yes</v>
      </c>
      <c r="J18" s="34">
        <f t="shared" si="2"/>
        <v>1039</v>
      </c>
      <c r="K18" s="35">
        <v>0</v>
      </c>
      <c r="L18" s="35">
        <f t="shared" si="3"/>
        <v>165</v>
      </c>
      <c r="M18" s="45">
        <f t="shared" si="4"/>
        <v>209.19008264462809</v>
      </c>
      <c r="N18" s="34" t="str">
        <f t="shared" si="5"/>
        <v/>
      </c>
      <c r="O18" s="35" t="str">
        <f t="shared" si="45"/>
        <v/>
      </c>
      <c r="P18" s="35" t="str">
        <f t="shared" si="7"/>
        <v/>
      </c>
      <c r="Q18" s="45" t="str">
        <f t="shared" si="8"/>
        <v/>
      </c>
      <c r="R18" s="34" t="str">
        <f t="shared" si="50"/>
        <v/>
      </c>
      <c r="S18" s="35">
        <v>0</v>
      </c>
      <c r="T18" s="35" t="str">
        <f t="shared" si="51"/>
        <v/>
      </c>
      <c r="U18" s="45" t="str">
        <f t="shared" si="52"/>
        <v/>
      </c>
      <c r="V18" s="34" t="str">
        <f t="shared" si="12"/>
        <v/>
      </c>
      <c r="W18" s="35" t="str">
        <f t="shared" si="46"/>
        <v/>
      </c>
      <c r="X18" s="35" t="str">
        <f t="shared" si="14"/>
        <v/>
      </c>
      <c r="Y18" s="45" t="str">
        <f t="shared" si="15"/>
        <v/>
      </c>
      <c r="Z18" s="34" t="str">
        <f t="shared" si="38"/>
        <v/>
      </c>
      <c r="AA18" s="35">
        <v>0</v>
      </c>
      <c r="AB18" s="35" t="str">
        <f t="shared" si="39"/>
        <v/>
      </c>
      <c r="AC18" s="45" t="str">
        <f t="shared" si="40"/>
        <v/>
      </c>
      <c r="AD18" s="34" t="str">
        <f t="shared" si="19"/>
        <v/>
      </c>
      <c r="AE18" s="35" t="str">
        <f t="shared" si="47"/>
        <v/>
      </c>
      <c r="AF18" s="35" t="str">
        <f t="shared" si="21"/>
        <v/>
      </c>
      <c r="AG18" s="45" t="str">
        <f t="shared" si="22"/>
        <v/>
      </c>
      <c r="AH18" s="34" t="str">
        <f t="shared" si="41"/>
        <v/>
      </c>
      <c r="AI18" s="35">
        <v>0</v>
      </c>
      <c r="AJ18" s="35" t="str">
        <f t="shared" si="42"/>
        <v/>
      </c>
      <c r="AK18" s="45" t="str">
        <f t="shared" si="43"/>
        <v/>
      </c>
      <c r="AL18" s="34" t="str">
        <f t="shared" si="26"/>
        <v/>
      </c>
      <c r="AM18" s="35" t="str">
        <f t="shared" si="48"/>
        <v/>
      </c>
      <c r="AN18" s="35" t="str">
        <f t="shared" si="28"/>
        <v/>
      </c>
      <c r="AO18" s="45" t="str">
        <f t="shared" si="29"/>
        <v/>
      </c>
      <c r="AP18" s="34" t="str">
        <f t="shared" si="30"/>
        <v/>
      </c>
      <c r="AQ18" s="40" t="str">
        <f t="shared" si="49"/>
        <v/>
      </c>
      <c r="AR18" s="35" t="str">
        <f t="shared" si="32"/>
        <v/>
      </c>
      <c r="AS18" s="45" t="str">
        <f t="shared" si="33"/>
        <v/>
      </c>
      <c r="AT18" s="149">
        <v>726</v>
      </c>
      <c r="AU18" s="20">
        <v>226</v>
      </c>
      <c r="AV18" s="150">
        <v>672</v>
      </c>
      <c r="AW18" s="151">
        <f t="shared" si="34"/>
        <v>0.92561983471074383</v>
      </c>
    </row>
    <row r="19" spans="1:49" x14ac:dyDescent="0.2">
      <c r="A19" s="71" t="s">
        <v>39</v>
      </c>
      <c r="B19" s="20">
        <v>1450</v>
      </c>
      <c r="C19" s="20">
        <v>1616</v>
      </c>
      <c r="D19" s="20">
        <v>743</v>
      </c>
      <c r="E19" s="280">
        <f t="shared" si="0"/>
        <v>369.24444444444447</v>
      </c>
      <c r="F19" s="51" t="s">
        <v>25</v>
      </c>
      <c r="G19" s="52"/>
      <c r="H19" s="52"/>
      <c r="I19" s="53" t="str">
        <f t="shared" si="44"/>
        <v>Yes</v>
      </c>
      <c r="J19" s="34" t="str">
        <f t="shared" si="2"/>
        <v/>
      </c>
      <c r="K19" s="35">
        <v>0</v>
      </c>
      <c r="L19" s="35" t="str">
        <f t="shared" si="3"/>
        <v/>
      </c>
      <c r="M19" s="45" t="str">
        <f t="shared" si="4"/>
        <v/>
      </c>
      <c r="N19" s="34" t="str">
        <f t="shared" si="5"/>
        <v/>
      </c>
      <c r="O19" s="35" t="str">
        <f t="shared" si="45"/>
        <v/>
      </c>
      <c r="P19" s="35" t="str">
        <f t="shared" si="7"/>
        <v/>
      </c>
      <c r="Q19" s="45" t="str">
        <f t="shared" si="8"/>
        <v/>
      </c>
      <c r="R19" s="34" t="str">
        <f t="shared" si="50"/>
        <v/>
      </c>
      <c r="S19" s="35">
        <v>0</v>
      </c>
      <c r="T19" s="35" t="str">
        <f t="shared" si="51"/>
        <v/>
      </c>
      <c r="U19" s="45" t="str">
        <f t="shared" si="52"/>
        <v/>
      </c>
      <c r="V19" s="34" t="str">
        <f t="shared" si="12"/>
        <v/>
      </c>
      <c r="W19" s="35" t="str">
        <f t="shared" si="46"/>
        <v/>
      </c>
      <c r="X19" s="35" t="str">
        <f t="shared" si="14"/>
        <v/>
      </c>
      <c r="Y19" s="45" t="str">
        <f t="shared" si="15"/>
        <v/>
      </c>
      <c r="Z19" s="34" t="str">
        <f t="shared" si="38"/>
        <v/>
      </c>
      <c r="AA19" s="35">
        <v>0</v>
      </c>
      <c r="AB19" s="35" t="str">
        <f t="shared" si="39"/>
        <v/>
      </c>
      <c r="AC19" s="45" t="str">
        <f t="shared" si="40"/>
        <v/>
      </c>
      <c r="AD19" s="34" t="str">
        <f t="shared" si="19"/>
        <v/>
      </c>
      <c r="AE19" s="35" t="str">
        <f t="shared" si="47"/>
        <v/>
      </c>
      <c r="AF19" s="35" t="str">
        <f t="shared" si="21"/>
        <v/>
      </c>
      <c r="AG19" s="45" t="str">
        <f t="shared" si="22"/>
        <v/>
      </c>
      <c r="AH19" s="34">
        <f t="shared" si="41"/>
        <v>1616</v>
      </c>
      <c r="AI19" s="35">
        <v>0</v>
      </c>
      <c r="AJ19" s="35">
        <f t="shared" si="42"/>
        <v>743</v>
      </c>
      <c r="AK19" s="45">
        <f t="shared" si="43"/>
        <v>369.24444444444447</v>
      </c>
      <c r="AL19" s="34" t="str">
        <f t="shared" si="26"/>
        <v/>
      </c>
      <c r="AM19" s="35" t="str">
        <f t="shared" si="48"/>
        <v/>
      </c>
      <c r="AN19" s="35" t="str">
        <f t="shared" si="28"/>
        <v/>
      </c>
      <c r="AO19" s="45" t="str">
        <f t="shared" si="29"/>
        <v/>
      </c>
      <c r="AP19" s="34" t="str">
        <f t="shared" si="30"/>
        <v/>
      </c>
      <c r="AQ19" s="40" t="str">
        <f t="shared" si="49"/>
        <v/>
      </c>
      <c r="AR19" s="35" t="str">
        <f t="shared" si="32"/>
        <v/>
      </c>
      <c r="AS19" s="45" t="str">
        <f t="shared" si="33"/>
        <v/>
      </c>
      <c r="AT19" s="149">
        <v>1485</v>
      </c>
      <c r="AU19" s="20">
        <v>372</v>
      </c>
      <c r="AV19" s="150">
        <v>1474</v>
      </c>
      <c r="AW19" s="151">
        <f t="shared" si="34"/>
        <v>0.99259259259259258</v>
      </c>
    </row>
    <row r="20" spans="1:49" x14ac:dyDescent="0.2">
      <c r="A20" s="71" t="s">
        <v>40</v>
      </c>
      <c r="B20" s="20">
        <v>2112</v>
      </c>
      <c r="C20" s="20">
        <v>7261</v>
      </c>
      <c r="D20" s="20">
        <v>2605</v>
      </c>
      <c r="E20" s="280">
        <f t="shared" si="0"/>
        <v>940</v>
      </c>
      <c r="F20" s="51" t="s">
        <v>25</v>
      </c>
      <c r="G20" s="173"/>
      <c r="H20" s="52" t="s">
        <v>25</v>
      </c>
      <c r="I20" s="53" t="str">
        <f t="shared" si="44"/>
        <v/>
      </c>
      <c r="J20" s="34" t="str">
        <f t="shared" si="2"/>
        <v/>
      </c>
      <c r="K20" s="35">
        <v>0</v>
      </c>
      <c r="L20" s="35" t="str">
        <f t="shared" si="3"/>
        <v/>
      </c>
      <c r="M20" s="45" t="str">
        <f t="shared" si="4"/>
        <v/>
      </c>
      <c r="N20" s="34" t="str">
        <f t="shared" si="5"/>
        <v/>
      </c>
      <c r="O20" s="35" t="str">
        <f t="shared" si="45"/>
        <v/>
      </c>
      <c r="P20" s="35" t="str">
        <f t="shared" si="7"/>
        <v/>
      </c>
      <c r="Q20" s="45" t="str">
        <f t="shared" si="8"/>
        <v/>
      </c>
      <c r="R20" s="34" t="str">
        <f t="shared" si="50"/>
        <v/>
      </c>
      <c r="S20" s="35">
        <v>0</v>
      </c>
      <c r="T20" s="35" t="str">
        <f t="shared" si="51"/>
        <v/>
      </c>
      <c r="U20" s="45" t="str">
        <f t="shared" si="52"/>
        <v/>
      </c>
      <c r="V20" s="34" t="str">
        <f t="shared" si="12"/>
        <v/>
      </c>
      <c r="W20" s="35" t="str">
        <f t="shared" si="46"/>
        <v/>
      </c>
      <c r="X20" s="35" t="str">
        <f t="shared" si="14"/>
        <v/>
      </c>
      <c r="Y20" s="45" t="str">
        <f t="shared" si="15"/>
        <v/>
      </c>
      <c r="Z20" s="34" t="str">
        <f t="shared" si="38"/>
        <v/>
      </c>
      <c r="AA20" s="35">
        <v>0</v>
      </c>
      <c r="AB20" s="35" t="str">
        <f t="shared" si="39"/>
        <v/>
      </c>
      <c r="AC20" s="45" t="str">
        <f t="shared" si="40"/>
        <v/>
      </c>
      <c r="AD20" s="34">
        <f t="shared" si="19"/>
        <v>7261</v>
      </c>
      <c r="AE20" s="35">
        <f t="shared" si="47"/>
        <v>5149</v>
      </c>
      <c r="AF20" s="35">
        <f t="shared" si="21"/>
        <v>2605</v>
      </c>
      <c r="AG20" s="45">
        <f t="shared" si="22"/>
        <v>940</v>
      </c>
      <c r="AH20" s="34" t="str">
        <f t="shared" si="41"/>
        <v/>
      </c>
      <c r="AI20" s="35">
        <v>0</v>
      </c>
      <c r="AJ20" s="35" t="str">
        <f t="shared" si="42"/>
        <v/>
      </c>
      <c r="AK20" s="45" t="str">
        <f t="shared" si="43"/>
        <v/>
      </c>
      <c r="AL20" s="34" t="str">
        <f t="shared" si="26"/>
        <v/>
      </c>
      <c r="AM20" s="35" t="str">
        <f t="shared" si="48"/>
        <v/>
      </c>
      <c r="AN20" s="35" t="str">
        <f t="shared" si="28"/>
        <v/>
      </c>
      <c r="AO20" s="45" t="str">
        <f t="shared" si="29"/>
        <v/>
      </c>
      <c r="AP20" s="34" t="str">
        <f t="shared" si="30"/>
        <v/>
      </c>
      <c r="AQ20" s="40" t="str">
        <f t="shared" si="49"/>
        <v/>
      </c>
      <c r="AR20" s="35" t="str">
        <f t="shared" si="32"/>
        <v/>
      </c>
      <c r="AS20" s="45" t="str">
        <f t="shared" si="33"/>
        <v/>
      </c>
      <c r="AT20" s="149">
        <v>4140</v>
      </c>
      <c r="AU20" s="20">
        <v>940</v>
      </c>
      <c r="AV20" s="150">
        <v>4160</v>
      </c>
      <c r="AW20" s="151">
        <f t="shared" si="34"/>
        <v>1.0048309178743962</v>
      </c>
    </row>
    <row r="21" spans="1:49" x14ac:dyDescent="0.2">
      <c r="A21" s="71" t="s">
        <v>41</v>
      </c>
      <c r="B21" s="20">
        <v>4470</v>
      </c>
      <c r="C21" s="20">
        <v>4305</v>
      </c>
      <c r="D21" s="20">
        <v>526</v>
      </c>
      <c r="E21" s="280">
        <f t="shared" si="0"/>
        <v>228.02291169451075</v>
      </c>
      <c r="F21" s="51" t="s">
        <v>25</v>
      </c>
      <c r="G21" s="52" t="s">
        <v>25</v>
      </c>
      <c r="H21" s="52" t="s">
        <v>25</v>
      </c>
      <c r="I21" s="53" t="str">
        <f t="shared" si="44"/>
        <v>Yes</v>
      </c>
      <c r="J21" s="34">
        <f t="shared" si="2"/>
        <v>4305</v>
      </c>
      <c r="K21" s="35">
        <v>0</v>
      </c>
      <c r="L21" s="35">
        <f t="shared" si="3"/>
        <v>526</v>
      </c>
      <c r="M21" s="45">
        <f t="shared" si="4"/>
        <v>228.02291169451075</v>
      </c>
      <c r="N21" s="34" t="str">
        <f t="shared" si="5"/>
        <v/>
      </c>
      <c r="O21" s="35" t="str">
        <f t="shared" si="45"/>
        <v/>
      </c>
      <c r="P21" s="35" t="str">
        <f t="shared" ref="P21:P55" si="53">IF(N21="","",$D21)</f>
        <v/>
      </c>
      <c r="Q21" s="45" t="str">
        <f t="shared" ref="Q21:Q55" si="54">IF(N21="","",$E21)</f>
        <v/>
      </c>
      <c r="R21" s="34" t="str">
        <f t="shared" si="50"/>
        <v/>
      </c>
      <c r="S21" s="35">
        <v>0</v>
      </c>
      <c r="T21" s="35" t="str">
        <f t="shared" si="51"/>
        <v/>
      </c>
      <c r="U21" s="45" t="str">
        <f t="shared" si="52"/>
        <v/>
      </c>
      <c r="V21" s="34" t="str">
        <f t="shared" si="12"/>
        <v/>
      </c>
      <c r="W21" s="35" t="str">
        <f t="shared" si="46"/>
        <v/>
      </c>
      <c r="X21" s="35" t="str">
        <f t="shared" si="14"/>
        <v/>
      </c>
      <c r="Y21" s="45" t="str">
        <f t="shared" si="15"/>
        <v/>
      </c>
      <c r="Z21" s="34" t="str">
        <f t="shared" si="38"/>
        <v/>
      </c>
      <c r="AA21" s="35">
        <v>0</v>
      </c>
      <c r="AB21" s="35" t="str">
        <f t="shared" si="39"/>
        <v/>
      </c>
      <c r="AC21" s="45" t="str">
        <f t="shared" si="40"/>
        <v/>
      </c>
      <c r="AD21" s="34" t="str">
        <f t="shared" si="19"/>
        <v/>
      </c>
      <c r="AE21" s="35" t="str">
        <f t="shared" si="47"/>
        <v/>
      </c>
      <c r="AF21" s="35" t="str">
        <f t="shared" si="21"/>
        <v/>
      </c>
      <c r="AG21" s="45" t="str">
        <f t="shared" si="22"/>
        <v/>
      </c>
      <c r="AH21" s="34" t="str">
        <f t="shared" si="41"/>
        <v/>
      </c>
      <c r="AI21" s="35">
        <v>0</v>
      </c>
      <c r="AJ21" s="35" t="str">
        <f t="shared" si="42"/>
        <v/>
      </c>
      <c r="AK21" s="45" t="str">
        <f t="shared" si="43"/>
        <v/>
      </c>
      <c r="AL21" s="34" t="str">
        <f t="shared" si="26"/>
        <v/>
      </c>
      <c r="AM21" s="35" t="str">
        <f t="shared" si="48"/>
        <v/>
      </c>
      <c r="AN21" s="35" t="str">
        <f t="shared" si="28"/>
        <v/>
      </c>
      <c r="AO21" s="45" t="str">
        <f t="shared" si="29"/>
        <v/>
      </c>
      <c r="AP21" s="34" t="str">
        <f t="shared" si="30"/>
        <v/>
      </c>
      <c r="AQ21" s="40" t="str">
        <f t="shared" si="49"/>
        <v/>
      </c>
      <c r="AR21" s="35" t="str">
        <f t="shared" si="32"/>
        <v/>
      </c>
      <c r="AS21" s="45" t="str">
        <f t="shared" si="33"/>
        <v/>
      </c>
      <c r="AT21" s="149">
        <v>2095</v>
      </c>
      <c r="AU21" s="20">
        <v>308</v>
      </c>
      <c r="AV21" s="150">
        <v>1551</v>
      </c>
      <c r="AW21" s="151">
        <f t="shared" si="34"/>
        <v>0.74033412887828165</v>
      </c>
    </row>
    <row r="22" spans="1:49" x14ac:dyDescent="0.2">
      <c r="A22" s="71" t="s">
        <v>42</v>
      </c>
      <c r="B22" s="20">
        <v>3176</v>
      </c>
      <c r="C22" s="20">
        <v>3236</v>
      </c>
      <c r="D22" s="20">
        <v>938</v>
      </c>
      <c r="E22" s="280">
        <f t="shared" si="0"/>
        <v>497.46054181389871</v>
      </c>
      <c r="F22" s="51" t="s">
        <v>25</v>
      </c>
      <c r="G22" s="52" t="s">
        <v>25</v>
      </c>
      <c r="H22" s="52" t="s">
        <v>25</v>
      </c>
      <c r="I22" s="53" t="str">
        <f t="shared" si="44"/>
        <v>Yes</v>
      </c>
      <c r="J22" s="34">
        <f t="shared" si="2"/>
        <v>3236</v>
      </c>
      <c r="K22" s="35">
        <v>0</v>
      </c>
      <c r="L22" s="35">
        <f t="shared" si="3"/>
        <v>938</v>
      </c>
      <c r="M22" s="45">
        <f t="shared" si="4"/>
        <v>497.46054181389871</v>
      </c>
      <c r="N22" s="34" t="str">
        <f t="shared" si="5"/>
        <v/>
      </c>
      <c r="O22" s="35" t="str">
        <f t="shared" si="45"/>
        <v/>
      </c>
      <c r="P22" s="35" t="str">
        <f t="shared" si="53"/>
        <v/>
      </c>
      <c r="Q22" s="45" t="str">
        <f t="shared" si="54"/>
        <v/>
      </c>
      <c r="R22" s="34" t="str">
        <f t="shared" si="50"/>
        <v/>
      </c>
      <c r="S22" s="35">
        <v>0</v>
      </c>
      <c r="T22" s="35" t="str">
        <f t="shared" si="51"/>
        <v/>
      </c>
      <c r="U22" s="45" t="str">
        <f t="shared" si="52"/>
        <v/>
      </c>
      <c r="V22" s="34" t="str">
        <f t="shared" si="12"/>
        <v/>
      </c>
      <c r="W22" s="35" t="str">
        <f t="shared" si="46"/>
        <v/>
      </c>
      <c r="X22" s="35" t="str">
        <f t="shared" si="14"/>
        <v/>
      </c>
      <c r="Y22" s="45" t="str">
        <f t="shared" si="15"/>
        <v/>
      </c>
      <c r="Z22" s="34" t="str">
        <f t="shared" si="38"/>
        <v/>
      </c>
      <c r="AA22" s="35">
        <v>0</v>
      </c>
      <c r="AB22" s="35" t="str">
        <f t="shared" si="39"/>
        <v/>
      </c>
      <c r="AC22" s="45" t="str">
        <f t="shared" si="40"/>
        <v/>
      </c>
      <c r="AD22" s="34" t="str">
        <f t="shared" si="19"/>
        <v/>
      </c>
      <c r="AE22" s="35" t="str">
        <f t="shared" si="47"/>
        <v/>
      </c>
      <c r="AF22" s="35" t="str">
        <f t="shared" si="21"/>
        <v/>
      </c>
      <c r="AG22" s="45" t="str">
        <f t="shared" si="22"/>
        <v/>
      </c>
      <c r="AH22" s="34" t="str">
        <f t="shared" si="41"/>
        <v/>
      </c>
      <c r="AI22" s="35">
        <v>0</v>
      </c>
      <c r="AJ22" s="35" t="str">
        <f t="shared" si="42"/>
        <v/>
      </c>
      <c r="AK22" s="45" t="str">
        <f t="shared" si="43"/>
        <v/>
      </c>
      <c r="AL22" s="34" t="str">
        <f t="shared" si="26"/>
        <v/>
      </c>
      <c r="AM22" s="35" t="str">
        <f t="shared" si="48"/>
        <v/>
      </c>
      <c r="AN22" s="35" t="str">
        <f t="shared" si="28"/>
        <v/>
      </c>
      <c r="AO22" s="45" t="str">
        <f t="shared" si="29"/>
        <v/>
      </c>
      <c r="AP22" s="34" t="str">
        <f t="shared" si="30"/>
        <v/>
      </c>
      <c r="AQ22" s="40" t="str">
        <f t="shared" si="49"/>
        <v/>
      </c>
      <c r="AR22" s="35" t="str">
        <f t="shared" si="32"/>
        <v/>
      </c>
      <c r="AS22" s="45" t="str">
        <f t="shared" si="33"/>
        <v/>
      </c>
      <c r="AT22" s="149">
        <v>2547</v>
      </c>
      <c r="AU22" s="20">
        <v>524</v>
      </c>
      <c r="AV22" s="150">
        <v>2418</v>
      </c>
      <c r="AW22" s="151">
        <f t="shared" si="34"/>
        <v>0.94935217903415781</v>
      </c>
    </row>
    <row r="23" spans="1:49" x14ac:dyDescent="0.2">
      <c r="A23" s="71" t="s">
        <v>43</v>
      </c>
      <c r="B23" s="20">
        <v>414</v>
      </c>
      <c r="C23" s="20">
        <v>388</v>
      </c>
      <c r="D23" s="20">
        <v>26</v>
      </c>
      <c r="E23" s="280">
        <f t="shared" si="0"/>
        <v>34.153333333333336</v>
      </c>
      <c r="F23" s="51" t="s">
        <v>25</v>
      </c>
      <c r="G23" s="52" t="s">
        <v>25</v>
      </c>
      <c r="H23" s="52" t="s">
        <v>25</v>
      </c>
      <c r="I23" s="53" t="str">
        <f t="shared" si="44"/>
        <v>Yes</v>
      </c>
      <c r="J23" s="34">
        <f t="shared" si="2"/>
        <v>388</v>
      </c>
      <c r="K23" s="35">
        <v>0</v>
      </c>
      <c r="L23" s="35">
        <f t="shared" si="3"/>
        <v>26</v>
      </c>
      <c r="M23" s="45">
        <f t="shared" si="4"/>
        <v>34.153333333333336</v>
      </c>
      <c r="N23" s="34" t="str">
        <f t="shared" si="5"/>
        <v/>
      </c>
      <c r="O23" s="35" t="str">
        <f t="shared" si="45"/>
        <v/>
      </c>
      <c r="P23" s="35" t="str">
        <f t="shared" si="53"/>
        <v/>
      </c>
      <c r="Q23" s="45" t="str">
        <f t="shared" si="54"/>
        <v/>
      </c>
      <c r="R23" s="34" t="str">
        <f t="shared" si="50"/>
        <v/>
      </c>
      <c r="S23" s="35">
        <v>0</v>
      </c>
      <c r="T23" s="35" t="str">
        <f t="shared" si="51"/>
        <v/>
      </c>
      <c r="U23" s="45" t="str">
        <f t="shared" si="52"/>
        <v/>
      </c>
      <c r="V23" s="34" t="str">
        <f t="shared" si="12"/>
        <v/>
      </c>
      <c r="W23" s="35" t="str">
        <f t="shared" si="46"/>
        <v/>
      </c>
      <c r="X23" s="35" t="str">
        <f t="shared" si="14"/>
        <v/>
      </c>
      <c r="Y23" s="45" t="str">
        <f t="shared" si="15"/>
        <v/>
      </c>
      <c r="Z23" s="34" t="str">
        <f t="shared" si="38"/>
        <v/>
      </c>
      <c r="AA23" s="35">
        <v>0</v>
      </c>
      <c r="AB23" s="35" t="str">
        <f t="shared" si="39"/>
        <v/>
      </c>
      <c r="AC23" s="45" t="str">
        <f t="shared" si="40"/>
        <v/>
      </c>
      <c r="AD23" s="34" t="str">
        <f t="shared" si="19"/>
        <v/>
      </c>
      <c r="AE23" s="35" t="str">
        <f t="shared" si="47"/>
        <v/>
      </c>
      <c r="AF23" s="35" t="str">
        <f t="shared" si="21"/>
        <v/>
      </c>
      <c r="AG23" s="45" t="str">
        <f t="shared" si="22"/>
        <v/>
      </c>
      <c r="AH23" s="34" t="str">
        <f t="shared" si="41"/>
        <v/>
      </c>
      <c r="AI23" s="35">
        <v>0</v>
      </c>
      <c r="AJ23" s="35" t="str">
        <f t="shared" si="42"/>
        <v/>
      </c>
      <c r="AK23" s="45" t="str">
        <f t="shared" si="43"/>
        <v/>
      </c>
      <c r="AL23" s="34" t="str">
        <f t="shared" si="26"/>
        <v/>
      </c>
      <c r="AM23" s="35" t="str">
        <f t="shared" si="48"/>
        <v/>
      </c>
      <c r="AN23" s="35" t="str">
        <f t="shared" si="28"/>
        <v/>
      </c>
      <c r="AO23" s="45" t="str">
        <f t="shared" si="29"/>
        <v/>
      </c>
      <c r="AP23" s="34" t="str">
        <f t="shared" si="30"/>
        <v/>
      </c>
      <c r="AQ23" s="40" t="str">
        <f t="shared" si="49"/>
        <v/>
      </c>
      <c r="AR23" s="35" t="str">
        <f t="shared" si="32"/>
        <v/>
      </c>
      <c r="AS23" s="45" t="str">
        <f t="shared" si="33"/>
        <v/>
      </c>
      <c r="AT23" s="149">
        <v>300</v>
      </c>
      <c r="AU23" s="20">
        <v>109</v>
      </c>
      <c r="AV23" s="150">
        <v>94</v>
      </c>
      <c r="AW23" s="151">
        <f t="shared" si="34"/>
        <v>0.31333333333333335</v>
      </c>
    </row>
    <row r="24" spans="1:49" x14ac:dyDescent="0.2">
      <c r="A24" s="71" t="s">
        <v>44</v>
      </c>
      <c r="B24" s="20">
        <v>468</v>
      </c>
      <c r="C24" s="20">
        <v>456</v>
      </c>
      <c r="D24" s="20">
        <v>19</v>
      </c>
      <c r="E24" s="280">
        <f t="shared" si="0"/>
        <v>24.818181818181817</v>
      </c>
      <c r="F24" s="51" t="s">
        <v>25</v>
      </c>
      <c r="G24" s="52"/>
      <c r="H24" s="52" t="s">
        <v>25</v>
      </c>
      <c r="I24" s="53" t="str">
        <f t="shared" si="44"/>
        <v>Yes</v>
      </c>
      <c r="J24" s="34" t="str">
        <f t="shared" si="2"/>
        <v/>
      </c>
      <c r="K24" s="35">
        <v>0</v>
      </c>
      <c r="L24" s="35" t="str">
        <f t="shared" si="3"/>
        <v/>
      </c>
      <c r="M24" s="45" t="str">
        <f t="shared" si="4"/>
        <v/>
      </c>
      <c r="N24" s="34" t="str">
        <f t="shared" si="5"/>
        <v/>
      </c>
      <c r="O24" s="35" t="str">
        <f t="shared" si="45"/>
        <v/>
      </c>
      <c r="P24" s="35" t="str">
        <f t="shared" si="53"/>
        <v/>
      </c>
      <c r="Q24" s="45" t="str">
        <f t="shared" si="54"/>
        <v/>
      </c>
      <c r="R24" s="34" t="str">
        <f t="shared" si="50"/>
        <v/>
      </c>
      <c r="S24" s="35">
        <v>0</v>
      </c>
      <c r="T24" s="35" t="str">
        <f t="shared" si="51"/>
        <v/>
      </c>
      <c r="U24" s="45" t="str">
        <f t="shared" si="52"/>
        <v/>
      </c>
      <c r="V24" s="34" t="str">
        <f t="shared" si="12"/>
        <v/>
      </c>
      <c r="W24" s="35" t="str">
        <f t="shared" si="46"/>
        <v/>
      </c>
      <c r="X24" s="35" t="str">
        <f t="shared" si="14"/>
        <v/>
      </c>
      <c r="Y24" s="45" t="str">
        <f t="shared" si="15"/>
        <v/>
      </c>
      <c r="Z24" s="34">
        <f t="shared" si="38"/>
        <v>456</v>
      </c>
      <c r="AA24" s="35">
        <v>0</v>
      </c>
      <c r="AB24" s="35">
        <f t="shared" si="39"/>
        <v>19</v>
      </c>
      <c r="AC24" s="45">
        <f t="shared" si="40"/>
        <v>24.818181818181817</v>
      </c>
      <c r="AD24" s="34" t="str">
        <f t="shared" si="19"/>
        <v/>
      </c>
      <c r="AE24" s="35" t="str">
        <f t="shared" si="47"/>
        <v/>
      </c>
      <c r="AF24" s="35" t="str">
        <f t="shared" si="21"/>
        <v/>
      </c>
      <c r="AG24" s="45" t="str">
        <f t="shared" si="22"/>
        <v/>
      </c>
      <c r="AH24" s="34" t="str">
        <f t="shared" si="41"/>
        <v/>
      </c>
      <c r="AI24" s="35">
        <v>0</v>
      </c>
      <c r="AJ24" s="35" t="str">
        <f t="shared" si="42"/>
        <v/>
      </c>
      <c r="AK24" s="45" t="str">
        <f t="shared" si="43"/>
        <v/>
      </c>
      <c r="AL24" s="34" t="str">
        <f t="shared" si="26"/>
        <v/>
      </c>
      <c r="AM24" s="35" t="str">
        <f t="shared" si="48"/>
        <v/>
      </c>
      <c r="AN24" s="35" t="str">
        <f t="shared" si="28"/>
        <v/>
      </c>
      <c r="AO24" s="45" t="str">
        <f t="shared" si="29"/>
        <v/>
      </c>
      <c r="AP24" s="34" t="str">
        <f t="shared" si="30"/>
        <v/>
      </c>
      <c r="AQ24" s="40" t="str">
        <f t="shared" si="49"/>
        <v/>
      </c>
      <c r="AR24" s="35" t="str">
        <f t="shared" si="32"/>
        <v/>
      </c>
      <c r="AS24" s="45" t="str">
        <f t="shared" si="33"/>
        <v/>
      </c>
      <c r="AT24" s="149">
        <v>176</v>
      </c>
      <c r="AU24" s="20">
        <v>28</v>
      </c>
      <c r="AV24" s="150">
        <v>156</v>
      </c>
      <c r="AW24" s="151">
        <f t="shared" si="34"/>
        <v>0.88636363636363635</v>
      </c>
    </row>
    <row r="25" spans="1:49" x14ac:dyDescent="0.2">
      <c r="A25" s="71" t="s">
        <v>45</v>
      </c>
      <c r="B25" s="20">
        <v>452</v>
      </c>
      <c r="C25" s="20">
        <v>437</v>
      </c>
      <c r="D25" s="20">
        <v>39</v>
      </c>
      <c r="E25" s="280">
        <f t="shared" si="0"/>
        <v>15</v>
      </c>
      <c r="F25" s="51" t="s">
        <v>25</v>
      </c>
      <c r="G25" s="52" t="s">
        <v>25</v>
      </c>
      <c r="H25" s="52" t="s">
        <v>25</v>
      </c>
      <c r="I25" s="53" t="str">
        <f t="shared" si="44"/>
        <v>Yes</v>
      </c>
      <c r="J25" s="34">
        <f t="shared" si="2"/>
        <v>437</v>
      </c>
      <c r="K25" s="35">
        <v>0</v>
      </c>
      <c r="L25" s="35">
        <f t="shared" si="3"/>
        <v>39</v>
      </c>
      <c r="M25" s="45">
        <f t="shared" si="4"/>
        <v>15</v>
      </c>
      <c r="N25" s="34" t="str">
        <f t="shared" si="5"/>
        <v/>
      </c>
      <c r="O25" s="35" t="str">
        <f t="shared" si="45"/>
        <v/>
      </c>
      <c r="P25" s="35" t="str">
        <f t="shared" si="53"/>
        <v/>
      </c>
      <c r="Q25" s="45" t="str">
        <f t="shared" si="54"/>
        <v/>
      </c>
      <c r="R25" s="34" t="str">
        <f t="shared" si="50"/>
        <v/>
      </c>
      <c r="S25" s="35">
        <v>0</v>
      </c>
      <c r="T25" s="35" t="str">
        <f t="shared" si="51"/>
        <v/>
      </c>
      <c r="U25" s="45" t="str">
        <f t="shared" si="52"/>
        <v/>
      </c>
      <c r="V25" s="34" t="str">
        <f t="shared" si="12"/>
        <v/>
      </c>
      <c r="W25" s="35" t="str">
        <f t="shared" si="46"/>
        <v/>
      </c>
      <c r="X25" s="35" t="str">
        <f t="shared" si="14"/>
        <v/>
      </c>
      <c r="Y25" s="45" t="str">
        <f t="shared" si="15"/>
        <v/>
      </c>
      <c r="Z25" s="34" t="str">
        <f t="shared" si="38"/>
        <v/>
      </c>
      <c r="AA25" s="35">
        <v>0</v>
      </c>
      <c r="AB25" s="35" t="str">
        <f t="shared" si="39"/>
        <v/>
      </c>
      <c r="AC25" s="45" t="str">
        <f t="shared" si="40"/>
        <v/>
      </c>
      <c r="AD25" s="34" t="str">
        <f t="shared" si="19"/>
        <v/>
      </c>
      <c r="AE25" s="35" t="str">
        <f t="shared" si="47"/>
        <v/>
      </c>
      <c r="AF25" s="35" t="str">
        <f t="shared" si="21"/>
        <v/>
      </c>
      <c r="AG25" s="45" t="str">
        <f t="shared" si="22"/>
        <v/>
      </c>
      <c r="AH25" s="34" t="str">
        <f t="shared" si="41"/>
        <v/>
      </c>
      <c r="AI25" s="35">
        <v>0</v>
      </c>
      <c r="AJ25" s="35" t="str">
        <f t="shared" si="42"/>
        <v/>
      </c>
      <c r="AK25" s="45" t="str">
        <f t="shared" si="43"/>
        <v/>
      </c>
      <c r="AL25" s="34" t="str">
        <f t="shared" si="26"/>
        <v/>
      </c>
      <c r="AM25" s="35" t="str">
        <f t="shared" si="48"/>
        <v/>
      </c>
      <c r="AN25" s="35" t="str">
        <f t="shared" si="28"/>
        <v/>
      </c>
      <c r="AO25" s="45" t="str">
        <f t="shared" si="29"/>
        <v/>
      </c>
      <c r="AP25" s="34" t="str">
        <f t="shared" si="30"/>
        <v/>
      </c>
      <c r="AQ25" s="40" t="str">
        <f t="shared" si="49"/>
        <v/>
      </c>
      <c r="AR25" s="35" t="str">
        <f t="shared" si="32"/>
        <v/>
      </c>
      <c r="AS25" s="45" t="str">
        <f t="shared" si="33"/>
        <v/>
      </c>
      <c r="AT25" s="149">
        <v>139</v>
      </c>
      <c r="AU25" s="20">
        <v>15</v>
      </c>
      <c r="AV25" s="150">
        <v>139</v>
      </c>
      <c r="AW25" s="151">
        <f t="shared" si="34"/>
        <v>1</v>
      </c>
    </row>
    <row r="26" spans="1:49" x14ac:dyDescent="0.2">
      <c r="A26" s="71" t="s">
        <v>46</v>
      </c>
      <c r="B26" s="20">
        <v>6563</v>
      </c>
      <c r="C26" s="20">
        <v>6668</v>
      </c>
      <c r="D26" s="20">
        <v>968</v>
      </c>
      <c r="E26" s="280">
        <f t="shared" si="0"/>
        <v>716.58963523131672</v>
      </c>
      <c r="F26" s="51" t="s">
        <v>25</v>
      </c>
      <c r="G26" s="52" t="s">
        <v>25</v>
      </c>
      <c r="H26" s="52"/>
      <c r="I26" s="53" t="str">
        <f t="shared" si="44"/>
        <v>Yes</v>
      </c>
      <c r="J26" s="34" t="str">
        <f t="shared" si="2"/>
        <v/>
      </c>
      <c r="K26" s="35">
        <v>0</v>
      </c>
      <c r="L26" s="35" t="str">
        <f t="shared" si="3"/>
        <v/>
      </c>
      <c r="M26" s="45" t="str">
        <f t="shared" si="4"/>
        <v/>
      </c>
      <c r="N26" s="34" t="str">
        <f t="shared" si="5"/>
        <v/>
      </c>
      <c r="O26" s="35" t="str">
        <f t="shared" si="45"/>
        <v/>
      </c>
      <c r="P26" s="35" t="str">
        <f t="shared" si="53"/>
        <v/>
      </c>
      <c r="Q26" s="45" t="str">
        <f t="shared" si="54"/>
        <v/>
      </c>
      <c r="R26" s="34">
        <f t="shared" si="50"/>
        <v>6668</v>
      </c>
      <c r="S26" s="35">
        <v>0</v>
      </c>
      <c r="T26" s="35">
        <f t="shared" si="51"/>
        <v>968</v>
      </c>
      <c r="U26" s="45">
        <f t="shared" si="52"/>
        <v>716.58963523131672</v>
      </c>
      <c r="V26" s="34" t="str">
        <f t="shared" si="12"/>
        <v/>
      </c>
      <c r="W26" s="35" t="str">
        <f t="shared" si="46"/>
        <v/>
      </c>
      <c r="X26" s="35" t="str">
        <f t="shared" si="14"/>
        <v/>
      </c>
      <c r="Y26" s="45" t="str">
        <f t="shared" si="15"/>
        <v/>
      </c>
      <c r="Z26" s="34" t="str">
        <f t="shared" si="38"/>
        <v/>
      </c>
      <c r="AA26" s="35">
        <v>0</v>
      </c>
      <c r="AB26" s="35" t="str">
        <f t="shared" si="39"/>
        <v/>
      </c>
      <c r="AC26" s="45" t="str">
        <f t="shared" si="40"/>
        <v/>
      </c>
      <c r="AD26" s="34" t="str">
        <f t="shared" si="19"/>
        <v/>
      </c>
      <c r="AE26" s="35" t="str">
        <f t="shared" si="47"/>
        <v/>
      </c>
      <c r="AF26" s="35" t="str">
        <f t="shared" si="21"/>
        <v/>
      </c>
      <c r="AG26" s="45" t="str">
        <f t="shared" si="22"/>
        <v/>
      </c>
      <c r="AH26" s="34" t="str">
        <f t="shared" si="41"/>
        <v/>
      </c>
      <c r="AI26" s="35">
        <v>0</v>
      </c>
      <c r="AJ26" s="35" t="str">
        <f t="shared" si="42"/>
        <v/>
      </c>
      <c r="AK26" s="45" t="str">
        <f t="shared" si="43"/>
        <v/>
      </c>
      <c r="AL26" s="34" t="str">
        <f t="shared" si="26"/>
        <v/>
      </c>
      <c r="AM26" s="35" t="str">
        <f t="shared" si="48"/>
        <v/>
      </c>
      <c r="AN26" s="35" t="str">
        <f t="shared" si="28"/>
        <v/>
      </c>
      <c r="AO26" s="45" t="str">
        <f t="shared" si="29"/>
        <v/>
      </c>
      <c r="AP26" s="34" t="str">
        <f t="shared" si="30"/>
        <v/>
      </c>
      <c r="AQ26" s="40" t="str">
        <f t="shared" si="49"/>
        <v/>
      </c>
      <c r="AR26" s="35" t="str">
        <f t="shared" si="32"/>
        <v/>
      </c>
      <c r="AS26" s="45" t="str">
        <f t="shared" si="33"/>
        <v/>
      </c>
      <c r="AT26" s="149">
        <v>4496</v>
      </c>
      <c r="AU26" s="20">
        <v>831</v>
      </c>
      <c r="AV26" s="150">
        <v>3877</v>
      </c>
      <c r="AW26" s="151">
        <f t="shared" si="34"/>
        <v>0.86232206405693945</v>
      </c>
    </row>
    <row r="27" spans="1:49" x14ac:dyDescent="0.2">
      <c r="A27" s="71" t="s">
        <v>47</v>
      </c>
      <c r="B27" s="20">
        <v>2516</v>
      </c>
      <c r="C27" s="20">
        <v>3440</v>
      </c>
      <c r="D27" s="20">
        <v>604</v>
      </c>
      <c r="E27" s="280">
        <f t="shared" si="0"/>
        <v>696.37438423645324</v>
      </c>
      <c r="F27" s="51" t="s">
        <v>25</v>
      </c>
      <c r="G27" s="52" t="s">
        <v>25</v>
      </c>
      <c r="H27" s="52" t="s">
        <v>25</v>
      </c>
      <c r="I27" s="53" t="str">
        <f t="shared" si="44"/>
        <v/>
      </c>
      <c r="J27" s="34" t="str">
        <f t="shared" si="2"/>
        <v/>
      </c>
      <c r="K27" s="35">
        <v>0</v>
      </c>
      <c r="L27" s="35" t="str">
        <f t="shared" si="3"/>
        <v/>
      </c>
      <c r="M27" s="45" t="str">
        <f t="shared" si="4"/>
        <v/>
      </c>
      <c r="N27" s="34">
        <f t="shared" si="5"/>
        <v>3440</v>
      </c>
      <c r="O27" s="35">
        <f t="shared" si="45"/>
        <v>924</v>
      </c>
      <c r="P27" s="35">
        <f t="shared" si="53"/>
        <v>604</v>
      </c>
      <c r="Q27" s="45">
        <f t="shared" si="54"/>
        <v>696.37438423645324</v>
      </c>
      <c r="R27" s="34" t="str">
        <f t="shared" si="50"/>
        <v/>
      </c>
      <c r="S27" s="35">
        <v>0</v>
      </c>
      <c r="T27" s="35" t="str">
        <f t="shared" si="51"/>
        <v/>
      </c>
      <c r="U27" s="45" t="str">
        <f t="shared" si="52"/>
        <v/>
      </c>
      <c r="V27" s="34" t="str">
        <f t="shared" si="12"/>
        <v/>
      </c>
      <c r="W27" s="35" t="str">
        <f t="shared" si="46"/>
        <v/>
      </c>
      <c r="X27" s="35" t="str">
        <f t="shared" si="14"/>
        <v/>
      </c>
      <c r="Y27" s="45" t="str">
        <f t="shared" si="15"/>
        <v/>
      </c>
      <c r="Z27" s="34" t="str">
        <f t="shared" si="38"/>
        <v/>
      </c>
      <c r="AA27" s="35">
        <v>0</v>
      </c>
      <c r="AB27" s="35" t="str">
        <f t="shared" si="39"/>
        <v/>
      </c>
      <c r="AC27" s="45" t="str">
        <f t="shared" si="40"/>
        <v/>
      </c>
      <c r="AD27" s="34" t="str">
        <f t="shared" si="19"/>
        <v/>
      </c>
      <c r="AE27" s="35" t="str">
        <f t="shared" si="47"/>
        <v/>
      </c>
      <c r="AF27" s="35" t="str">
        <f t="shared" si="21"/>
        <v/>
      </c>
      <c r="AG27" s="45" t="str">
        <f t="shared" si="22"/>
        <v/>
      </c>
      <c r="AH27" s="34" t="str">
        <f t="shared" si="41"/>
        <v/>
      </c>
      <c r="AI27" s="35">
        <v>0</v>
      </c>
      <c r="AJ27" s="35" t="str">
        <f t="shared" si="42"/>
        <v/>
      </c>
      <c r="AK27" s="45" t="str">
        <f t="shared" si="43"/>
        <v/>
      </c>
      <c r="AL27" s="34" t="str">
        <f t="shared" si="26"/>
        <v/>
      </c>
      <c r="AM27" s="35" t="str">
        <f t="shared" si="48"/>
        <v/>
      </c>
      <c r="AN27" s="35" t="str">
        <f t="shared" si="28"/>
        <v/>
      </c>
      <c r="AO27" s="45" t="str">
        <f t="shared" si="29"/>
        <v/>
      </c>
      <c r="AP27" s="34" t="str">
        <f t="shared" si="30"/>
        <v/>
      </c>
      <c r="AQ27" s="40" t="str">
        <f t="shared" si="49"/>
        <v/>
      </c>
      <c r="AR27" s="35" t="str">
        <f t="shared" si="32"/>
        <v/>
      </c>
      <c r="AS27" s="45" t="str">
        <f t="shared" si="33"/>
        <v/>
      </c>
      <c r="AT27" s="149">
        <v>2842</v>
      </c>
      <c r="AU27" s="20">
        <v>826</v>
      </c>
      <c r="AV27" s="150">
        <v>2396</v>
      </c>
      <c r="AW27" s="151">
        <f t="shared" si="34"/>
        <v>0.84306826178747363</v>
      </c>
    </row>
    <row r="28" spans="1:49" x14ac:dyDescent="0.2">
      <c r="A28" s="71" t="s">
        <v>48</v>
      </c>
      <c r="B28" s="20">
        <v>743</v>
      </c>
      <c r="C28" s="20">
        <v>786</v>
      </c>
      <c r="D28" s="20">
        <v>603</v>
      </c>
      <c r="E28" s="280">
        <f t="shared" si="0"/>
        <v>52.699738903394255</v>
      </c>
      <c r="F28" s="51" t="s">
        <v>25</v>
      </c>
      <c r="G28" s="52"/>
      <c r="H28" s="52"/>
      <c r="I28" s="53" t="str">
        <f t="shared" si="44"/>
        <v>Yes</v>
      </c>
      <c r="J28" s="34" t="str">
        <f t="shared" si="2"/>
        <v/>
      </c>
      <c r="K28" s="35">
        <v>0</v>
      </c>
      <c r="L28" s="35" t="str">
        <f t="shared" si="3"/>
        <v/>
      </c>
      <c r="M28" s="45" t="str">
        <f t="shared" si="4"/>
        <v/>
      </c>
      <c r="N28" s="34" t="str">
        <f t="shared" si="5"/>
        <v/>
      </c>
      <c r="O28" s="35" t="str">
        <f t="shared" si="45"/>
        <v/>
      </c>
      <c r="P28" s="35" t="str">
        <f t="shared" si="53"/>
        <v/>
      </c>
      <c r="Q28" s="45" t="str">
        <f t="shared" si="54"/>
        <v/>
      </c>
      <c r="R28" s="34" t="str">
        <f t="shared" si="50"/>
        <v/>
      </c>
      <c r="S28" s="35">
        <v>0</v>
      </c>
      <c r="T28" s="35" t="str">
        <f t="shared" si="51"/>
        <v/>
      </c>
      <c r="U28" s="45" t="str">
        <f t="shared" si="52"/>
        <v/>
      </c>
      <c r="V28" s="34" t="str">
        <f t="shared" si="12"/>
        <v/>
      </c>
      <c r="W28" s="35" t="str">
        <f t="shared" si="46"/>
        <v/>
      </c>
      <c r="X28" s="35" t="str">
        <f t="shared" si="14"/>
        <v/>
      </c>
      <c r="Y28" s="45" t="str">
        <f t="shared" si="15"/>
        <v/>
      </c>
      <c r="Z28" s="34" t="str">
        <f t="shared" si="38"/>
        <v/>
      </c>
      <c r="AA28" s="35">
        <v>0</v>
      </c>
      <c r="AB28" s="35" t="str">
        <f t="shared" si="39"/>
        <v/>
      </c>
      <c r="AC28" s="45" t="str">
        <f t="shared" si="40"/>
        <v/>
      </c>
      <c r="AD28" s="34" t="str">
        <f t="shared" si="19"/>
        <v/>
      </c>
      <c r="AE28" s="35" t="str">
        <f t="shared" si="47"/>
        <v/>
      </c>
      <c r="AF28" s="35" t="str">
        <f t="shared" si="21"/>
        <v/>
      </c>
      <c r="AG28" s="45" t="str">
        <f t="shared" si="22"/>
        <v/>
      </c>
      <c r="AH28" s="34">
        <f t="shared" si="41"/>
        <v>786</v>
      </c>
      <c r="AI28" s="35">
        <v>0</v>
      </c>
      <c r="AJ28" s="35">
        <f t="shared" si="42"/>
        <v>603</v>
      </c>
      <c r="AK28" s="45">
        <f t="shared" si="43"/>
        <v>52.699738903394255</v>
      </c>
      <c r="AL28" s="34" t="str">
        <f t="shared" si="26"/>
        <v/>
      </c>
      <c r="AM28" s="35" t="str">
        <f t="shared" si="48"/>
        <v/>
      </c>
      <c r="AN28" s="35" t="str">
        <f t="shared" si="28"/>
        <v/>
      </c>
      <c r="AO28" s="45" t="str">
        <f t="shared" si="29"/>
        <v/>
      </c>
      <c r="AP28" s="34" t="str">
        <f t="shared" si="30"/>
        <v/>
      </c>
      <c r="AQ28" s="40" t="str">
        <f t="shared" si="49"/>
        <v/>
      </c>
      <c r="AR28" s="35" t="str">
        <f t="shared" si="32"/>
        <v/>
      </c>
      <c r="AS28" s="45" t="str">
        <f t="shared" si="33"/>
        <v/>
      </c>
      <c r="AT28" s="149">
        <v>383</v>
      </c>
      <c r="AU28" s="20">
        <v>58</v>
      </c>
      <c r="AV28" s="150">
        <v>348</v>
      </c>
      <c r="AW28" s="151">
        <f t="shared" si="34"/>
        <v>0.90861618798955612</v>
      </c>
    </row>
    <row r="29" spans="1:49" x14ac:dyDescent="0.2">
      <c r="A29" s="71" t="s">
        <v>49</v>
      </c>
      <c r="B29" s="20">
        <v>748</v>
      </c>
      <c r="C29" s="20">
        <v>1104</v>
      </c>
      <c r="D29" s="20">
        <v>336</v>
      </c>
      <c r="E29" s="280">
        <f t="shared" si="0"/>
        <v>168.58100558659217</v>
      </c>
      <c r="F29" s="51" t="s">
        <v>25</v>
      </c>
      <c r="G29" s="52" t="s">
        <v>25</v>
      </c>
      <c r="H29" s="52" t="s">
        <v>25</v>
      </c>
      <c r="I29" s="53" t="str">
        <f t="shared" si="44"/>
        <v/>
      </c>
      <c r="J29" s="34" t="str">
        <f t="shared" si="2"/>
        <v/>
      </c>
      <c r="K29" s="35">
        <v>0</v>
      </c>
      <c r="L29" s="35" t="str">
        <f t="shared" si="3"/>
        <v/>
      </c>
      <c r="M29" s="45" t="str">
        <f t="shared" si="4"/>
        <v/>
      </c>
      <c r="N29" s="34">
        <f t="shared" si="5"/>
        <v>1104</v>
      </c>
      <c r="O29" s="35">
        <f t="shared" si="45"/>
        <v>356</v>
      </c>
      <c r="P29" s="35">
        <f t="shared" si="53"/>
        <v>336</v>
      </c>
      <c r="Q29" s="45">
        <f t="shared" si="54"/>
        <v>168.58100558659217</v>
      </c>
      <c r="R29" s="34" t="str">
        <f t="shared" si="50"/>
        <v/>
      </c>
      <c r="S29" s="35">
        <v>0</v>
      </c>
      <c r="T29" s="35" t="str">
        <f t="shared" si="51"/>
        <v/>
      </c>
      <c r="U29" s="45" t="str">
        <f t="shared" si="52"/>
        <v/>
      </c>
      <c r="V29" s="34" t="str">
        <f t="shared" si="12"/>
        <v/>
      </c>
      <c r="W29" s="35" t="str">
        <f t="shared" si="46"/>
        <v/>
      </c>
      <c r="X29" s="35" t="str">
        <f t="shared" si="14"/>
        <v/>
      </c>
      <c r="Y29" s="45" t="str">
        <f t="shared" si="15"/>
        <v/>
      </c>
      <c r="Z29" s="34" t="str">
        <f t="shared" si="38"/>
        <v/>
      </c>
      <c r="AA29" s="35">
        <v>0</v>
      </c>
      <c r="AB29" s="35" t="str">
        <f t="shared" si="39"/>
        <v/>
      </c>
      <c r="AC29" s="45" t="str">
        <f t="shared" si="40"/>
        <v/>
      </c>
      <c r="AD29" s="34" t="str">
        <f t="shared" si="19"/>
        <v/>
      </c>
      <c r="AE29" s="35" t="str">
        <f t="shared" si="47"/>
        <v/>
      </c>
      <c r="AF29" s="35" t="str">
        <f t="shared" si="21"/>
        <v/>
      </c>
      <c r="AG29" s="45" t="str">
        <f t="shared" si="22"/>
        <v/>
      </c>
      <c r="AH29" s="34" t="str">
        <f t="shared" si="41"/>
        <v/>
      </c>
      <c r="AI29" s="35">
        <v>0</v>
      </c>
      <c r="AJ29" s="35" t="str">
        <f t="shared" si="42"/>
        <v/>
      </c>
      <c r="AK29" s="45" t="str">
        <f t="shared" si="43"/>
        <v/>
      </c>
      <c r="AL29" s="34" t="str">
        <f t="shared" si="26"/>
        <v/>
      </c>
      <c r="AM29" s="35" t="str">
        <f t="shared" si="48"/>
        <v/>
      </c>
      <c r="AN29" s="35" t="str">
        <f t="shared" si="28"/>
        <v/>
      </c>
      <c r="AO29" s="45" t="str">
        <f t="shared" si="29"/>
        <v/>
      </c>
      <c r="AP29" s="34" t="str">
        <f t="shared" si="30"/>
        <v/>
      </c>
      <c r="AQ29" s="40" t="str">
        <f t="shared" si="49"/>
        <v/>
      </c>
      <c r="AR29" s="35" t="str">
        <f t="shared" si="32"/>
        <v/>
      </c>
      <c r="AS29" s="45" t="str">
        <f t="shared" si="33"/>
        <v/>
      </c>
      <c r="AT29" s="149">
        <v>895</v>
      </c>
      <c r="AU29" s="20">
        <v>205</v>
      </c>
      <c r="AV29" s="150">
        <v>736</v>
      </c>
      <c r="AW29" s="151">
        <f t="shared" si="34"/>
        <v>0.82234636871508382</v>
      </c>
    </row>
    <row r="30" spans="1:49" x14ac:dyDescent="0.2">
      <c r="A30" s="71" t="s">
        <v>50</v>
      </c>
      <c r="B30" s="20">
        <v>1011</v>
      </c>
      <c r="C30" s="20">
        <v>1025</v>
      </c>
      <c r="D30" s="20">
        <v>156</v>
      </c>
      <c r="E30" s="280">
        <f t="shared" si="0"/>
        <v>76.96605744125327</v>
      </c>
      <c r="F30" s="51" t="s">
        <v>25</v>
      </c>
      <c r="G30" s="52" t="s">
        <v>25</v>
      </c>
      <c r="H30" s="52" t="s">
        <v>25</v>
      </c>
      <c r="I30" s="53" t="str">
        <f t="shared" si="44"/>
        <v>Yes</v>
      </c>
      <c r="J30" s="34">
        <f t="shared" si="2"/>
        <v>1025</v>
      </c>
      <c r="K30" s="35">
        <v>0</v>
      </c>
      <c r="L30" s="35">
        <f t="shared" si="3"/>
        <v>156</v>
      </c>
      <c r="M30" s="45">
        <f t="shared" si="4"/>
        <v>76.96605744125327</v>
      </c>
      <c r="N30" s="34" t="str">
        <f t="shared" si="5"/>
        <v/>
      </c>
      <c r="O30" s="35" t="str">
        <f t="shared" si="45"/>
        <v/>
      </c>
      <c r="P30" s="35" t="str">
        <f t="shared" si="53"/>
        <v/>
      </c>
      <c r="Q30" s="45" t="str">
        <f t="shared" si="54"/>
        <v/>
      </c>
      <c r="R30" s="34" t="str">
        <f t="shared" si="50"/>
        <v/>
      </c>
      <c r="S30" s="35">
        <v>0</v>
      </c>
      <c r="T30" s="35" t="str">
        <f t="shared" si="51"/>
        <v/>
      </c>
      <c r="U30" s="45" t="str">
        <f t="shared" si="52"/>
        <v/>
      </c>
      <c r="V30" s="34" t="str">
        <f t="shared" si="12"/>
        <v/>
      </c>
      <c r="W30" s="35" t="str">
        <f t="shared" si="46"/>
        <v/>
      </c>
      <c r="X30" s="35" t="str">
        <f t="shared" si="14"/>
        <v/>
      </c>
      <c r="Y30" s="45" t="str">
        <f t="shared" si="15"/>
        <v/>
      </c>
      <c r="Z30" s="34" t="str">
        <f t="shared" si="38"/>
        <v/>
      </c>
      <c r="AA30" s="35">
        <v>0</v>
      </c>
      <c r="AB30" s="35" t="str">
        <f t="shared" si="39"/>
        <v/>
      </c>
      <c r="AC30" s="45" t="str">
        <f t="shared" si="40"/>
        <v/>
      </c>
      <c r="AD30" s="34" t="str">
        <f t="shared" si="19"/>
        <v/>
      </c>
      <c r="AE30" s="35" t="str">
        <f t="shared" si="47"/>
        <v/>
      </c>
      <c r="AF30" s="35" t="str">
        <f t="shared" si="21"/>
        <v/>
      </c>
      <c r="AG30" s="45" t="str">
        <f t="shared" si="22"/>
        <v/>
      </c>
      <c r="AH30" s="34" t="str">
        <f t="shared" si="41"/>
        <v/>
      </c>
      <c r="AI30" s="35">
        <v>0</v>
      </c>
      <c r="AJ30" s="35" t="str">
        <f t="shared" si="42"/>
        <v/>
      </c>
      <c r="AK30" s="45" t="str">
        <f t="shared" si="43"/>
        <v/>
      </c>
      <c r="AL30" s="34" t="str">
        <f t="shared" si="26"/>
        <v/>
      </c>
      <c r="AM30" s="35" t="str">
        <f t="shared" si="48"/>
        <v/>
      </c>
      <c r="AN30" s="35" t="str">
        <f t="shared" si="28"/>
        <v/>
      </c>
      <c r="AO30" s="45" t="str">
        <f t="shared" si="29"/>
        <v/>
      </c>
      <c r="AP30" s="34" t="str">
        <f t="shared" si="30"/>
        <v/>
      </c>
      <c r="AQ30" s="40" t="str">
        <f t="shared" si="49"/>
        <v/>
      </c>
      <c r="AR30" s="35" t="str">
        <f t="shared" si="32"/>
        <v/>
      </c>
      <c r="AS30" s="45" t="str">
        <f t="shared" si="33"/>
        <v/>
      </c>
      <c r="AT30" s="149">
        <v>766</v>
      </c>
      <c r="AU30" s="20">
        <v>204</v>
      </c>
      <c r="AV30" s="150">
        <v>289</v>
      </c>
      <c r="AW30" s="151">
        <f t="shared" si="34"/>
        <v>0.37728459530026109</v>
      </c>
    </row>
    <row r="31" spans="1:49" x14ac:dyDescent="0.2">
      <c r="A31" s="71" t="s">
        <v>51</v>
      </c>
      <c r="B31" s="20">
        <v>5221</v>
      </c>
      <c r="C31" s="20">
        <v>4775</v>
      </c>
      <c r="D31" s="20">
        <v>1349</v>
      </c>
      <c r="E31" s="280">
        <f t="shared" si="0"/>
        <v>721</v>
      </c>
      <c r="F31" s="51" t="s">
        <v>25</v>
      </c>
      <c r="G31" s="52"/>
      <c r="H31" s="52"/>
      <c r="I31" s="53" t="str">
        <f t="shared" si="44"/>
        <v>Yes</v>
      </c>
      <c r="J31" s="34" t="str">
        <f t="shared" si="2"/>
        <v/>
      </c>
      <c r="K31" s="35">
        <v>0</v>
      </c>
      <c r="L31" s="35" t="str">
        <f t="shared" si="3"/>
        <v/>
      </c>
      <c r="M31" s="45" t="str">
        <f t="shared" si="4"/>
        <v/>
      </c>
      <c r="N31" s="34" t="str">
        <f t="shared" si="5"/>
        <v/>
      </c>
      <c r="O31" s="35" t="str">
        <f t="shared" si="45"/>
        <v/>
      </c>
      <c r="P31" s="35" t="str">
        <f t="shared" si="53"/>
        <v/>
      </c>
      <c r="Q31" s="45" t="str">
        <f t="shared" si="54"/>
        <v/>
      </c>
      <c r="R31" s="34" t="str">
        <f t="shared" si="50"/>
        <v/>
      </c>
      <c r="S31" s="35">
        <v>0</v>
      </c>
      <c r="T31" s="35" t="str">
        <f t="shared" si="51"/>
        <v/>
      </c>
      <c r="U31" s="45" t="str">
        <f t="shared" si="52"/>
        <v/>
      </c>
      <c r="V31" s="34" t="str">
        <f t="shared" si="12"/>
        <v/>
      </c>
      <c r="W31" s="35" t="str">
        <f t="shared" si="46"/>
        <v/>
      </c>
      <c r="X31" s="35" t="str">
        <f t="shared" si="14"/>
        <v/>
      </c>
      <c r="Y31" s="45" t="str">
        <f t="shared" si="15"/>
        <v/>
      </c>
      <c r="Z31" s="34" t="str">
        <f t="shared" si="38"/>
        <v/>
      </c>
      <c r="AA31" s="35">
        <v>0</v>
      </c>
      <c r="AB31" s="35" t="str">
        <f t="shared" si="39"/>
        <v/>
      </c>
      <c r="AC31" s="45" t="str">
        <f t="shared" si="40"/>
        <v/>
      </c>
      <c r="AD31" s="34" t="str">
        <f t="shared" si="19"/>
        <v/>
      </c>
      <c r="AE31" s="35" t="str">
        <f t="shared" si="47"/>
        <v/>
      </c>
      <c r="AF31" s="35" t="str">
        <f t="shared" si="21"/>
        <v/>
      </c>
      <c r="AG31" s="45" t="str">
        <f t="shared" si="22"/>
        <v/>
      </c>
      <c r="AH31" s="34">
        <f t="shared" si="41"/>
        <v>4775</v>
      </c>
      <c r="AI31" s="35">
        <v>0</v>
      </c>
      <c r="AJ31" s="35">
        <f t="shared" si="42"/>
        <v>1349</v>
      </c>
      <c r="AK31" s="45">
        <f t="shared" si="43"/>
        <v>721</v>
      </c>
      <c r="AL31" s="34" t="str">
        <f t="shared" si="26"/>
        <v/>
      </c>
      <c r="AM31" s="35" t="str">
        <f t="shared" si="48"/>
        <v/>
      </c>
      <c r="AN31" s="35" t="str">
        <f t="shared" si="28"/>
        <v/>
      </c>
      <c r="AO31" s="45" t="str">
        <f t="shared" si="29"/>
        <v/>
      </c>
      <c r="AP31" s="34" t="str">
        <f t="shared" si="30"/>
        <v/>
      </c>
      <c r="AQ31" s="40" t="str">
        <f t="shared" si="49"/>
        <v/>
      </c>
      <c r="AR31" s="35" t="str">
        <f t="shared" si="32"/>
        <v/>
      </c>
      <c r="AS31" s="45" t="str">
        <f t="shared" si="33"/>
        <v/>
      </c>
      <c r="AT31" s="149">
        <v>3008</v>
      </c>
      <c r="AU31" s="20">
        <v>721</v>
      </c>
      <c r="AV31" s="150">
        <v>3278</v>
      </c>
      <c r="AW31" s="151">
        <f t="shared" si="34"/>
        <v>1.0897606382978724</v>
      </c>
    </row>
    <row r="32" spans="1:49" x14ac:dyDescent="0.2">
      <c r="A32" s="71" t="s">
        <v>52</v>
      </c>
      <c r="B32" s="20">
        <v>43</v>
      </c>
      <c r="C32" s="20">
        <v>182</v>
      </c>
      <c r="D32" s="20">
        <v>77</v>
      </c>
      <c r="E32" s="280">
        <f t="shared" si="0"/>
        <v>32</v>
      </c>
      <c r="F32" s="51" t="s">
        <v>25</v>
      </c>
      <c r="G32" s="58"/>
      <c r="H32" s="58"/>
      <c r="I32" s="53" t="str">
        <f t="shared" si="44"/>
        <v/>
      </c>
      <c r="J32" s="34" t="str">
        <f t="shared" si="2"/>
        <v/>
      </c>
      <c r="K32" s="35">
        <v>0</v>
      </c>
      <c r="L32" s="35" t="str">
        <f t="shared" si="3"/>
        <v/>
      </c>
      <c r="M32" s="45" t="str">
        <f t="shared" si="4"/>
        <v/>
      </c>
      <c r="N32" s="34" t="str">
        <f t="shared" si="5"/>
        <v/>
      </c>
      <c r="O32" s="35" t="str">
        <f t="shared" si="45"/>
        <v/>
      </c>
      <c r="P32" s="35" t="str">
        <f t="shared" si="53"/>
        <v/>
      </c>
      <c r="Q32" s="45" t="str">
        <f t="shared" si="54"/>
        <v/>
      </c>
      <c r="R32" s="34" t="str">
        <f t="shared" si="50"/>
        <v/>
      </c>
      <c r="S32" s="35">
        <v>0</v>
      </c>
      <c r="T32" s="35" t="str">
        <f t="shared" si="51"/>
        <v/>
      </c>
      <c r="U32" s="45" t="str">
        <f t="shared" si="52"/>
        <v/>
      </c>
      <c r="V32" s="34" t="str">
        <f t="shared" si="12"/>
        <v/>
      </c>
      <c r="W32" s="35" t="str">
        <f t="shared" si="46"/>
        <v/>
      </c>
      <c r="X32" s="35" t="str">
        <f t="shared" si="14"/>
        <v/>
      </c>
      <c r="Y32" s="45" t="str">
        <f t="shared" si="15"/>
        <v/>
      </c>
      <c r="Z32" s="34" t="str">
        <f t="shared" si="38"/>
        <v/>
      </c>
      <c r="AA32" s="35">
        <v>0</v>
      </c>
      <c r="AB32" s="35" t="str">
        <f t="shared" si="39"/>
        <v/>
      </c>
      <c r="AC32" s="45" t="str">
        <f t="shared" si="40"/>
        <v/>
      </c>
      <c r="AD32" s="34" t="str">
        <f t="shared" si="19"/>
        <v/>
      </c>
      <c r="AE32" s="35" t="str">
        <f t="shared" si="47"/>
        <v/>
      </c>
      <c r="AF32" s="35" t="str">
        <f t="shared" si="21"/>
        <v/>
      </c>
      <c r="AG32" s="45" t="str">
        <f t="shared" si="22"/>
        <v/>
      </c>
      <c r="AH32" s="34" t="str">
        <f t="shared" si="41"/>
        <v/>
      </c>
      <c r="AI32" s="35">
        <v>0</v>
      </c>
      <c r="AJ32" s="35" t="str">
        <f t="shared" si="42"/>
        <v/>
      </c>
      <c r="AK32" s="45" t="str">
        <f t="shared" si="43"/>
        <v/>
      </c>
      <c r="AL32" s="34">
        <f t="shared" si="26"/>
        <v>182</v>
      </c>
      <c r="AM32" s="35">
        <f t="shared" si="48"/>
        <v>139</v>
      </c>
      <c r="AN32" s="35">
        <f t="shared" si="28"/>
        <v>77</v>
      </c>
      <c r="AO32" s="45">
        <f t="shared" si="29"/>
        <v>32</v>
      </c>
      <c r="AP32" s="34" t="str">
        <f t="shared" si="30"/>
        <v/>
      </c>
      <c r="AQ32" s="40" t="str">
        <f t="shared" si="49"/>
        <v/>
      </c>
      <c r="AR32" s="35" t="str">
        <f t="shared" si="32"/>
        <v/>
      </c>
      <c r="AS32" s="45" t="str">
        <f t="shared" si="33"/>
        <v/>
      </c>
      <c r="AT32" s="149">
        <v>147</v>
      </c>
      <c r="AU32" s="20">
        <v>32</v>
      </c>
      <c r="AV32" s="150">
        <v>168</v>
      </c>
      <c r="AW32" s="151">
        <f t="shared" si="34"/>
        <v>1.1428571428571428</v>
      </c>
    </row>
    <row r="33" spans="1:49" x14ac:dyDescent="0.2">
      <c r="A33" s="71" t="s">
        <v>53</v>
      </c>
      <c r="B33" s="20">
        <v>66</v>
      </c>
      <c r="C33" s="20">
        <v>66</v>
      </c>
      <c r="D33" s="20">
        <v>4</v>
      </c>
      <c r="E33" s="280">
        <f t="shared" si="0"/>
        <v>2.625</v>
      </c>
      <c r="F33" s="51" t="s">
        <v>25</v>
      </c>
      <c r="G33" s="52"/>
      <c r="H33" s="52"/>
      <c r="I33" s="53" t="str">
        <f t="shared" si="44"/>
        <v>Yes</v>
      </c>
      <c r="J33" s="34" t="str">
        <f t="shared" si="2"/>
        <v/>
      </c>
      <c r="K33" s="35">
        <v>0</v>
      </c>
      <c r="L33" s="35" t="str">
        <f t="shared" si="3"/>
        <v/>
      </c>
      <c r="M33" s="45" t="str">
        <f t="shared" si="4"/>
        <v/>
      </c>
      <c r="N33" s="34" t="str">
        <f t="shared" si="5"/>
        <v/>
      </c>
      <c r="O33" s="35" t="str">
        <f t="shared" si="45"/>
        <v/>
      </c>
      <c r="P33" s="35" t="str">
        <f t="shared" si="53"/>
        <v/>
      </c>
      <c r="Q33" s="45" t="str">
        <f t="shared" si="54"/>
        <v/>
      </c>
      <c r="R33" s="34" t="str">
        <f t="shared" si="50"/>
        <v/>
      </c>
      <c r="S33" s="35">
        <v>0</v>
      </c>
      <c r="T33" s="35" t="str">
        <f t="shared" si="51"/>
        <v/>
      </c>
      <c r="U33" s="45" t="str">
        <f t="shared" si="52"/>
        <v/>
      </c>
      <c r="V33" s="34" t="str">
        <f t="shared" si="12"/>
        <v/>
      </c>
      <c r="W33" s="35" t="str">
        <f t="shared" si="46"/>
        <v/>
      </c>
      <c r="X33" s="35" t="str">
        <f t="shared" si="14"/>
        <v/>
      </c>
      <c r="Y33" s="45" t="str">
        <f t="shared" si="15"/>
        <v/>
      </c>
      <c r="Z33" s="34" t="str">
        <f t="shared" si="38"/>
        <v/>
      </c>
      <c r="AA33" s="35">
        <v>0</v>
      </c>
      <c r="AB33" s="35" t="str">
        <f t="shared" si="39"/>
        <v/>
      </c>
      <c r="AC33" s="45" t="str">
        <f t="shared" si="40"/>
        <v/>
      </c>
      <c r="AD33" s="34" t="str">
        <f t="shared" si="19"/>
        <v/>
      </c>
      <c r="AE33" s="35" t="str">
        <f t="shared" si="47"/>
        <v/>
      </c>
      <c r="AF33" s="35" t="str">
        <f t="shared" si="21"/>
        <v/>
      </c>
      <c r="AG33" s="45" t="str">
        <f t="shared" si="22"/>
        <v/>
      </c>
      <c r="AH33" s="34">
        <f t="shared" si="41"/>
        <v>66</v>
      </c>
      <c r="AI33" s="35">
        <v>0</v>
      </c>
      <c r="AJ33" s="35">
        <f t="shared" si="42"/>
        <v>4</v>
      </c>
      <c r="AK33" s="45">
        <f t="shared" si="43"/>
        <v>2.625</v>
      </c>
      <c r="AL33" s="34" t="str">
        <f t="shared" si="26"/>
        <v/>
      </c>
      <c r="AM33" s="35" t="str">
        <f t="shared" si="48"/>
        <v/>
      </c>
      <c r="AN33" s="35" t="str">
        <f t="shared" si="28"/>
        <v/>
      </c>
      <c r="AO33" s="45" t="str">
        <f t="shared" si="29"/>
        <v/>
      </c>
      <c r="AP33" s="34" t="str">
        <f t="shared" si="30"/>
        <v/>
      </c>
      <c r="AQ33" s="40" t="str">
        <f t="shared" si="49"/>
        <v/>
      </c>
      <c r="AR33" s="35" t="str">
        <f t="shared" si="32"/>
        <v/>
      </c>
      <c r="AS33" s="45" t="str">
        <f t="shared" si="33"/>
        <v/>
      </c>
      <c r="AT33" s="149">
        <v>24</v>
      </c>
      <c r="AU33" s="20">
        <v>3</v>
      </c>
      <c r="AV33" s="150">
        <v>21</v>
      </c>
      <c r="AW33" s="151">
        <f t="shared" si="34"/>
        <v>0.875</v>
      </c>
    </row>
    <row r="34" spans="1:49" x14ac:dyDescent="0.2">
      <c r="A34" s="71" t="s">
        <v>54</v>
      </c>
      <c r="B34" s="20">
        <v>477</v>
      </c>
      <c r="C34" s="20">
        <v>1746</v>
      </c>
      <c r="D34" s="20">
        <v>246</v>
      </c>
      <c r="E34" s="280">
        <f t="shared" si="0"/>
        <v>71.23981900452489</v>
      </c>
      <c r="F34" s="51" t="s">
        <v>25</v>
      </c>
      <c r="G34" s="52"/>
      <c r="H34" s="52"/>
      <c r="I34" s="53" t="str">
        <f t="shared" si="44"/>
        <v/>
      </c>
      <c r="J34" s="34" t="str">
        <f t="shared" si="2"/>
        <v/>
      </c>
      <c r="K34" s="35">
        <v>0</v>
      </c>
      <c r="L34" s="35" t="str">
        <f t="shared" si="3"/>
        <v/>
      </c>
      <c r="M34" s="45" t="str">
        <f t="shared" si="4"/>
        <v/>
      </c>
      <c r="N34" s="34" t="str">
        <f t="shared" si="5"/>
        <v/>
      </c>
      <c r="O34" s="35" t="str">
        <f t="shared" si="45"/>
        <v/>
      </c>
      <c r="P34" s="35" t="str">
        <f t="shared" si="53"/>
        <v/>
      </c>
      <c r="Q34" s="45" t="str">
        <f t="shared" si="54"/>
        <v/>
      </c>
      <c r="R34" s="34" t="str">
        <f t="shared" si="50"/>
        <v/>
      </c>
      <c r="S34" s="35">
        <v>0</v>
      </c>
      <c r="T34" s="35" t="str">
        <f t="shared" si="51"/>
        <v/>
      </c>
      <c r="U34" s="45" t="str">
        <f t="shared" si="52"/>
        <v/>
      </c>
      <c r="V34" s="34" t="str">
        <f t="shared" si="12"/>
        <v/>
      </c>
      <c r="W34" s="35" t="str">
        <f t="shared" si="46"/>
        <v/>
      </c>
      <c r="X34" s="35" t="str">
        <f t="shared" si="14"/>
        <v/>
      </c>
      <c r="Y34" s="45" t="str">
        <f t="shared" si="15"/>
        <v/>
      </c>
      <c r="Z34" s="34" t="str">
        <f t="shared" si="38"/>
        <v/>
      </c>
      <c r="AA34" s="35">
        <v>0</v>
      </c>
      <c r="AB34" s="35" t="str">
        <f t="shared" si="39"/>
        <v/>
      </c>
      <c r="AC34" s="45" t="str">
        <f t="shared" si="40"/>
        <v/>
      </c>
      <c r="AD34" s="34" t="str">
        <f t="shared" si="19"/>
        <v/>
      </c>
      <c r="AE34" s="35" t="str">
        <f t="shared" si="47"/>
        <v/>
      </c>
      <c r="AF34" s="35" t="str">
        <f t="shared" si="21"/>
        <v/>
      </c>
      <c r="AG34" s="45" t="str">
        <f t="shared" si="22"/>
        <v/>
      </c>
      <c r="AH34" s="34" t="str">
        <f t="shared" si="41"/>
        <v/>
      </c>
      <c r="AI34" s="35">
        <v>0</v>
      </c>
      <c r="AJ34" s="35" t="str">
        <f t="shared" si="42"/>
        <v/>
      </c>
      <c r="AK34" s="45" t="str">
        <f t="shared" si="43"/>
        <v/>
      </c>
      <c r="AL34" s="34">
        <f t="shared" si="26"/>
        <v>1746</v>
      </c>
      <c r="AM34" s="35">
        <f t="shared" si="48"/>
        <v>1269</v>
      </c>
      <c r="AN34" s="35">
        <f t="shared" si="28"/>
        <v>246</v>
      </c>
      <c r="AO34" s="45">
        <f t="shared" si="29"/>
        <v>71.23981900452489</v>
      </c>
      <c r="AP34" s="34" t="str">
        <f t="shared" si="30"/>
        <v/>
      </c>
      <c r="AQ34" s="40" t="str">
        <f t="shared" si="49"/>
        <v/>
      </c>
      <c r="AR34" s="35" t="str">
        <f t="shared" si="32"/>
        <v/>
      </c>
      <c r="AS34" s="45" t="str">
        <f t="shared" si="33"/>
        <v/>
      </c>
      <c r="AT34" s="149">
        <v>884</v>
      </c>
      <c r="AU34" s="20">
        <v>123</v>
      </c>
      <c r="AV34" s="150">
        <v>512</v>
      </c>
      <c r="AW34" s="151">
        <f t="shared" si="34"/>
        <v>0.579185520361991</v>
      </c>
    </row>
    <row r="35" spans="1:49" x14ac:dyDescent="0.2">
      <c r="A35" s="71" t="s">
        <v>75</v>
      </c>
      <c r="B35" s="20">
        <v>0</v>
      </c>
      <c r="C35" s="20">
        <v>511</v>
      </c>
      <c r="D35" s="20">
        <v>241</v>
      </c>
      <c r="E35" s="280">
        <f t="shared" si="0"/>
        <v>102</v>
      </c>
      <c r="F35" s="57" t="s">
        <v>25</v>
      </c>
      <c r="G35" s="58"/>
      <c r="H35" s="58"/>
      <c r="I35" s="53" t="str">
        <f t="shared" si="44"/>
        <v/>
      </c>
      <c r="J35" s="34" t="str">
        <f t="shared" si="2"/>
        <v/>
      </c>
      <c r="K35" s="35">
        <v>0</v>
      </c>
      <c r="L35" s="35" t="str">
        <f t="shared" si="3"/>
        <v/>
      </c>
      <c r="M35" s="45" t="str">
        <f t="shared" si="4"/>
        <v/>
      </c>
      <c r="N35" s="34" t="str">
        <f t="shared" si="5"/>
        <v/>
      </c>
      <c r="O35" s="35" t="str">
        <f t="shared" si="45"/>
        <v/>
      </c>
      <c r="P35" s="35" t="str">
        <f t="shared" si="53"/>
        <v/>
      </c>
      <c r="Q35" s="45" t="str">
        <f t="shared" si="54"/>
        <v/>
      </c>
      <c r="R35" s="34" t="str">
        <f t="shared" si="50"/>
        <v/>
      </c>
      <c r="S35" s="35">
        <v>0</v>
      </c>
      <c r="T35" s="35" t="str">
        <f t="shared" si="51"/>
        <v/>
      </c>
      <c r="U35" s="45" t="str">
        <f t="shared" si="52"/>
        <v/>
      </c>
      <c r="V35" s="34" t="str">
        <f t="shared" si="12"/>
        <v/>
      </c>
      <c r="W35" s="35" t="str">
        <f t="shared" si="46"/>
        <v/>
      </c>
      <c r="X35" s="35" t="str">
        <f t="shared" si="14"/>
        <v/>
      </c>
      <c r="Y35" s="45" t="str">
        <f t="shared" si="15"/>
        <v/>
      </c>
      <c r="Z35" s="34" t="str">
        <f t="shared" si="38"/>
        <v/>
      </c>
      <c r="AA35" s="35">
        <v>0</v>
      </c>
      <c r="AB35" s="35" t="str">
        <f t="shared" si="39"/>
        <v/>
      </c>
      <c r="AC35" s="45" t="str">
        <f t="shared" si="40"/>
        <v/>
      </c>
      <c r="AD35" s="34" t="str">
        <f t="shared" si="19"/>
        <v/>
      </c>
      <c r="AE35" s="35" t="str">
        <f t="shared" si="47"/>
        <v/>
      </c>
      <c r="AF35" s="35" t="str">
        <f t="shared" si="21"/>
        <v/>
      </c>
      <c r="AG35" s="45" t="str">
        <f t="shared" si="22"/>
        <v/>
      </c>
      <c r="AH35" s="34" t="str">
        <f t="shared" si="41"/>
        <v/>
      </c>
      <c r="AI35" s="35">
        <v>0</v>
      </c>
      <c r="AJ35" s="35" t="str">
        <f t="shared" si="42"/>
        <v/>
      </c>
      <c r="AK35" s="45" t="str">
        <f t="shared" si="43"/>
        <v/>
      </c>
      <c r="AL35" s="34">
        <f t="shared" si="26"/>
        <v>511</v>
      </c>
      <c r="AM35" s="35">
        <f t="shared" si="48"/>
        <v>511</v>
      </c>
      <c r="AN35" s="35">
        <f t="shared" si="28"/>
        <v>241</v>
      </c>
      <c r="AO35" s="45">
        <f t="shared" si="29"/>
        <v>102</v>
      </c>
      <c r="AP35" s="34" t="str">
        <f t="shared" si="30"/>
        <v/>
      </c>
      <c r="AQ35" s="40" t="str">
        <f t="shared" si="49"/>
        <v/>
      </c>
      <c r="AR35" s="35" t="str">
        <f t="shared" si="32"/>
        <v/>
      </c>
      <c r="AS35" s="45" t="str">
        <f t="shared" si="33"/>
        <v/>
      </c>
      <c r="AT35" s="149">
        <v>462</v>
      </c>
      <c r="AU35" s="20">
        <v>102</v>
      </c>
      <c r="AV35" s="150">
        <v>476</v>
      </c>
      <c r="AW35" s="151">
        <f t="shared" si="34"/>
        <v>1.0303030303030303</v>
      </c>
    </row>
    <row r="36" spans="1:49" x14ac:dyDescent="0.2">
      <c r="A36" s="71" t="s">
        <v>55</v>
      </c>
      <c r="B36" s="20">
        <v>5534</v>
      </c>
      <c r="C36" s="20">
        <v>5143</v>
      </c>
      <c r="D36" s="20">
        <v>868</v>
      </c>
      <c r="E36" s="280">
        <f t="shared" si="0"/>
        <v>296.30718595721339</v>
      </c>
      <c r="F36" s="51" t="s">
        <v>25</v>
      </c>
      <c r="G36" s="172" t="s">
        <v>25</v>
      </c>
      <c r="H36" s="172" t="s">
        <v>25</v>
      </c>
      <c r="I36" s="53" t="str">
        <f t="shared" si="44"/>
        <v>Yes</v>
      </c>
      <c r="J36" s="34">
        <f t="shared" si="2"/>
        <v>5143</v>
      </c>
      <c r="K36" s="35">
        <v>0</v>
      </c>
      <c r="L36" s="35">
        <f t="shared" si="3"/>
        <v>868</v>
      </c>
      <c r="M36" s="45">
        <f t="shared" si="4"/>
        <v>296.30718595721339</v>
      </c>
      <c r="N36" s="34" t="str">
        <f t="shared" si="5"/>
        <v/>
      </c>
      <c r="O36" s="35" t="str">
        <f t="shared" si="45"/>
        <v/>
      </c>
      <c r="P36" s="35" t="str">
        <f t="shared" si="53"/>
        <v/>
      </c>
      <c r="Q36" s="45" t="str">
        <f t="shared" si="54"/>
        <v/>
      </c>
      <c r="R36" s="34" t="str">
        <f t="shared" si="50"/>
        <v/>
      </c>
      <c r="S36" s="35">
        <v>0</v>
      </c>
      <c r="T36" s="35" t="str">
        <f t="shared" si="51"/>
        <v/>
      </c>
      <c r="U36" s="45" t="str">
        <f t="shared" si="52"/>
        <v/>
      </c>
      <c r="V36" s="34" t="str">
        <f t="shared" si="12"/>
        <v/>
      </c>
      <c r="W36" s="35" t="str">
        <f t="shared" si="46"/>
        <v/>
      </c>
      <c r="X36" s="35" t="str">
        <f t="shared" si="14"/>
        <v/>
      </c>
      <c r="Y36" s="45" t="str">
        <f t="shared" si="15"/>
        <v/>
      </c>
      <c r="Z36" s="34" t="str">
        <f t="shared" si="38"/>
        <v/>
      </c>
      <c r="AA36" s="35">
        <v>0</v>
      </c>
      <c r="AB36" s="35" t="str">
        <f t="shared" si="39"/>
        <v/>
      </c>
      <c r="AC36" s="45" t="str">
        <f t="shared" si="40"/>
        <v/>
      </c>
      <c r="AD36" s="34" t="str">
        <f t="shared" si="19"/>
        <v/>
      </c>
      <c r="AE36" s="35" t="str">
        <f t="shared" si="47"/>
        <v/>
      </c>
      <c r="AF36" s="35" t="str">
        <f t="shared" si="21"/>
        <v/>
      </c>
      <c r="AG36" s="45" t="str">
        <f t="shared" si="22"/>
        <v/>
      </c>
      <c r="AH36" s="34" t="str">
        <f t="shared" si="41"/>
        <v/>
      </c>
      <c r="AI36" s="35">
        <v>0</v>
      </c>
      <c r="AJ36" s="35" t="str">
        <f t="shared" si="42"/>
        <v/>
      </c>
      <c r="AK36" s="45" t="str">
        <f t="shared" si="43"/>
        <v/>
      </c>
      <c r="AL36" s="34" t="str">
        <f t="shared" si="26"/>
        <v/>
      </c>
      <c r="AM36" s="35" t="str">
        <f t="shared" si="48"/>
        <v/>
      </c>
      <c r="AN36" s="35" t="str">
        <f t="shared" si="28"/>
        <v/>
      </c>
      <c r="AO36" s="45" t="str">
        <f t="shared" si="29"/>
        <v/>
      </c>
      <c r="AP36" s="34" t="str">
        <f t="shared" si="30"/>
        <v/>
      </c>
      <c r="AQ36" s="40" t="str">
        <f t="shared" si="49"/>
        <v/>
      </c>
      <c r="AR36" s="35" t="str">
        <f t="shared" si="32"/>
        <v/>
      </c>
      <c r="AS36" s="45" t="str">
        <f t="shared" si="33"/>
        <v/>
      </c>
      <c r="AT36" s="149">
        <v>1823</v>
      </c>
      <c r="AU36" s="20">
        <v>317</v>
      </c>
      <c r="AV36" s="150">
        <v>1704</v>
      </c>
      <c r="AW36" s="151">
        <f t="shared" si="34"/>
        <v>0.93472298409215582</v>
      </c>
    </row>
    <row r="37" spans="1:49" x14ac:dyDescent="0.2">
      <c r="A37" s="71" t="s">
        <v>56</v>
      </c>
      <c r="B37" s="20">
        <v>5738</v>
      </c>
      <c r="C37" s="20">
        <v>5636</v>
      </c>
      <c r="D37" s="20">
        <v>998</v>
      </c>
      <c r="E37" s="280">
        <f t="shared" si="0"/>
        <v>504.71287128712873</v>
      </c>
      <c r="F37" s="51" t="s">
        <v>25</v>
      </c>
      <c r="G37" s="52" t="s">
        <v>25</v>
      </c>
      <c r="H37" s="52" t="s">
        <v>25</v>
      </c>
      <c r="I37" s="53" t="str">
        <f t="shared" si="44"/>
        <v>Yes</v>
      </c>
      <c r="J37" s="34">
        <f t="shared" si="2"/>
        <v>5636</v>
      </c>
      <c r="K37" s="35">
        <v>0</v>
      </c>
      <c r="L37" s="35">
        <f t="shared" si="3"/>
        <v>998</v>
      </c>
      <c r="M37" s="45">
        <f t="shared" si="4"/>
        <v>504.71287128712873</v>
      </c>
      <c r="N37" s="34" t="str">
        <f t="shared" si="5"/>
        <v/>
      </c>
      <c r="O37" s="35" t="str">
        <f t="shared" si="45"/>
        <v/>
      </c>
      <c r="P37" s="35" t="str">
        <f t="shared" si="53"/>
        <v/>
      </c>
      <c r="Q37" s="45" t="str">
        <f t="shared" si="54"/>
        <v/>
      </c>
      <c r="R37" s="34" t="str">
        <f t="shared" si="50"/>
        <v/>
      </c>
      <c r="S37" s="35">
        <v>0</v>
      </c>
      <c r="T37" s="35" t="str">
        <f t="shared" si="51"/>
        <v/>
      </c>
      <c r="U37" s="45" t="str">
        <f t="shared" si="52"/>
        <v/>
      </c>
      <c r="V37" s="34" t="str">
        <f t="shared" si="12"/>
        <v/>
      </c>
      <c r="W37" s="35" t="str">
        <f t="shared" si="46"/>
        <v/>
      </c>
      <c r="X37" s="35" t="str">
        <f t="shared" si="14"/>
        <v/>
      </c>
      <c r="Y37" s="45" t="str">
        <f t="shared" si="15"/>
        <v/>
      </c>
      <c r="Z37" s="34" t="str">
        <f t="shared" si="38"/>
        <v/>
      </c>
      <c r="AA37" s="35">
        <v>0</v>
      </c>
      <c r="AB37" s="35" t="str">
        <f t="shared" si="39"/>
        <v/>
      </c>
      <c r="AC37" s="45" t="str">
        <f t="shared" si="40"/>
        <v/>
      </c>
      <c r="AD37" s="34" t="str">
        <f t="shared" si="19"/>
        <v/>
      </c>
      <c r="AE37" s="35" t="str">
        <f t="shared" si="47"/>
        <v/>
      </c>
      <c r="AF37" s="35" t="str">
        <f t="shared" si="21"/>
        <v/>
      </c>
      <c r="AG37" s="45" t="str">
        <f t="shared" si="22"/>
        <v/>
      </c>
      <c r="AH37" s="34" t="str">
        <f t="shared" si="41"/>
        <v/>
      </c>
      <c r="AI37" s="35">
        <v>0</v>
      </c>
      <c r="AJ37" s="35" t="str">
        <f t="shared" si="42"/>
        <v/>
      </c>
      <c r="AK37" s="45" t="str">
        <f t="shared" si="43"/>
        <v/>
      </c>
      <c r="AL37" s="34" t="str">
        <f t="shared" si="26"/>
        <v/>
      </c>
      <c r="AM37" s="35" t="str">
        <f t="shared" si="48"/>
        <v/>
      </c>
      <c r="AN37" s="35" t="str">
        <f t="shared" si="28"/>
        <v/>
      </c>
      <c r="AO37" s="45" t="str">
        <f t="shared" si="29"/>
        <v/>
      </c>
      <c r="AP37" s="34" t="str">
        <f t="shared" si="30"/>
        <v/>
      </c>
      <c r="AQ37" s="40" t="str">
        <f t="shared" si="49"/>
        <v/>
      </c>
      <c r="AR37" s="35" t="str">
        <f t="shared" si="32"/>
        <v/>
      </c>
      <c r="AS37" s="45" t="str">
        <f t="shared" si="33"/>
        <v/>
      </c>
      <c r="AT37" s="149">
        <v>3030</v>
      </c>
      <c r="AU37" s="20">
        <v>540</v>
      </c>
      <c r="AV37" s="150">
        <v>2832</v>
      </c>
      <c r="AW37" s="151">
        <f t="shared" si="34"/>
        <v>0.93465346534653471</v>
      </c>
    </row>
    <row r="38" spans="1:49" x14ac:dyDescent="0.2">
      <c r="A38" s="71" t="s">
        <v>57</v>
      </c>
      <c r="B38" s="20">
        <v>656</v>
      </c>
      <c r="C38" s="20">
        <v>596</v>
      </c>
      <c r="D38" s="20">
        <v>119</v>
      </c>
      <c r="E38" s="280">
        <f t="shared" si="0"/>
        <v>61.094420600858363</v>
      </c>
      <c r="F38" s="51" t="s">
        <v>25</v>
      </c>
      <c r="G38" s="52"/>
      <c r="H38" s="52" t="s">
        <v>25</v>
      </c>
      <c r="I38" s="53" t="str">
        <f t="shared" si="44"/>
        <v>Yes</v>
      </c>
      <c r="J38" s="34" t="str">
        <f t="shared" si="2"/>
        <v/>
      </c>
      <c r="K38" s="35">
        <v>0</v>
      </c>
      <c r="L38" s="35" t="str">
        <f t="shared" si="3"/>
        <v/>
      </c>
      <c r="M38" s="45" t="str">
        <f t="shared" si="4"/>
        <v/>
      </c>
      <c r="N38" s="34" t="str">
        <f t="shared" si="5"/>
        <v/>
      </c>
      <c r="O38" s="35" t="str">
        <f t="shared" si="45"/>
        <v/>
      </c>
      <c r="P38" s="35" t="str">
        <f t="shared" si="53"/>
        <v/>
      </c>
      <c r="Q38" s="45" t="str">
        <f t="shared" si="54"/>
        <v/>
      </c>
      <c r="R38" s="34" t="str">
        <f t="shared" si="50"/>
        <v/>
      </c>
      <c r="S38" s="35">
        <v>0</v>
      </c>
      <c r="T38" s="35" t="str">
        <f t="shared" si="51"/>
        <v/>
      </c>
      <c r="U38" s="45" t="str">
        <f t="shared" si="52"/>
        <v/>
      </c>
      <c r="V38" s="34" t="str">
        <f t="shared" si="12"/>
        <v/>
      </c>
      <c r="W38" s="35" t="str">
        <f t="shared" si="46"/>
        <v/>
      </c>
      <c r="X38" s="35" t="str">
        <f t="shared" si="14"/>
        <v/>
      </c>
      <c r="Y38" s="45" t="str">
        <f t="shared" si="15"/>
        <v/>
      </c>
      <c r="Z38" s="34">
        <f t="shared" si="38"/>
        <v>596</v>
      </c>
      <c r="AA38" s="35">
        <v>0</v>
      </c>
      <c r="AB38" s="35">
        <f t="shared" si="39"/>
        <v>119</v>
      </c>
      <c r="AC38" s="45">
        <f t="shared" si="40"/>
        <v>61.094420600858363</v>
      </c>
      <c r="AD38" s="34" t="str">
        <f t="shared" si="19"/>
        <v/>
      </c>
      <c r="AE38" s="35" t="str">
        <f t="shared" si="47"/>
        <v/>
      </c>
      <c r="AF38" s="35" t="str">
        <f t="shared" si="21"/>
        <v/>
      </c>
      <c r="AG38" s="45" t="str">
        <f t="shared" si="22"/>
        <v/>
      </c>
      <c r="AH38" s="34" t="str">
        <f t="shared" si="41"/>
        <v/>
      </c>
      <c r="AI38" s="35">
        <v>0</v>
      </c>
      <c r="AJ38" s="35" t="str">
        <f t="shared" si="42"/>
        <v/>
      </c>
      <c r="AK38" s="45" t="str">
        <f t="shared" si="43"/>
        <v/>
      </c>
      <c r="AL38" s="34" t="str">
        <f t="shared" si="26"/>
        <v/>
      </c>
      <c r="AM38" s="35" t="str">
        <f t="shared" si="48"/>
        <v/>
      </c>
      <c r="AN38" s="35" t="str">
        <f t="shared" si="28"/>
        <v/>
      </c>
      <c r="AO38" s="45" t="str">
        <f t="shared" si="29"/>
        <v/>
      </c>
      <c r="AP38" s="34" t="str">
        <f t="shared" si="30"/>
        <v/>
      </c>
      <c r="AQ38" s="40" t="str">
        <f t="shared" si="49"/>
        <v/>
      </c>
      <c r="AR38" s="35" t="str">
        <f t="shared" si="32"/>
        <v/>
      </c>
      <c r="AS38" s="45" t="str">
        <f t="shared" si="33"/>
        <v/>
      </c>
      <c r="AT38" s="149">
        <v>466</v>
      </c>
      <c r="AU38" s="20">
        <v>78</v>
      </c>
      <c r="AV38" s="150">
        <v>365</v>
      </c>
      <c r="AW38" s="151">
        <f t="shared" si="34"/>
        <v>0.78326180257510725</v>
      </c>
    </row>
    <row r="39" spans="1:49" x14ac:dyDescent="0.2">
      <c r="A39" s="71" t="s">
        <v>58</v>
      </c>
      <c r="B39" s="20">
        <v>1675</v>
      </c>
      <c r="C39" s="20">
        <v>1998</v>
      </c>
      <c r="D39" s="20">
        <v>233</v>
      </c>
      <c r="E39" s="280">
        <f t="shared" si="0"/>
        <v>141.05503144654088</v>
      </c>
      <c r="F39" s="51" t="s">
        <v>25</v>
      </c>
      <c r="G39" s="52" t="s">
        <v>25</v>
      </c>
      <c r="H39" s="52" t="s">
        <v>25</v>
      </c>
      <c r="I39" s="53" t="str">
        <f t="shared" si="44"/>
        <v>Yes</v>
      </c>
      <c r="J39" s="34">
        <f t="shared" si="2"/>
        <v>1998</v>
      </c>
      <c r="K39" s="35">
        <v>0</v>
      </c>
      <c r="L39" s="35">
        <f t="shared" si="3"/>
        <v>233</v>
      </c>
      <c r="M39" s="45">
        <f t="shared" si="4"/>
        <v>141.05503144654088</v>
      </c>
      <c r="N39" s="34" t="str">
        <f t="shared" si="5"/>
        <v/>
      </c>
      <c r="O39" s="35" t="str">
        <f t="shared" si="45"/>
        <v/>
      </c>
      <c r="P39" s="35" t="str">
        <f t="shared" si="53"/>
        <v/>
      </c>
      <c r="Q39" s="45" t="str">
        <f t="shared" si="54"/>
        <v/>
      </c>
      <c r="R39" s="34" t="str">
        <f t="shared" si="50"/>
        <v/>
      </c>
      <c r="S39" s="35">
        <v>0</v>
      </c>
      <c r="T39" s="35" t="str">
        <f t="shared" si="51"/>
        <v/>
      </c>
      <c r="U39" s="45" t="str">
        <f t="shared" si="52"/>
        <v/>
      </c>
      <c r="V39" s="34" t="str">
        <f t="shared" si="12"/>
        <v/>
      </c>
      <c r="W39" s="35" t="str">
        <f t="shared" si="46"/>
        <v/>
      </c>
      <c r="X39" s="35" t="str">
        <f t="shared" si="14"/>
        <v/>
      </c>
      <c r="Y39" s="45" t="str">
        <f t="shared" si="15"/>
        <v/>
      </c>
      <c r="Z39" s="34" t="str">
        <f t="shared" si="38"/>
        <v/>
      </c>
      <c r="AA39" s="35">
        <v>0</v>
      </c>
      <c r="AB39" s="35" t="str">
        <f t="shared" si="39"/>
        <v/>
      </c>
      <c r="AC39" s="45" t="str">
        <f t="shared" si="40"/>
        <v/>
      </c>
      <c r="AD39" s="34" t="str">
        <f t="shared" si="19"/>
        <v/>
      </c>
      <c r="AE39" s="35" t="str">
        <f t="shared" si="47"/>
        <v/>
      </c>
      <c r="AF39" s="35" t="str">
        <f t="shared" si="21"/>
        <v/>
      </c>
      <c r="AG39" s="45" t="str">
        <f t="shared" si="22"/>
        <v/>
      </c>
      <c r="AH39" s="34" t="str">
        <f t="shared" si="41"/>
        <v/>
      </c>
      <c r="AI39" s="35">
        <v>0</v>
      </c>
      <c r="AJ39" s="35" t="str">
        <f t="shared" si="42"/>
        <v/>
      </c>
      <c r="AK39" s="45" t="str">
        <f t="shared" si="43"/>
        <v/>
      </c>
      <c r="AL39" s="34" t="str">
        <f t="shared" si="26"/>
        <v/>
      </c>
      <c r="AM39" s="35" t="str">
        <f t="shared" si="48"/>
        <v/>
      </c>
      <c r="AN39" s="35" t="str">
        <f t="shared" si="28"/>
        <v/>
      </c>
      <c r="AO39" s="45" t="str">
        <f t="shared" si="29"/>
        <v/>
      </c>
      <c r="AP39" s="34" t="str">
        <f t="shared" si="30"/>
        <v/>
      </c>
      <c r="AQ39" s="40" t="str">
        <f t="shared" si="49"/>
        <v/>
      </c>
      <c r="AR39" s="35" t="str">
        <f t="shared" si="32"/>
        <v/>
      </c>
      <c r="AS39" s="45" t="str">
        <f t="shared" si="33"/>
        <v/>
      </c>
      <c r="AT39" s="149">
        <v>1272</v>
      </c>
      <c r="AU39" s="20">
        <v>283</v>
      </c>
      <c r="AV39" s="150">
        <v>634</v>
      </c>
      <c r="AW39" s="151">
        <f t="shared" si="34"/>
        <v>0.49842767295597484</v>
      </c>
    </row>
    <row r="40" spans="1:49" x14ac:dyDescent="0.2">
      <c r="A40" s="71" t="s">
        <v>59</v>
      </c>
      <c r="B40" s="20">
        <v>783</v>
      </c>
      <c r="C40" s="20">
        <v>804</v>
      </c>
      <c r="D40" s="20">
        <v>366</v>
      </c>
      <c r="E40" s="280">
        <f t="shared" si="0"/>
        <v>174</v>
      </c>
      <c r="F40" s="51" t="s">
        <v>25</v>
      </c>
      <c r="G40" s="52"/>
      <c r="H40" s="52"/>
      <c r="I40" s="53" t="str">
        <f t="shared" si="44"/>
        <v>Yes</v>
      </c>
      <c r="J40" s="34" t="str">
        <f t="shared" si="2"/>
        <v/>
      </c>
      <c r="K40" s="35">
        <v>0</v>
      </c>
      <c r="L40" s="35" t="str">
        <f t="shared" si="3"/>
        <v/>
      </c>
      <c r="M40" s="45" t="str">
        <f t="shared" si="4"/>
        <v/>
      </c>
      <c r="N40" s="34" t="str">
        <f t="shared" si="5"/>
        <v/>
      </c>
      <c r="O40" s="35" t="str">
        <f t="shared" si="45"/>
        <v/>
      </c>
      <c r="P40" s="35" t="str">
        <f t="shared" si="53"/>
        <v/>
      </c>
      <c r="Q40" s="45" t="str">
        <f t="shared" si="54"/>
        <v/>
      </c>
      <c r="R40" s="34" t="str">
        <f t="shared" si="50"/>
        <v/>
      </c>
      <c r="S40" s="35">
        <v>0</v>
      </c>
      <c r="T40" s="35" t="str">
        <f t="shared" si="51"/>
        <v/>
      </c>
      <c r="U40" s="45" t="str">
        <f t="shared" si="52"/>
        <v/>
      </c>
      <c r="V40" s="34" t="str">
        <f t="shared" si="12"/>
        <v/>
      </c>
      <c r="W40" s="35" t="str">
        <f t="shared" si="46"/>
        <v/>
      </c>
      <c r="X40" s="35" t="str">
        <f t="shared" si="14"/>
        <v/>
      </c>
      <c r="Y40" s="45" t="str">
        <f t="shared" si="15"/>
        <v/>
      </c>
      <c r="Z40" s="34" t="str">
        <f t="shared" si="38"/>
        <v/>
      </c>
      <c r="AA40" s="35">
        <v>0</v>
      </c>
      <c r="AB40" s="35" t="str">
        <f t="shared" si="39"/>
        <v/>
      </c>
      <c r="AC40" s="45" t="str">
        <f t="shared" si="40"/>
        <v/>
      </c>
      <c r="AD40" s="34" t="str">
        <f t="shared" si="19"/>
        <v/>
      </c>
      <c r="AE40" s="35" t="str">
        <f t="shared" si="47"/>
        <v/>
      </c>
      <c r="AF40" s="35" t="str">
        <f t="shared" si="21"/>
        <v/>
      </c>
      <c r="AG40" s="45" t="str">
        <f t="shared" si="22"/>
        <v/>
      </c>
      <c r="AH40" s="34">
        <f t="shared" si="41"/>
        <v>804</v>
      </c>
      <c r="AI40" s="35">
        <v>0</v>
      </c>
      <c r="AJ40" s="35">
        <f t="shared" si="42"/>
        <v>366</v>
      </c>
      <c r="AK40" s="45">
        <f t="shared" si="43"/>
        <v>174</v>
      </c>
      <c r="AL40" s="34" t="str">
        <f t="shared" si="26"/>
        <v/>
      </c>
      <c r="AM40" s="35" t="str">
        <f t="shared" si="48"/>
        <v/>
      </c>
      <c r="AN40" s="35" t="str">
        <f t="shared" si="28"/>
        <v/>
      </c>
      <c r="AO40" s="45" t="str">
        <f t="shared" si="29"/>
        <v/>
      </c>
      <c r="AP40" s="34" t="str">
        <f t="shared" si="30"/>
        <v/>
      </c>
      <c r="AQ40" s="40" t="str">
        <f t="shared" si="49"/>
        <v/>
      </c>
      <c r="AR40" s="35" t="str">
        <f t="shared" si="32"/>
        <v/>
      </c>
      <c r="AS40" s="45" t="str">
        <f t="shared" si="33"/>
        <v/>
      </c>
      <c r="AT40" s="149">
        <v>687</v>
      </c>
      <c r="AU40" s="20">
        <v>174</v>
      </c>
      <c r="AV40" s="150">
        <v>697</v>
      </c>
      <c r="AW40" s="151">
        <f t="shared" si="34"/>
        <v>1.0145560407569141</v>
      </c>
    </row>
    <row r="41" spans="1:49" x14ac:dyDescent="0.2">
      <c r="A41" s="71" t="s">
        <v>60</v>
      </c>
      <c r="B41" s="20">
        <v>19372</v>
      </c>
      <c r="C41" s="20">
        <v>19874</v>
      </c>
      <c r="D41" s="20">
        <v>6550</v>
      </c>
      <c r="E41" s="280">
        <f t="shared" si="0"/>
        <v>3596.0975743456215</v>
      </c>
      <c r="F41" s="51" t="s">
        <v>25</v>
      </c>
      <c r="G41" s="52" t="s">
        <v>25</v>
      </c>
      <c r="H41" s="52" t="s">
        <v>25</v>
      </c>
      <c r="I41" s="53" t="str">
        <f t="shared" si="44"/>
        <v>Yes</v>
      </c>
      <c r="J41" s="34">
        <f t="shared" si="2"/>
        <v>19874</v>
      </c>
      <c r="K41" s="35">
        <v>0</v>
      </c>
      <c r="L41" s="35">
        <f t="shared" si="3"/>
        <v>6550</v>
      </c>
      <c r="M41" s="45">
        <f t="shared" si="4"/>
        <v>3596.0975743456215</v>
      </c>
      <c r="N41" s="34" t="str">
        <f t="shared" si="5"/>
        <v/>
      </c>
      <c r="O41" s="35" t="str">
        <f t="shared" si="45"/>
        <v/>
      </c>
      <c r="P41" s="35" t="str">
        <f t="shared" si="53"/>
        <v/>
      </c>
      <c r="Q41" s="45" t="str">
        <f t="shared" si="54"/>
        <v/>
      </c>
      <c r="R41" s="34" t="str">
        <f t="shared" si="50"/>
        <v/>
      </c>
      <c r="S41" s="35">
        <v>0</v>
      </c>
      <c r="T41" s="35" t="str">
        <f t="shared" si="51"/>
        <v/>
      </c>
      <c r="U41" s="45" t="str">
        <f t="shared" si="52"/>
        <v/>
      </c>
      <c r="V41" s="34" t="str">
        <f t="shared" si="12"/>
        <v/>
      </c>
      <c r="W41" s="35" t="str">
        <f t="shared" si="46"/>
        <v/>
      </c>
      <c r="X41" s="35" t="str">
        <f t="shared" si="14"/>
        <v/>
      </c>
      <c r="Y41" s="45" t="str">
        <f t="shared" si="15"/>
        <v/>
      </c>
      <c r="Z41" s="34" t="str">
        <f t="shared" si="38"/>
        <v/>
      </c>
      <c r="AA41" s="35">
        <v>0</v>
      </c>
      <c r="AB41" s="35" t="str">
        <f t="shared" si="39"/>
        <v/>
      </c>
      <c r="AC41" s="45" t="str">
        <f t="shared" si="40"/>
        <v/>
      </c>
      <c r="AD41" s="34" t="str">
        <f t="shared" si="19"/>
        <v/>
      </c>
      <c r="AE41" s="35" t="str">
        <f t="shared" si="47"/>
        <v/>
      </c>
      <c r="AF41" s="35" t="str">
        <f t="shared" si="21"/>
        <v/>
      </c>
      <c r="AG41" s="45" t="str">
        <f t="shared" si="22"/>
        <v/>
      </c>
      <c r="AH41" s="34" t="str">
        <f t="shared" si="41"/>
        <v/>
      </c>
      <c r="AI41" s="35">
        <v>0</v>
      </c>
      <c r="AJ41" s="35" t="str">
        <f t="shared" si="42"/>
        <v/>
      </c>
      <c r="AK41" s="45" t="str">
        <f t="shared" si="43"/>
        <v/>
      </c>
      <c r="AL41" s="34" t="str">
        <f t="shared" si="26"/>
        <v/>
      </c>
      <c r="AM41" s="35" t="str">
        <f t="shared" si="48"/>
        <v/>
      </c>
      <c r="AN41" s="35" t="str">
        <f t="shared" si="28"/>
        <v/>
      </c>
      <c r="AO41" s="45" t="str">
        <f t="shared" si="29"/>
        <v/>
      </c>
      <c r="AP41" s="34" t="str">
        <f t="shared" si="30"/>
        <v/>
      </c>
      <c r="AQ41" s="40" t="str">
        <f t="shared" si="49"/>
        <v/>
      </c>
      <c r="AR41" s="35" t="str">
        <f t="shared" si="32"/>
        <v/>
      </c>
      <c r="AS41" s="45" t="str">
        <f t="shared" si="33"/>
        <v/>
      </c>
      <c r="AT41" s="149">
        <v>14594</v>
      </c>
      <c r="AU41" s="20">
        <v>3604</v>
      </c>
      <c r="AV41" s="150">
        <v>14562</v>
      </c>
      <c r="AW41" s="151">
        <f t="shared" si="34"/>
        <v>0.9978073180759216</v>
      </c>
    </row>
    <row r="42" spans="1:49" x14ac:dyDescent="0.2">
      <c r="A42" s="71" t="s">
        <v>61</v>
      </c>
      <c r="B42" s="20">
        <v>5190</v>
      </c>
      <c r="C42" s="20">
        <v>5049</v>
      </c>
      <c r="D42" s="20">
        <v>1171</v>
      </c>
      <c r="E42" s="280">
        <f t="shared" si="0"/>
        <v>709.35522388059701</v>
      </c>
      <c r="F42" s="51" t="s">
        <v>25</v>
      </c>
      <c r="G42" s="52" t="s">
        <v>25</v>
      </c>
      <c r="H42" s="52" t="s">
        <v>25</v>
      </c>
      <c r="I42" s="53" t="str">
        <f t="shared" si="44"/>
        <v>Yes</v>
      </c>
      <c r="J42" s="34">
        <f t="shared" si="2"/>
        <v>5049</v>
      </c>
      <c r="K42" s="35">
        <v>0</v>
      </c>
      <c r="L42" s="35">
        <f t="shared" si="3"/>
        <v>1171</v>
      </c>
      <c r="M42" s="45">
        <f t="shared" si="4"/>
        <v>709.35522388059701</v>
      </c>
      <c r="N42" s="34" t="str">
        <f t="shared" si="5"/>
        <v/>
      </c>
      <c r="O42" s="35" t="str">
        <f t="shared" si="45"/>
        <v/>
      </c>
      <c r="P42" s="35" t="str">
        <f t="shared" si="53"/>
        <v/>
      </c>
      <c r="Q42" s="45" t="str">
        <f t="shared" si="54"/>
        <v/>
      </c>
      <c r="R42" s="34" t="str">
        <f t="shared" si="50"/>
        <v/>
      </c>
      <c r="S42" s="35">
        <v>0</v>
      </c>
      <c r="T42" s="35" t="str">
        <f t="shared" si="51"/>
        <v/>
      </c>
      <c r="U42" s="45" t="str">
        <f t="shared" si="52"/>
        <v/>
      </c>
      <c r="V42" s="34" t="str">
        <f t="shared" si="12"/>
        <v/>
      </c>
      <c r="W42" s="35" t="str">
        <f t="shared" si="46"/>
        <v/>
      </c>
      <c r="X42" s="35" t="str">
        <f t="shared" si="14"/>
        <v/>
      </c>
      <c r="Y42" s="45" t="str">
        <f t="shared" si="15"/>
        <v/>
      </c>
      <c r="Z42" s="34" t="str">
        <f t="shared" si="38"/>
        <v/>
      </c>
      <c r="AA42" s="35">
        <v>0</v>
      </c>
      <c r="AB42" s="35" t="str">
        <f t="shared" si="39"/>
        <v/>
      </c>
      <c r="AC42" s="45" t="str">
        <f t="shared" si="40"/>
        <v/>
      </c>
      <c r="AD42" s="34" t="str">
        <f t="shared" si="19"/>
        <v/>
      </c>
      <c r="AE42" s="35" t="str">
        <f t="shared" si="47"/>
        <v/>
      </c>
      <c r="AF42" s="35" t="str">
        <f t="shared" si="21"/>
        <v/>
      </c>
      <c r="AG42" s="45" t="str">
        <f t="shared" si="22"/>
        <v/>
      </c>
      <c r="AH42" s="34" t="str">
        <f t="shared" si="41"/>
        <v/>
      </c>
      <c r="AI42" s="35">
        <v>0</v>
      </c>
      <c r="AJ42" s="35" t="str">
        <f t="shared" si="42"/>
        <v/>
      </c>
      <c r="AK42" s="45" t="str">
        <f t="shared" si="43"/>
        <v/>
      </c>
      <c r="AL42" s="34" t="str">
        <f t="shared" si="26"/>
        <v/>
      </c>
      <c r="AM42" s="35" t="str">
        <f t="shared" si="48"/>
        <v/>
      </c>
      <c r="AN42" s="35" t="str">
        <f t="shared" si="28"/>
        <v/>
      </c>
      <c r="AO42" s="45" t="str">
        <f t="shared" si="29"/>
        <v/>
      </c>
      <c r="AP42" s="34" t="str">
        <f t="shared" si="30"/>
        <v/>
      </c>
      <c r="AQ42" s="40" t="str">
        <f t="shared" si="49"/>
        <v/>
      </c>
      <c r="AR42" s="35" t="str">
        <f t="shared" si="32"/>
        <v/>
      </c>
      <c r="AS42" s="45" t="str">
        <f t="shared" si="33"/>
        <v/>
      </c>
      <c r="AT42" s="149">
        <v>3015</v>
      </c>
      <c r="AU42" s="20">
        <v>786</v>
      </c>
      <c r="AV42" s="150">
        <v>2721</v>
      </c>
      <c r="AW42" s="151">
        <f t="shared" si="34"/>
        <v>0.90248756218905468</v>
      </c>
    </row>
    <row r="43" spans="1:49" x14ac:dyDescent="0.2">
      <c r="A43" s="71" t="s">
        <v>72</v>
      </c>
      <c r="B43" s="20">
        <v>0</v>
      </c>
      <c r="C43" s="20">
        <v>0</v>
      </c>
      <c r="D43" s="20">
        <v>0</v>
      </c>
      <c r="E43" s="280">
        <f t="shared" si="0"/>
        <v>0</v>
      </c>
      <c r="F43" s="171" t="s">
        <v>25</v>
      </c>
      <c r="G43" s="172" t="s">
        <v>25</v>
      </c>
      <c r="H43" s="172" t="s">
        <v>25</v>
      </c>
      <c r="I43" s="53" t="str">
        <f t="shared" si="44"/>
        <v/>
      </c>
      <c r="J43" s="34" t="str">
        <f t="shared" si="2"/>
        <v/>
      </c>
      <c r="K43" s="35">
        <v>0</v>
      </c>
      <c r="L43" s="35" t="str">
        <f t="shared" si="3"/>
        <v/>
      </c>
      <c r="M43" s="45" t="str">
        <f t="shared" si="4"/>
        <v/>
      </c>
      <c r="N43" s="34">
        <f t="shared" si="5"/>
        <v>0</v>
      </c>
      <c r="O43" s="35">
        <f t="shared" si="45"/>
        <v>0</v>
      </c>
      <c r="P43" s="35">
        <f t="shared" si="53"/>
        <v>0</v>
      </c>
      <c r="Q43" s="45">
        <f t="shared" si="54"/>
        <v>0</v>
      </c>
      <c r="R43" s="34" t="str">
        <f t="shared" si="50"/>
        <v/>
      </c>
      <c r="S43" s="35">
        <v>0</v>
      </c>
      <c r="T43" s="35" t="str">
        <f t="shared" si="51"/>
        <v/>
      </c>
      <c r="U43" s="45" t="str">
        <f t="shared" si="52"/>
        <v/>
      </c>
      <c r="V43" s="34" t="str">
        <f t="shared" si="12"/>
        <v/>
      </c>
      <c r="W43" s="35" t="str">
        <f t="shared" si="46"/>
        <v/>
      </c>
      <c r="X43" s="35" t="str">
        <f t="shared" si="14"/>
        <v/>
      </c>
      <c r="Y43" s="45" t="str">
        <f t="shared" si="15"/>
        <v/>
      </c>
      <c r="Z43" s="34" t="str">
        <f t="shared" si="38"/>
        <v/>
      </c>
      <c r="AA43" s="35">
        <v>0</v>
      </c>
      <c r="AB43" s="35" t="str">
        <f t="shared" si="39"/>
        <v/>
      </c>
      <c r="AC43" s="45" t="str">
        <f t="shared" si="40"/>
        <v/>
      </c>
      <c r="AD43" s="34" t="str">
        <f t="shared" si="19"/>
        <v/>
      </c>
      <c r="AE43" s="35" t="str">
        <f t="shared" si="47"/>
        <v/>
      </c>
      <c r="AF43" s="35" t="str">
        <f t="shared" si="21"/>
        <v/>
      </c>
      <c r="AG43" s="45" t="str">
        <f t="shared" si="22"/>
        <v/>
      </c>
      <c r="AH43" s="34" t="str">
        <f t="shared" si="41"/>
        <v/>
      </c>
      <c r="AI43" s="35">
        <v>0</v>
      </c>
      <c r="AJ43" s="35" t="str">
        <f t="shared" si="42"/>
        <v/>
      </c>
      <c r="AK43" s="45" t="str">
        <f t="shared" si="43"/>
        <v/>
      </c>
      <c r="AL43" s="34" t="str">
        <f t="shared" si="26"/>
        <v/>
      </c>
      <c r="AM43" s="35" t="str">
        <f t="shared" si="48"/>
        <v/>
      </c>
      <c r="AN43" s="35" t="str">
        <f t="shared" si="28"/>
        <v/>
      </c>
      <c r="AO43" s="45" t="str">
        <f t="shared" si="29"/>
        <v/>
      </c>
      <c r="AP43" s="34" t="str">
        <f t="shared" si="30"/>
        <v/>
      </c>
      <c r="AQ43" s="40" t="str">
        <f t="shared" si="49"/>
        <v/>
      </c>
      <c r="AR43" s="35" t="str">
        <f t="shared" si="32"/>
        <v/>
      </c>
      <c r="AS43" s="45" t="str">
        <f t="shared" si="33"/>
        <v/>
      </c>
      <c r="AT43" s="149">
        <v>0</v>
      </c>
      <c r="AU43" s="20">
        <v>0</v>
      </c>
      <c r="AV43" s="150">
        <v>0</v>
      </c>
      <c r="AW43" s="151">
        <f t="shared" si="34"/>
        <v>0</v>
      </c>
    </row>
    <row r="44" spans="1:49" x14ac:dyDescent="0.2">
      <c r="A44" s="71" t="s">
        <v>62</v>
      </c>
      <c r="B44" s="20">
        <v>1263</v>
      </c>
      <c r="C44" s="20">
        <v>1261</v>
      </c>
      <c r="D44" s="20">
        <v>149</v>
      </c>
      <c r="E44" s="280">
        <f t="shared" si="0"/>
        <v>38.777777777777779</v>
      </c>
      <c r="F44" s="51" t="s">
        <v>25</v>
      </c>
      <c r="G44" s="52"/>
      <c r="H44" s="52"/>
      <c r="I44" s="53" t="str">
        <f t="shared" si="44"/>
        <v>Yes</v>
      </c>
      <c r="J44" s="34" t="str">
        <f t="shared" si="2"/>
        <v/>
      </c>
      <c r="K44" s="35">
        <v>0</v>
      </c>
      <c r="L44" s="35" t="str">
        <f t="shared" si="3"/>
        <v/>
      </c>
      <c r="M44" s="45" t="str">
        <f t="shared" si="4"/>
        <v/>
      </c>
      <c r="N44" s="34" t="str">
        <f t="shared" si="5"/>
        <v/>
      </c>
      <c r="O44" s="35" t="str">
        <f t="shared" si="45"/>
        <v/>
      </c>
      <c r="P44" s="35" t="str">
        <f t="shared" si="53"/>
        <v/>
      </c>
      <c r="Q44" s="45" t="str">
        <f t="shared" si="54"/>
        <v/>
      </c>
      <c r="R44" s="34" t="str">
        <f t="shared" si="50"/>
        <v/>
      </c>
      <c r="S44" s="35">
        <v>0</v>
      </c>
      <c r="T44" s="35" t="str">
        <f t="shared" si="51"/>
        <v/>
      </c>
      <c r="U44" s="45" t="str">
        <f t="shared" si="52"/>
        <v/>
      </c>
      <c r="V44" s="34" t="str">
        <f t="shared" si="12"/>
        <v/>
      </c>
      <c r="W44" s="35" t="str">
        <f t="shared" si="46"/>
        <v/>
      </c>
      <c r="X44" s="35" t="str">
        <f t="shared" si="14"/>
        <v/>
      </c>
      <c r="Y44" s="45" t="str">
        <f t="shared" si="15"/>
        <v/>
      </c>
      <c r="Z44" s="34" t="str">
        <f t="shared" si="38"/>
        <v/>
      </c>
      <c r="AA44" s="35">
        <v>0</v>
      </c>
      <c r="AB44" s="35" t="str">
        <f t="shared" si="39"/>
        <v/>
      </c>
      <c r="AC44" s="45" t="str">
        <f t="shared" si="40"/>
        <v/>
      </c>
      <c r="AD44" s="34" t="str">
        <f t="shared" si="19"/>
        <v/>
      </c>
      <c r="AE44" s="35" t="str">
        <f t="shared" si="47"/>
        <v/>
      </c>
      <c r="AF44" s="35" t="str">
        <f t="shared" si="21"/>
        <v/>
      </c>
      <c r="AG44" s="45" t="str">
        <f t="shared" si="22"/>
        <v/>
      </c>
      <c r="AH44" s="34">
        <f t="shared" si="41"/>
        <v>1261</v>
      </c>
      <c r="AI44" s="35">
        <v>0</v>
      </c>
      <c r="AJ44" s="35">
        <f t="shared" si="42"/>
        <v>149</v>
      </c>
      <c r="AK44" s="45">
        <f t="shared" si="43"/>
        <v>38.777777777777779</v>
      </c>
      <c r="AL44" s="34" t="str">
        <f t="shared" si="26"/>
        <v/>
      </c>
      <c r="AM44" s="35" t="str">
        <f t="shared" si="48"/>
        <v/>
      </c>
      <c r="AN44" s="35" t="str">
        <f t="shared" si="28"/>
        <v/>
      </c>
      <c r="AO44" s="45" t="str">
        <f t="shared" si="29"/>
        <v/>
      </c>
      <c r="AP44" s="34" t="str">
        <f t="shared" si="30"/>
        <v/>
      </c>
      <c r="AQ44" s="40" t="str">
        <f t="shared" si="49"/>
        <v/>
      </c>
      <c r="AR44" s="35" t="str">
        <f t="shared" si="32"/>
        <v/>
      </c>
      <c r="AS44" s="45" t="str">
        <f t="shared" si="33"/>
        <v/>
      </c>
      <c r="AT44" s="149">
        <v>405</v>
      </c>
      <c r="AU44" s="20">
        <v>45</v>
      </c>
      <c r="AV44" s="150">
        <v>349</v>
      </c>
      <c r="AW44" s="151">
        <f t="shared" si="34"/>
        <v>0.86172839506172838</v>
      </c>
    </row>
    <row r="45" spans="1:49" x14ac:dyDescent="0.2">
      <c r="A45" s="71" t="s">
        <v>63</v>
      </c>
      <c r="B45" s="20">
        <v>861</v>
      </c>
      <c r="C45" s="20">
        <v>919</v>
      </c>
      <c r="D45" s="20">
        <v>241</v>
      </c>
      <c r="E45" s="280">
        <f t="shared" si="0"/>
        <v>216.80281690140845</v>
      </c>
      <c r="F45" s="51" t="s">
        <v>25</v>
      </c>
      <c r="G45" s="52"/>
      <c r="H45" s="52"/>
      <c r="I45" s="53" t="str">
        <f t="shared" si="44"/>
        <v>Yes</v>
      </c>
      <c r="J45" s="34" t="str">
        <f t="shared" si="2"/>
        <v/>
      </c>
      <c r="K45" s="35">
        <v>0</v>
      </c>
      <c r="L45" s="35" t="str">
        <f t="shared" si="3"/>
        <v/>
      </c>
      <c r="M45" s="45" t="str">
        <f t="shared" si="4"/>
        <v/>
      </c>
      <c r="N45" s="34" t="str">
        <f t="shared" si="5"/>
        <v/>
      </c>
      <c r="O45" s="35" t="str">
        <f t="shared" si="45"/>
        <v/>
      </c>
      <c r="P45" s="35" t="str">
        <f t="shared" si="53"/>
        <v/>
      </c>
      <c r="Q45" s="45" t="str">
        <f t="shared" si="54"/>
        <v/>
      </c>
      <c r="R45" s="34" t="str">
        <f t="shared" si="50"/>
        <v/>
      </c>
      <c r="S45" s="35">
        <v>0</v>
      </c>
      <c r="T45" s="35" t="str">
        <f t="shared" si="51"/>
        <v/>
      </c>
      <c r="U45" s="45" t="str">
        <f t="shared" si="52"/>
        <v/>
      </c>
      <c r="V45" s="34" t="str">
        <f t="shared" si="12"/>
        <v/>
      </c>
      <c r="W45" s="35" t="str">
        <f t="shared" si="46"/>
        <v/>
      </c>
      <c r="X45" s="35" t="str">
        <f t="shared" si="14"/>
        <v/>
      </c>
      <c r="Y45" s="45" t="str">
        <f t="shared" si="15"/>
        <v/>
      </c>
      <c r="Z45" s="34" t="str">
        <f t="shared" si="38"/>
        <v/>
      </c>
      <c r="AA45" s="35">
        <v>0</v>
      </c>
      <c r="AB45" s="35" t="str">
        <f t="shared" si="39"/>
        <v/>
      </c>
      <c r="AC45" s="45" t="str">
        <f t="shared" si="40"/>
        <v/>
      </c>
      <c r="AD45" s="34" t="str">
        <f t="shared" si="19"/>
        <v/>
      </c>
      <c r="AE45" s="35" t="str">
        <f t="shared" si="47"/>
        <v/>
      </c>
      <c r="AF45" s="35" t="str">
        <f t="shared" si="21"/>
        <v/>
      </c>
      <c r="AG45" s="45" t="str">
        <f t="shared" si="22"/>
        <v/>
      </c>
      <c r="AH45" s="34">
        <f t="shared" si="41"/>
        <v>919</v>
      </c>
      <c r="AI45" s="35">
        <v>0</v>
      </c>
      <c r="AJ45" s="35">
        <f t="shared" si="42"/>
        <v>241</v>
      </c>
      <c r="AK45" s="45">
        <f t="shared" si="43"/>
        <v>216.80281690140845</v>
      </c>
      <c r="AL45" s="34" t="str">
        <f t="shared" si="26"/>
        <v/>
      </c>
      <c r="AM45" s="35" t="str">
        <f t="shared" si="48"/>
        <v/>
      </c>
      <c r="AN45" s="35" t="str">
        <f t="shared" si="28"/>
        <v/>
      </c>
      <c r="AO45" s="45" t="str">
        <f t="shared" si="29"/>
        <v/>
      </c>
      <c r="AP45" s="34" t="str">
        <f t="shared" si="30"/>
        <v/>
      </c>
      <c r="AQ45" s="40" t="str">
        <f t="shared" si="49"/>
        <v/>
      </c>
      <c r="AR45" s="35" t="str">
        <f t="shared" si="32"/>
        <v/>
      </c>
      <c r="AS45" s="45" t="str">
        <f t="shared" si="33"/>
        <v/>
      </c>
      <c r="AT45" s="149">
        <v>781</v>
      </c>
      <c r="AU45" s="20">
        <v>231</v>
      </c>
      <c r="AV45" s="150">
        <v>733</v>
      </c>
      <c r="AW45" s="151">
        <f t="shared" si="34"/>
        <v>0.93854033290653005</v>
      </c>
    </row>
    <row r="46" spans="1:49" x14ac:dyDescent="0.2">
      <c r="A46" s="71" t="s">
        <v>64</v>
      </c>
      <c r="B46" s="20">
        <v>2625</v>
      </c>
      <c r="C46" s="20">
        <v>2566</v>
      </c>
      <c r="D46" s="20">
        <v>207</v>
      </c>
      <c r="E46" s="280">
        <f t="shared" si="0"/>
        <v>148.77479147358665</v>
      </c>
      <c r="F46" s="51" t="s">
        <v>25</v>
      </c>
      <c r="G46" s="52" t="s">
        <v>25</v>
      </c>
      <c r="H46" s="52" t="s">
        <v>25</v>
      </c>
      <c r="I46" s="53" t="str">
        <f t="shared" si="44"/>
        <v>Yes</v>
      </c>
      <c r="J46" s="34">
        <f t="shared" si="2"/>
        <v>2566</v>
      </c>
      <c r="K46" s="35">
        <v>0</v>
      </c>
      <c r="L46" s="35">
        <f t="shared" si="3"/>
        <v>207</v>
      </c>
      <c r="M46" s="45">
        <f t="shared" si="4"/>
        <v>148.77479147358665</v>
      </c>
      <c r="N46" s="34" t="str">
        <f t="shared" si="5"/>
        <v/>
      </c>
      <c r="O46" s="35" t="str">
        <f t="shared" si="45"/>
        <v/>
      </c>
      <c r="P46" s="35" t="str">
        <f t="shared" si="53"/>
        <v/>
      </c>
      <c r="Q46" s="45" t="str">
        <f t="shared" si="54"/>
        <v/>
      </c>
      <c r="R46" s="34" t="str">
        <f t="shared" si="50"/>
        <v/>
      </c>
      <c r="S46" s="35">
        <v>0</v>
      </c>
      <c r="T46" s="35" t="str">
        <f t="shared" si="51"/>
        <v/>
      </c>
      <c r="U46" s="45" t="str">
        <f t="shared" si="52"/>
        <v/>
      </c>
      <c r="V46" s="34" t="str">
        <f t="shared" si="12"/>
        <v/>
      </c>
      <c r="W46" s="35" t="str">
        <f t="shared" si="46"/>
        <v/>
      </c>
      <c r="X46" s="35" t="str">
        <f t="shared" si="14"/>
        <v/>
      </c>
      <c r="Y46" s="45" t="str">
        <f t="shared" si="15"/>
        <v/>
      </c>
      <c r="Z46" s="34" t="str">
        <f t="shared" si="38"/>
        <v/>
      </c>
      <c r="AA46" s="35">
        <v>0</v>
      </c>
      <c r="AB46" s="35" t="str">
        <f t="shared" si="39"/>
        <v/>
      </c>
      <c r="AC46" s="45" t="str">
        <f t="shared" si="40"/>
        <v/>
      </c>
      <c r="AD46" s="34" t="str">
        <f t="shared" si="19"/>
        <v/>
      </c>
      <c r="AE46" s="35" t="str">
        <f t="shared" si="47"/>
        <v/>
      </c>
      <c r="AF46" s="35" t="str">
        <f t="shared" si="21"/>
        <v/>
      </c>
      <c r="AG46" s="45" t="str">
        <f t="shared" si="22"/>
        <v/>
      </c>
      <c r="AH46" s="34" t="str">
        <f t="shared" si="41"/>
        <v/>
      </c>
      <c r="AI46" s="35">
        <v>0</v>
      </c>
      <c r="AJ46" s="35" t="str">
        <f t="shared" si="42"/>
        <v/>
      </c>
      <c r="AK46" s="45" t="str">
        <f t="shared" si="43"/>
        <v/>
      </c>
      <c r="AL46" s="34" t="str">
        <f t="shared" si="26"/>
        <v/>
      </c>
      <c r="AM46" s="35" t="str">
        <f t="shared" si="48"/>
        <v/>
      </c>
      <c r="AN46" s="35" t="str">
        <f t="shared" si="28"/>
        <v/>
      </c>
      <c r="AO46" s="45" t="str">
        <f t="shared" si="29"/>
        <v/>
      </c>
      <c r="AP46" s="34" t="str">
        <f t="shared" si="30"/>
        <v/>
      </c>
      <c r="AQ46" s="40" t="str">
        <f t="shared" si="49"/>
        <v/>
      </c>
      <c r="AR46" s="35" t="str">
        <f t="shared" si="32"/>
        <v/>
      </c>
      <c r="AS46" s="45" t="str">
        <f t="shared" si="33"/>
        <v/>
      </c>
      <c r="AT46" s="149">
        <v>1079</v>
      </c>
      <c r="AU46" s="20">
        <v>158</v>
      </c>
      <c r="AV46" s="150">
        <v>1016</v>
      </c>
      <c r="AW46" s="151">
        <f t="shared" si="34"/>
        <v>0.9416126042632067</v>
      </c>
    </row>
    <row r="47" spans="1:49" x14ac:dyDescent="0.2">
      <c r="A47" s="71" t="s">
        <v>65</v>
      </c>
      <c r="B47" s="20">
        <v>55359</v>
      </c>
      <c r="C47" s="20">
        <v>54932</v>
      </c>
      <c r="D47" s="20">
        <v>19829</v>
      </c>
      <c r="E47" s="280">
        <f t="shared" si="0"/>
        <v>15679</v>
      </c>
      <c r="F47" s="51" t="s">
        <v>25</v>
      </c>
      <c r="G47" s="52" t="s">
        <v>25</v>
      </c>
      <c r="H47" s="52" t="s">
        <v>25</v>
      </c>
      <c r="I47" s="53" t="str">
        <f t="shared" si="44"/>
        <v>Yes</v>
      </c>
      <c r="J47" s="34">
        <f t="shared" si="2"/>
        <v>54932</v>
      </c>
      <c r="K47" s="35">
        <v>0</v>
      </c>
      <c r="L47" s="35">
        <f t="shared" si="3"/>
        <v>19829</v>
      </c>
      <c r="M47" s="45">
        <f t="shared" si="4"/>
        <v>15679</v>
      </c>
      <c r="N47" s="34" t="str">
        <f t="shared" si="5"/>
        <v/>
      </c>
      <c r="O47" s="35" t="str">
        <f t="shared" si="45"/>
        <v/>
      </c>
      <c r="P47" s="35" t="str">
        <f t="shared" si="53"/>
        <v/>
      </c>
      <c r="Q47" s="45" t="str">
        <f t="shared" si="54"/>
        <v/>
      </c>
      <c r="R47" s="34" t="str">
        <f t="shared" si="50"/>
        <v/>
      </c>
      <c r="S47" s="35">
        <v>0</v>
      </c>
      <c r="T47" s="35" t="str">
        <f t="shared" si="51"/>
        <v/>
      </c>
      <c r="U47" s="45" t="str">
        <f t="shared" si="52"/>
        <v/>
      </c>
      <c r="V47" s="34" t="str">
        <f t="shared" si="12"/>
        <v/>
      </c>
      <c r="W47" s="35" t="str">
        <f t="shared" si="46"/>
        <v/>
      </c>
      <c r="X47" s="35" t="str">
        <f t="shared" si="14"/>
        <v/>
      </c>
      <c r="Y47" s="45" t="str">
        <f t="shared" si="15"/>
        <v/>
      </c>
      <c r="Z47" s="34" t="str">
        <f t="shared" si="38"/>
        <v/>
      </c>
      <c r="AA47" s="35">
        <v>0</v>
      </c>
      <c r="AB47" s="35" t="str">
        <f t="shared" si="39"/>
        <v/>
      </c>
      <c r="AC47" s="45" t="str">
        <f t="shared" si="40"/>
        <v/>
      </c>
      <c r="AD47" s="34" t="str">
        <f t="shared" si="19"/>
        <v/>
      </c>
      <c r="AE47" s="35" t="str">
        <f t="shared" si="47"/>
        <v/>
      </c>
      <c r="AF47" s="35" t="str">
        <f t="shared" si="21"/>
        <v/>
      </c>
      <c r="AG47" s="45" t="str">
        <f t="shared" si="22"/>
        <v/>
      </c>
      <c r="AH47" s="34" t="str">
        <f t="shared" si="41"/>
        <v/>
      </c>
      <c r="AI47" s="35">
        <v>0</v>
      </c>
      <c r="AJ47" s="35" t="str">
        <f t="shared" si="42"/>
        <v/>
      </c>
      <c r="AK47" s="45" t="str">
        <f t="shared" si="43"/>
        <v/>
      </c>
      <c r="AL47" s="34" t="str">
        <f t="shared" si="26"/>
        <v/>
      </c>
      <c r="AM47" s="35" t="str">
        <f t="shared" si="48"/>
        <v/>
      </c>
      <c r="AN47" s="35" t="str">
        <f t="shared" si="28"/>
        <v/>
      </c>
      <c r="AO47" s="45" t="str">
        <f t="shared" si="29"/>
        <v/>
      </c>
      <c r="AP47" s="34" t="str">
        <f t="shared" si="30"/>
        <v/>
      </c>
      <c r="AQ47" s="40" t="str">
        <f t="shared" si="49"/>
        <v/>
      </c>
      <c r="AR47" s="35" t="str">
        <f t="shared" si="32"/>
        <v/>
      </c>
      <c r="AS47" s="45" t="str">
        <f t="shared" si="33"/>
        <v/>
      </c>
      <c r="AT47" s="149">
        <v>46453</v>
      </c>
      <c r="AU47" s="20">
        <v>15679</v>
      </c>
      <c r="AV47" s="150">
        <v>54202</v>
      </c>
      <c r="AW47" s="151">
        <f t="shared" si="34"/>
        <v>1.1668137687555162</v>
      </c>
    </row>
    <row r="48" spans="1:49" x14ac:dyDescent="0.2">
      <c r="A48" s="71" t="s">
        <v>66</v>
      </c>
      <c r="B48" s="20">
        <v>346</v>
      </c>
      <c r="C48" s="20">
        <v>1370</v>
      </c>
      <c r="D48" s="20">
        <v>502</v>
      </c>
      <c r="E48" s="280">
        <f t="shared" si="0"/>
        <v>251</v>
      </c>
      <c r="F48" s="51" t="s">
        <v>25</v>
      </c>
      <c r="G48" s="52"/>
      <c r="H48" s="52"/>
      <c r="I48" s="53" t="str">
        <f t="shared" si="44"/>
        <v/>
      </c>
      <c r="J48" s="34" t="str">
        <f t="shared" si="2"/>
        <v/>
      </c>
      <c r="K48" s="35">
        <v>0</v>
      </c>
      <c r="L48" s="35" t="str">
        <f t="shared" si="3"/>
        <v/>
      </c>
      <c r="M48" s="45" t="str">
        <f t="shared" si="4"/>
        <v/>
      </c>
      <c r="N48" s="34" t="str">
        <f t="shared" si="5"/>
        <v/>
      </c>
      <c r="O48" s="35" t="str">
        <f t="shared" si="45"/>
        <v/>
      </c>
      <c r="P48" s="35" t="str">
        <f t="shared" si="53"/>
        <v/>
      </c>
      <c r="Q48" s="45" t="str">
        <f t="shared" si="54"/>
        <v/>
      </c>
      <c r="R48" s="34" t="str">
        <f t="shared" si="50"/>
        <v/>
      </c>
      <c r="S48" s="35">
        <v>0</v>
      </c>
      <c r="T48" s="35" t="str">
        <f t="shared" si="51"/>
        <v/>
      </c>
      <c r="U48" s="45" t="str">
        <f t="shared" si="52"/>
        <v/>
      </c>
      <c r="V48" s="34" t="str">
        <f t="shared" si="12"/>
        <v/>
      </c>
      <c r="W48" s="35" t="str">
        <f t="shared" si="46"/>
        <v/>
      </c>
      <c r="X48" s="35" t="str">
        <f t="shared" si="14"/>
        <v/>
      </c>
      <c r="Y48" s="45" t="str">
        <f t="shared" si="15"/>
        <v/>
      </c>
      <c r="Z48" s="34" t="str">
        <f t="shared" si="38"/>
        <v/>
      </c>
      <c r="AA48" s="35">
        <v>0</v>
      </c>
      <c r="AB48" s="35" t="str">
        <f t="shared" si="39"/>
        <v/>
      </c>
      <c r="AC48" s="45" t="str">
        <f t="shared" si="40"/>
        <v/>
      </c>
      <c r="AD48" s="34" t="str">
        <f t="shared" si="19"/>
        <v/>
      </c>
      <c r="AE48" s="35" t="str">
        <f t="shared" si="47"/>
        <v/>
      </c>
      <c r="AF48" s="35" t="str">
        <f t="shared" si="21"/>
        <v/>
      </c>
      <c r="AG48" s="45" t="str">
        <f t="shared" si="22"/>
        <v/>
      </c>
      <c r="AH48" s="34" t="str">
        <f t="shared" si="41"/>
        <v/>
      </c>
      <c r="AI48" s="35">
        <v>0</v>
      </c>
      <c r="AJ48" s="35" t="str">
        <f t="shared" si="42"/>
        <v/>
      </c>
      <c r="AK48" s="45" t="str">
        <f t="shared" si="43"/>
        <v/>
      </c>
      <c r="AL48" s="34">
        <f t="shared" si="26"/>
        <v>1370</v>
      </c>
      <c r="AM48" s="35">
        <f t="shared" si="48"/>
        <v>1024</v>
      </c>
      <c r="AN48" s="35">
        <f t="shared" si="28"/>
        <v>502</v>
      </c>
      <c r="AO48" s="45">
        <f t="shared" si="29"/>
        <v>251</v>
      </c>
      <c r="AP48" s="34" t="str">
        <f t="shared" si="30"/>
        <v/>
      </c>
      <c r="AQ48" s="40" t="str">
        <f t="shared" si="49"/>
        <v/>
      </c>
      <c r="AR48" s="35" t="str">
        <f t="shared" si="32"/>
        <v/>
      </c>
      <c r="AS48" s="45" t="str">
        <f t="shared" si="33"/>
        <v/>
      </c>
      <c r="AT48" s="149">
        <v>1172</v>
      </c>
      <c r="AU48" s="20">
        <v>251</v>
      </c>
      <c r="AV48" s="150">
        <v>1376</v>
      </c>
      <c r="AW48" s="151">
        <f t="shared" si="34"/>
        <v>1.1740614334470989</v>
      </c>
    </row>
    <row r="49" spans="1:49" x14ac:dyDescent="0.2">
      <c r="A49" s="71" t="s">
        <v>67</v>
      </c>
      <c r="B49" s="20">
        <v>407</v>
      </c>
      <c r="C49" s="20">
        <v>432</v>
      </c>
      <c r="D49" s="20">
        <v>74</v>
      </c>
      <c r="E49" s="280">
        <f t="shared" si="0"/>
        <v>22</v>
      </c>
      <c r="F49" s="51" t="s">
        <v>25</v>
      </c>
      <c r="G49" s="52"/>
      <c r="H49" s="52"/>
      <c r="I49" s="53" t="str">
        <f t="shared" si="44"/>
        <v>Yes</v>
      </c>
      <c r="J49" s="34" t="str">
        <f t="shared" si="2"/>
        <v/>
      </c>
      <c r="K49" s="35">
        <v>0</v>
      </c>
      <c r="L49" s="35" t="str">
        <f t="shared" si="3"/>
        <v/>
      </c>
      <c r="M49" s="45" t="str">
        <f t="shared" si="4"/>
        <v/>
      </c>
      <c r="N49" s="34" t="str">
        <f t="shared" si="5"/>
        <v/>
      </c>
      <c r="O49" s="35" t="str">
        <f t="shared" si="45"/>
        <v/>
      </c>
      <c r="P49" s="35" t="str">
        <f t="shared" si="53"/>
        <v/>
      </c>
      <c r="Q49" s="45" t="str">
        <f t="shared" si="54"/>
        <v/>
      </c>
      <c r="R49" s="34" t="str">
        <f t="shared" si="50"/>
        <v/>
      </c>
      <c r="S49" s="35">
        <v>0</v>
      </c>
      <c r="T49" s="35" t="str">
        <f t="shared" si="51"/>
        <v/>
      </c>
      <c r="U49" s="45" t="str">
        <f t="shared" si="52"/>
        <v/>
      </c>
      <c r="V49" s="34" t="str">
        <f t="shared" si="12"/>
        <v/>
      </c>
      <c r="W49" s="35" t="str">
        <f t="shared" si="46"/>
        <v/>
      </c>
      <c r="X49" s="35" t="str">
        <f t="shared" si="14"/>
        <v/>
      </c>
      <c r="Y49" s="45" t="str">
        <f t="shared" si="15"/>
        <v/>
      </c>
      <c r="Z49" s="34" t="str">
        <f t="shared" si="38"/>
        <v/>
      </c>
      <c r="AA49" s="35">
        <v>0</v>
      </c>
      <c r="AB49" s="35" t="str">
        <f t="shared" si="39"/>
        <v/>
      </c>
      <c r="AC49" s="45" t="str">
        <f t="shared" si="40"/>
        <v/>
      </c>
      <c r="AD49" s="34" t="str">
        <f t="shared" si="19"/>
        <v/>
      </c>
      <c r="AE49" s="35" t="str">
        <f t="shared" si="47"/>
        <v/>
      </c>
      <c r="AF49" s="35" t="str">
        <f t="shared" si="21"/>
        <v/>
      </c>
      <c r="AG49" s="45" t="str">
        <f t="shared" si="22"/>
        <v/>
      </c>
      <c r="AH49" s="34">
        <f t="shared" si="41"/>
        <v>432</v>
      </c>
      <c r="AI49" s="35">
        <v>0</v>
      </c>
      <c r="AJ49" s="35">
        <f t="shared" si="42"/>
        <v>74</v>
      </c>
      <c r="AK49" s="45">
        <f t="shared" si="43"/>
        <v>22</v>
      </c>
      <c r="AL49" s="34" t="str">
        <f t="shared" si="26"/>
        <v/>
      </c>
      <c r="AM49" s="35" t="str">
        <f t="shared" si="48"/>
        <v/>
      </c>
      <c r="AN49" s="35" t="str">
        <f t="shared" si="28"/>
        <v/>
      </c>
      <c r="AO49" s="45" t="str">
        <f t="shared" si="29"/>
        <v/>
      </c>
      <c r="AP49" s="34" t="str">
        <f t="shared" si="30"/>
        <v/>
      </c>
      <c r="AQ49" s="40" t="str">
        <f t="shared" si="49"/>
        <v/>
      </c>
      <c r="AR49" s="35" t="str">
        <f t="shared" si="32"/>
        <v/>
      </c>
      <c r="AS49" s="45" t="str">
        <f t="shared" si="33"/>
        <v/>
      </c>
      <c r="AT49" s="149">
        <v>160</v>
      </c>
      <c r="AU49" s="20">
        <v>22</v>
      </c>
      <c r="AV49" s="150">
        <v>426</v>
      </c>
      <c r="AW49" s="151">
        <f t="shared" si="34"/>
        <v>2.6625000000000001</v>
      </c>
    </row>
    <row r="50" spans="1:49" x14ac:dyDescent="0.2">
      <c r="A50" s="71" t="s">
        <v>68</v>
      </c>
      <c r="B50" s="20">
        <v>1006</v>
      </c>
      <c r="C50" s="20">
        <v>924</v>
      </c>
      <c r="D50" s="20">
        <v>199</v>
      </c>
      <c r="E50" s="280">
        <f t="shared" si="0"/>
        <v>61.444622792937402</v>
      </c>
      <c r="F50" s="51" t="s">
        <v>25</v>
      </c>
      <c r="G50" s="52" t="s">
        <v>25</v>
      </c>
      <c r="H50" s="58"/>
      <c r="I50" s="53" t="str">
        <f t="shared" si="44"/>
        <v>Yes</v>
      </c>
      <c r="J50" s="34" t="str">
        <f t="shared" si="2"/>
        <v/>
      </c>
      <c r="K50" s="35">
        <v>0</v>
      </c>
      <c r="L50" s="35" t="str">
        <f t="shared" si="3"/>
        <v/>
      </c>
      <c r="M50" s="45" t="str">
        <f t="shared" si="4"/>
        <v/>
      </c>
      <c r="N50" s="34" t="str">
        <f t="shared" si="5"/>
        <v/>
      </c>
      <c r="O50" s="35" t="str">
        <f t="shared" si="45"/>
        <v/>
      </c>
      <c r="P50" s="35" t="str">
        <f t="shared" si="53"/>
        <v/>
      </c>
      <c r="Q50" s="45" t="str">
        <f t="shared" si="54"/>
        <v/>
      </c>
      <c r="R50" s="34">
        <f t="shared" si="50"/>
        <v>924</v>
      </c>
      <c r="S50" s="35">
        <v>0</v>
      </c>
      <c r="T50" s="35">
        <f t="shared" si="51"/>
        <v>199</v>
      </c>
      <c r="U50" s="45">
        <f t="shared" si="52"/>
        <v>61.444622792937402</v>
      </c>
      <c r="V50" s="34" t="str">
        <f t="shared" si="12"/>
        <v/>
      </c>
      <c r="W50" s="35" t="str">
        <f t="shared" si="46"/>
        <v/>
      </c>
      <c r="X50" s="35" t="str">
        <f t="shared" si="14"/>
        <v/>
      </c>
      <c r="Y50" s="45" t="str">
        <f t="shared" si="15"/>
        <v/>
      </c>
      <c r="Z50" s="34" t="str">
        <f t="shared" si="38"/>
        <v/>
      </c>
      <c r="AA50" s="35">
        <v>0</v>
      </c>
      <c r="AB50" s="35" t="str">
        <f t="shared" si="39"/>
        <v/>
      </c>
      <c r="AC50" s="45" t="str">
        <f t="shared" si="40"/>
        <v/>
      </c>
      <c r="AD50" s="34" t="str">
        <f t="shared" si="19"/>
        <v/>
      </c>
      <c r="AE50" s="35" t="str">
        <f t="shared" si="47"/>
        <v/>
      </c>
      <c r="AF50" s="35" t="str">
        <f t="shared" si="21"/>
        <v/>
      </c>
      <c r="AG50" s="45" t="str">
        <f t="shared" si="22"/>
        <v/>
      </c>
      <c r="AH50" s="34" t="str">
        <f t="shared" si="41"/>
        <v/>
      </c>
      <c r="AI50" s="35">
        <v>0</v>
      </c>
      <c r="AJ50" s="35" t="str">
        <f t="shared" si="42"/>
        <v/>
      </c>
      <c r="AK50" s="45" t="str">
        <f t="shared" si="43"/>
        <v/>
      </c>
      <c r="AL50" s="34" t="str">
        <f t="shared" si="26"/>
        <v/>
      </c>
      <c r="AM50" s="35" t="str">
        <f t="shared" si="48"/>
        <v/>
      </c>
      <c r="AN50" s="35" t="str">
        <f t="shared" si="28"/>
        <v/>
      </c>
      <c r="AO50" s="45" t="str">
        <f t="shared" si="29"/>
        <v/>
      </c>
      <c r="AP50" s="34" t="str">
        <f t="shared" si="30"/>
        <v/>
      </c>
      <c r="AQ50" s="40" t="str">
        <f t="shared" si="49"/>
        <v/>
      </c>
      <c r="AR50" s="35" t="str">
        <f t="shared" si="32"/>
        <v/>
      </c>
      <c r="AS50" s="45" t="str">
        <f t="shared" si="33"/>
        <v/>
      </c>
      <c r="AT50" s="149">
        <v>623</v>
      </c>
      <c r="AU50" s="20">
        <v>88</v>
      </c>
      <c r="AV50" s="150">
        <v>435</v>
      </c>
      <c r="AW50" s="151">
        <f t="shared" si="34"/>
        <v>0.6982343499197432</v>
      </c>
    </row>
    <row r="51" spans="1:49" x14ac:dyDescent="0.2">
      <c r="A51" s="71" t="s">
        <v>69</v>
      </c>
      <c r="B51" s="20">
        <v>29965</v>
      </c>
      <c r="C51" s="20">
        <v>34572</v>
      </c>
      <c r="D51" s="20">
        <v>10689</v>
      </c>
      <c r="E51" s="280">
        <f t="shared" si="0"/>
        <v>6862.4664532857951</v>
      </c>
      <c r="F51" s="51" t="s">
        <v>25</v>
      </c>
      <c r="G51" s="52" t="s">
        <v>25</v>
      </c>
      <c r="H51" s="52" t="s">
        <v>25</v>
      </c>
      <c r="I51" s="53" t="str">
        <f t="shared" si="44"/>
        <v>Yes</v>
      </c>
      <c r="J51" s="34">
        <f t="shared" si="2"/>
        <v>34572</v>
      </c>
      <c r="K51" s="35">
        <v>0</v>
      </c>
      <c r="L51" s="35">
        <f t="shared" si="3"/>
        <v>10689</v>
      </c>
      <c r="M51" s="45">
        <f t="shared" si="4"/>
        <v>6862.4664532857951</v>
      </c>
      <c r="N51" s="34" t="str">
        <f t="shared" si="5"/>
        <v/>
      </c>
      <c r="O51" s="35" t="str">
        <f t="shared" si="45"/>
        <v/>
      </c>
      <c r="P51" s="35" t="str">
        <f t="shared" si="53"/>
        <v/>
      </c>
      <c r="Q51" s="45" t="str">
        <f t="shared" si="54"/>
        <v/>
      </c>
      <c r="R51" s="34" t="str">
        <f t="shared" si="50"/>
        <v/>
      </c>
      <c r="S51" s="35">
        <v>0</v>
      </c>
      <c r="T51" s="35" t="str">
        <f t="shared" si="51"/>
        <v/>
      </c>
      <c r="U51" s="45" t="str">
        <f t="shared" si="52"/>
        <v/>
      </c>
      <c r="V51" s="34" t="str">
        <f t="shared" si="12"/>
        <v/>
      </c>
      <c r="W51" s="35" t="str">
        <f t="shared" si="46"/>
        <v/>
      </c>
      <c r="X51" s="35" t="str">
        <f t="shared" si="14"/>
        <v/>
      </c>
      <c r="Y51" s="45" t="str">
        <f t="shared" si="15"/>
        <v/>
      </c>
      <c r="Z51" s="34" t="str">
        <f t="shared" si="38"/>
        <v/>
      </c>
      <c r="AA51" s="35">
        <v>0</v>
      </c>
      <c r="AB51" s="35" t="str">
        <f t="shared" si="39"/>
        <v/>
      </c>
      <c r="AC51" s="45" t="str">
        <f t="shared" si="40"/>
        <v/>
      </c>
      <c r="AD51" s="34" t="str">
        <f t="shared" si="19"/>
        <v/>
      </c>
      <c r="AE51" s="35" t="str">
        <f t="shared" si="47"/>
        <v/>
      </c>
      <c r="AF51" s="35" t="str">
        <f t="shared" si="21"/>
        <v/>
      </c>
      <c r="AG51" s="45" t="str">
        <f t="shared" si="22"/>
        <v/>
      </c>
      <c r="AH51" s="34" t="str">
        <f t="shared" si="41"/>
        <v/>
      </c>
      <c r="AI51" s="35">
        <v>0</v>
      </c>
      <c r="AJ51" s="35" t="str">
        <f t="shared" si="42"/>
        <v/>
      </c>
      <c r="AK51" s="45" t="str">
        <f t="shared" si="43"/>
        <v/>
      </c>
      <c r="AL51" s="34" t="str">
        <f t="shared" si="26"/>
        <v/>
      </c>
      <c r="AM51" s="35" t="str">
        <f t="shared" si="48"/>
        <v/>
      </c>
      <c r="AN51" s="35" t="str">
        <f t="shared" si="28"/>
        <v/>
      </c>
      <c r="AO51" s="45" t="str">
        <f t="shared" si="29"/>
        <v/>
      </c>
      <c r="AP51" s="34" t="str">
        <f t="shared" si="30"/>
        <v/>
      </c>
      <c r="AQ51" s="40" t="str">
        <f t="shared" si="49"/>
        <v/>
      </c>
      <c r="AR51" s="35" t="str">
        <f t="shared" si="32"/>
        <v/>
      </c>
      <c r="AS51" s="45" t="str">
        <f t="shared" si="33"/>
        <v/>
      </c>
      <c r="AT51" s="149">
        <v>24682</v>
      </c>
      <c r="AU51" s="20">
        <v>7219</v>
      </c>
      <c r="AV51" s="150">
        <v>23463</v>
      </c>
      <c r="AW51" s="151">
        <f t="shared" si="34"/>
        <v>0.95061178186532691</v>
      </c>
    </row>
    <row r="52" spans="1:49" x14ac:dyDescent="0.2">
      <c r="A52" s="71" t="s">
        <v>73</v>
      </c>
      <c r="B52" s="20">
        <v>3</v>
      </c>
      <c r="C52" s="20">
        <v>67</v>
      </c>
      <c r="D52" s="20">
        <v>15</v>
      </c>
      <c r="E52" s="280">
        <f t="shared" si="0"/>
        <v>5</v>
      </c>
      <c r="F52" s="171" t="s">
        <v>25</v>
      </c>
      <c r="G52" s="172" t="s">
        <v>25</v>
      </c>
      <c r="H52" s="172" t="s">
        <v>25</v>
      </c>
      <c r="I52" s="53" t="str">
        <f t="shared" si="44"/>
        <v/>
      </c>
      <c r="J52" s="34" t="str">
        <f t="shared" si="2"/>
        <v/>
      </c>
      <c r="K52" s="35">
        <v>0</v>
      </c>
      <c r="L52" s="35" t="str">
        <f t="shared" si="3"/>
        <v/>
      </c>
      <c r="M52" s="45" t="str">
        <f t="shared" si="4"/>
        <v/>
      </c>
      <c r="N52" s="34">
        <f t="shared" si="5"/>
        <v>67</v>
      </c>
      <c r="O52" s="35">
        <f t="shared" si="45"/>
        <v>64</v>
      </c>
      <c r="P52" s="35">
        <f t="shared" si="53"/>
        <v>15</v>
      </c>
      <c r="Q52" s="45">
        <f t="shared" si="54"/>
        <v>5</v>
      </c>
      <c r="R52" s="34" t="str">
        <f t="shared" si="50"/>
        <v/>
      </c>
      <c r="S52" s="35">
        <v>0</v>
      </c>
      <c r="T52" s="35" t="str">
        <f t="shared" si="51"/>
        <v/>
      </c>
      <c r="U52" s="45" t="str">
        <f t="shared" si="52"/>
        <v/>
      </c>
      <c r="V52" s="34" t="str">
        <f t="shared" si="12"/>
        <v/>
      </c>
      <c r="W52" s="35" t="str">
        <f t="shared" si="46"/>
        <v/>
      </c>
      <c r="X52" s="35" t="str">
        <f t="shared" si="14"/>
        <v/>
      </c>
      <c r="Y52" s="45" t="str">
        <f t="shared" si="15"/>
        <v/>
      </c>
      <c r="Z52" s="34" t="str">
        <f t="shared" si="38"/>
        <v/>
      </c>
      <c r="AA52" s="35">
        <v>0</v>
      </c>
      <c r="AB52" s="35" t="str">
        <f t="shared" si="39"/>
        <v/>
      </c>
      <c r="AC52" s="45" t="str">
        <f t="shared" si="40"/>
        <v/>
      </c>
      <c r="AD52" s="34" t="str">
        <f t="shared" si="19"/>
        <v/>
      </c>
      <c r="AE52" s="35" t="str">
        <f t="shared" si="47"/>
        <v/>
      </c>
      <c r="AF52" s="35" t="str">
        <f t="shared" si="21"/>
        <v/>
      </c>
      <c r="AG52" s="45" t="str">
        <f t="shared" si="22"/>
        <v/>
      </c>
      <c r="AH52" s="34" t="str">
        <f t="shared" si="41"/>
        <v/>
      </c>
      <c r="AI52" s="35">
        <v>0</v>
      </c>
      <c r="AJ52" s="35" t="str">
        <f t="shared" si="42"/>
        <v/>
      </c>
      <c r="AK52" s="45" t="str">
        <f t="shared" si="43"/>
        <v/>
      </c>
      <c r="AL52" s="34" t="str">
        <f t="shared" si="26"/>
        <v/>
      </c>
      <c r="AM52" s="35" t="str">
        <f t="shared" si="48"/>
        <v/>
      </c>
      <c r="AN52" s="35" t="str">
        <f t="shared" si="28"/>
        <v/>
      </c>
      <c r="AO52" s="45" t="str">
        <f t="shared" si="29"/>
        <v/>
      </c>
      <c r="AP52" s="34" t="str">
        <f t="shared" si="30"/>
        <v/>
      </c>
      <c r="AQ52" s="40" t="str">
        <f t="shared" si="49"/>
        <v/>
      </c>
      <c r="AR52" s="35" t="str">
        <f t="shared" si="32"/>
        <v/>
      </c>
      <c r="AS52" s="45" t="str">
        <f t="shared" si="33"/>
        <v/>
      </c>
      <c r="AT52" s="149">
        <v>28</v>
      </c>
      <c r="AU52" s="20">
        <v>5</v>
      </c>
      <c r="AV52" s="150">
        <v>39</v>
      </c>
      <c r="AW52" s="151">
        <f t="shared" si="34"/>
        <v>1.3928571428571428</v>
      </c>
    </row>
    <row r="53" spans="1:49" x14ac:dyDescent="0.2">
      <c r="A53" s="71" t="s">
        <v>70</v>
      </c>
      <c r="B53" s="20">
        <v>963</v>
      </c>
      <c r="C53" s="20">
        <v>959</v>
      </c>
      <c r="D53" s="20">
        <v>294</v>
      </c>
      <c r="E53" s="280">
        <f t="shared" si="0"/>
        <v>215</v>
      </c>
      <c r="F53" s="51" t="s">
        <v>25</v>
      </c>
      <c r="G53" s="52" t="s">
        <v>25</v>
      </c>
      <c r="H53" s="52" t="s">
        <v>25</v>
      </c>
      <c r="I53" s="53" t="str">
        <f t="shared" si="44"/>
        <v>Yes</v>
      </c>
      <c r="J53" s="34">
        <f t="shared" si="2"/>
        <v>959</v>
      </c>
      <c r="K53" s="35">
        <v>0</v>
      </c>
      <c r="L53" s="35">
        <f t="shared" si="3"/>
        <v>294</v>
      </c>
      <c r="M53" s="45">
        <f t="shared" si="4"/>
        <v>215</v>
      </c>
      <c r="N53" s="34" t="str">
        <f t="shared" si="5"/>
        <v/>
      </c>
      <c r="O53" s="35" t="str">
        <f t="shared" si="45"/>
        <v/>
      </c>
      <c r="P53" s="35" t="str">
        <f t="shared" si="53"/>
        <v/>
      </c>
      <c r="Q53" s="45" t="str">
        <f t="shared" si="54"/>
        <v/>
      </c>
      <c r="R53" s="34" t="str">
        <f t="shared" si="50"/>
        <v/>
      </c>
      <c r="S53" s="35">
        <v>0</v>
      </c>
      <c r="T53" s="35" t="str">
        <f t="shared" si="51"/>
        <v/>
      </c>
      <c r="U53" s="45" t="str">
        <f t="shared" si="52"/>
        <v/>
      </c>
      <c r="V53" s="34" t="str">
        <f t="shared" si="12"/>
        <v/>
      </c>
      <c r="W53" s="35" t="str">
        <f t="shared" si="46"/>
        <v/>
      </c>
      <c r="X53" s="35" t="str">
        <f t="shared" si="14"/>
        <v/>
      </c>
      <c r="Y53" s="45" t="str">
        <f t="shared" si="15"/>
        <v/>
      </c>
      <c r="Z53" s="34" t="str">
        <f t="shared" si="38"/>
        <v/>
      </c>
      <c r="AA53" s="35">
        <v>0</v>
      </c>
      <c r="AB53" s="35" t="str">
        <f t="shared" si="39"/>
        <v/>
      </c>
      <c r="AC53" s="45" t="str">
        <f t="shared" si="40"/>
        <v/>
      </c>
      <c r="AD53" s="34" t="str">
        <f t="shared" si="19"/>
        <v/>
      </c>
      <c r="AE53" s="35" t="str">
        <f t="shared" si="47"/>
        <v/>
      </c>
      <c r="AF53" s="35" t="str">
        <f t="shared" si="21"/>
        <v/>
      </c>
      <c r="AG53" s="45" t="str">
        <f t="shared" si="22"/>
        <v/>
      </c>
      <c r="AH53" s="34" t="str">
        <f t="shared" si="41"/>
        <v/>
      </c>
      <c r="AI53" s="35">
        <v>0</v>
      </c>
      <c r="AJ53" s="35" t="str">
        <f t="shared" si="42"/>
        <v/>
      </c>
      <c r="AK53" s="45" t="str">
        <f t="shared" si="43"/>
        <v/>
      </c>
      <c r="AL53" s="34" t="str">
        <f t="shared" si="26"/>
        <v/>
      </c>
      <c r="AM53" s="35" t="str">
        <f t="shared" si="48"/>
        <v/>
      </c>
      <c r="AN53" s="35" t="str">
        <f t="shared" si="28"/>
        <v/>
      </c>
      <c r="AO53" s="45" t="str">
        <f t="shared" si="29"/>
        <v/>
      </c>
      <c r="AP53" s="34" t="str">
        <f t="shared" si="30"/>
        <v/>
      </c>
      <c r="AQ53" s="40" t="str">
        <f t="shared" si="49"/>
        <v/>
      </c>
      <c r="AR53" s="35" t="str">
        <f t="shared" si="32"/>
        <v/>
      </c>
      <c r="AS53" s="45" t="str">
        <f t="shared" si="33"/>
        <v/>
      </c>
      <c r="AT53" s="149">
        <v>743</v>
      </c>
      <c r="AU53" s="20">
        <v>215</v>
      </c>
      <c r="AV53" s="150">
        <v>1128</v>
      </c>
      <c r="AW53" s="151">
        <f t="shared" si="34"/>
        <v>1.5181695827725437</v>
      </c>
    </row>
    <row r="54" spans="1:49" x14ac:dyDescent="0.2">
      <c r="A54" s="71" t="s">
        <v>74</v>
      </c>
      <c r="B54" s="20">
        <v>0</v>
      </c>
      <c r="C54" s="20">
        <v>115</v>
      </c>
      <c r="D54" s="20">
        <v>150</v>
      </c>
      <c r="E54" s="280">
        <f t="shared" si="0"/>
        <v>13</v>
      </c>
      <c r="F54" s="51"/>
      <c r="G54" s="52"/>
      <c r="H54" s="52"/>
      <c r="I54" s="53" t="str">
        <f t="shared" si="44"/>
        <v/>
      </c>
      <c r="J54" s="34" t="str">
        <f t="shared" si="2"/>
        <v/>
      </c>
      <c r="K54" s="35">
        <v>0</v>
      </c>
      <c r="L54" s="35" t="str">
        <f t="shared" si="3"/>
        <v/>
      </c>
      <c r="M54" s="45" t="str">
        <f t="shared" si="4"/>
        <v/>
      </c>
      <c r="N54" s="34" t="str">
        <f t="shared" si="5"/>
        <v/>
      </c>
      <c r="O54" s="35" t="str">
        <f t="shared" si="45"/>
        <v/>
      </c>
      <c r="P54" s="35" t="str">
        <f t="shared" si="53"/>
        <v/>
      </c>
      <c r="Q54" s="45" t="str">
        <f t="shared" si="54"/>
        <v/>
      </c>
      <c r="R54" s="34" t="str">
        <f t="shared" si="50"/>
        <v/>
      </c>
      <c r="S54" s="35">
        <v>0</v>
      </c>
      <c r="T54" s="35" t="str">
        <f t="shared" si="51"/>
        <v/>
      </c>
      <c r="U54" s="45" t="str">
        <f t="shared" si="52"/>
        <v/>
      </c>
      <c r="V54" s="34" t="str">
        <f t="shared" si="12"/>
        <v/>
      </c>
      <c r="W54" s="35" t="str">
        <f t="shared" si="46"/>
        <v/>
      </c>
      <c r="X54" s="35" t="str">
        <f t="shared" si="14"/>
        <v/>
      </c>
      <c r="Y54" s="45" t="str">
        <f t="shared" si="15"/>
        <v/>
      </c>
      <c r="Z54" s="34" t="str">
        <f t="shared" si="38"/>
        <v/>
      </c>
      <c r="AA54" s="35">
        <v>0</v>
      </c>
      <c r="AB54" s="35" t="str">
        <f t="shared" si="39"/>
        <v/>
      </c>
      <c r="AC54" s="45" t="str">
        <f t="shared" si="40"/>
        <v/>
      </c>
      <c r="AD54" s="34" t="str">
        <f t="shared" si="19"/>
        <v/>
      </c>
      <c r="AE54" s="35" t="str">
        <f t="shared" si="47"/>
        <v/>
      </c>
      <c r="AF54" s="35" t="str">
        <f t="shared" si="21"/>
        <v/>
      </c>
      <c r="AG54" s="45" t="str">
        <f t="shared" si="22"/>
        <v/>
      </c>
      <c r="AH54" s="34" t="str">
        <f t="shared" si="41"/>
        <v/>
      </c>
      <c r="AI54" s="35">
        <v>0</v>
      </c>
      <c r="AJ54" s="35" t="str">
        <f t="shared" si="42"/>
        <v/>
      </c>
      <c r="AK54" s="45" t="str">
        <f t="shared" si="43"/>
        <v/>
      </c>
      <c r="AL54" s="34" t="str">
        <f t="shared" si="26"/>
        <v/>
      </c>
      <c r="AM54" s="35" t="str">
        <f t="shared" si="48"/>
        <v/>
      </c>
      <c r="AN54" s="35" t="str">
        <f t="shared" si="28"/>
        <v/>
      </c>
      <c r="AO54" s="45" t="str">
        <f t="shared" si="29"/>
        <v/>
      </c>
      <c r="AP54" s="34">
        <f t="shared" si="30"/>
        <v>115</v>
      </c>
      <c r="AQ54" s="40">
        <f t="shared" si="49"/>
        <v>115</v>
      </c>
      <c r="AR54" s="35">
        <f t="shared" si="32"/>
        <v>150</v>
      </c>
      <c r="AS54" s="45">
        <f t="shared" si="33"/>
        <v>13</v>
      </c>
      <c r="AT54" s="149">
        <v>90</v>
      </c>
      <c r="AU54" s="20">
        <v>13</v>
      </c>
      <c r="AV54" s="150">
        <v>1876</v>
      </c>
      <c r="AW54" s="151">
        <f t="shared" si="34"/>
        <v>20.844444444444445</v>
      </c>
    </row>
    <row r="55" spans="1:49" ht="6" customHeight="1" x14ac:dyDescent="0.2">
      <c r="A55" s="71"/>
      <c r="B55" s="20"/>
      <c r="C55" s="20"/>
      <c r="D55" s="76"/>
      <c r="E55" s="77"/>
      <c r="F55" s="51"/>
      <c r="G55" s="52"/>
      <c r="H55" s="52"/>
      <c r="I55" s="53"/>
      <c r="J55" s="34" t="str">
        <f t="shared" ref="J55" si="55">IF(AND(F55="Yes",G55="Yes",H55="Yes",I55="Yes"),C55," ")</f>
        <v xml:space="preserve"> </v>
      </c>
      <c r="K55" s="35"/>
      <c r="L55" s="35"/>
      <c r="M55" s="45"/>
      <c r="N55" s="34"/>
      <c r="O55" s="35" t="str">
        <f>IF(AND(F55="Yes",G55="Yes",H55="Yes",I55="No"),C55," ")</f>
        <v xml:space="preserve"> </v>
      </c>
      <c r="P55" s="35" t="str">
        <f t="shared" si="53"/>
        <v/>
      </c>
      <c r="Q55" s="45" t="str">
        <f t="shared" si="54"/>
        <v/>
      </c>
      <c r="R55" s="34" t="str">
        <f>IF(AND(F55="Yes",G55="Yes",H55="No",I55="Yes"),C55," ")</f>
        <v xml:space="preserve"> </v>
      </c>
      <c r="S55" s="35"/>
      <c r="T55" s="35"/>
      <c r="U55" s="45"/>
      <c r="V55" s="34"/>
      <c r="W55" s="35" t="str">
        <f>IF(AND(F55="Yes",G55="Yes",H55="No",I55="No"),C55," ")</f>
        <v xml:space="preserve"> </v>
      </c>
      <c r="X55" s="35"/>
      <c r="Y55" s="45"/>
      <c r="Z55" s="34" t="str">
        <f t="shared" si="38"/>
        <v/>
      </c>
      <c r="AA55" s="35">
        <v>0</v>
      </c>
      <c r="AB55" s="35" t="str">
        <f t="shared" si="39"/>
        <v/>
      </c>
      <c r="AC55" s="45" t="str">
        <f t="shared" si="40"/>
        <v/>
      </c>
      <c r="AD55" s="34"/>
      <c r="AE55" s="35" t="str">
        <f>IF(AND(F55="Yes",G55="No",H55="Yes",I55="No"),C55," ")</f>
        <v xml:space="preserve"> </v>
      </c>
      <c r="AF55" s="35"/>
      <c r="AG55" s="45"/>
      <c r="AH55" s="34" t="str">
        <f>IF(AND(F55="Yes",G55="No",H55="No",I55="Yes"),C55," ")</f>
        <v xml:space="preserve"> </v>
      </c>
      <c r="AI55" s="35"/>
      <c r="AJ55" s="35"/>
      <c r="AK55" s="45"/>
      <c r="AL55" s="34"/>
      <c r="AM55" s="35" t="str">
        <f>IF(AND(F55="Yes",G55="No",H55="No",I55="No"),C55," ")</f>
        <v xml:space="preserve"> </v>
      </c>
      <c r="AN55" s="35"/>
      <c r="AO55" s="45"/>
      <c r="AP55" s="34"/>
      <c r="AQ55" s="40" t="str">
        <f>IF(AND(F55="",G55="",H55="",I55="No"),C55," ")</f>
        <v xml:space="preserve"> </v>
      </c>
      <c r="AR55" s="19"/>
      <c r="AS55" s="36"/>
      <c r="AT55" s="71"/>
      <c r="AU55" s="19"/>
      <c r="AV55" s="19"/>
      <c r="AW55" s="36"/>
    </row>
    <row r="56" spans="1:49" x14ac:dyDescent="0.2">
      <c r="A56" s="78" t="s">
        <v>76</v>
      </c>
      <c r="B56" s="42">
        <f>SUM(B5:B54)</f>
        <v>374211</v>
      </c>
      <c r="C56" s="42">
        <f>SUM(C5:C54)</f>
        <v>418643</v>
      </c>
      <c r="D56" s="42">
        <f>SUM(D5:D54)</f>
        <v>125293</v>
      </c>
      <c r="E56" s="46">
        <f>SUM(E5:E54)</f>
        <v>78682.652327545686</v>
      </c>
      <c r="F56" s="59"/>
      <c r="G56" s="60"/>
      <c r="H56" s="60"/>
      <c r="I56" s="61"/>
      <c r="J56" s="41">
        <f>SUM(J5:J54)</f>
        <v>179086</v>
      </c>
      <c r="K56" s="42">
        <f t="shared" ref="K56:M56" si="56">SUM(K5:K54)</f>
        <v>0</v>
      </c>
      <c r="L56" s="42">
        <f t="shared" si="56"/>
        <v>54901</v>
      </c>
      <c r="M56" s="46">
        <f t="shared" si="56"/>
        <v>35327.144260727371</v>
      </c>
      <c r="N56" s="41">
        <f>SUM(N5:N54)</f>
        <v>37982</v>
      </c>
      <c r="O56" s="42">
        <f t="shared" ref="O56:Q56" si="57">SUM(O5:O54)</f>
        <v>19786</v>
      </c>
      <c r="P56" s="42">
        <f t="shared" si="57"/>
        <v>10913</v>
      </c>
      <c r="Q56" s="46">
        <f t="shared" si="57"/>
        <v>5446.9553898230452</v>
      </c>
      <c r="R56" s="41">
        <f>SUM(R5:R54)</f>
        <v>176738</v>
      </c>
      <c r="S56" s="42">
        <f t="shared" ref="S56:U56" si="58">SUM(S5:S54)</f>
        <v>0</v>
      </c>
      <c r="T56" s="42">
        <f t="shared" si="58"/>
        <v>51057</v>
      </c>
      <c r="U56" s="46">
        <f t="shared" si="58"/>
        <v>34386.25047754465</v>
      </c>
      <c r="V56" s="41">
        <f>SUM(V5:V54)</f>
        <v>0</v>
      </c>
      <c r="W56" s="42">
        <f t="shared" ref="W56:Y56" si="59">SUM(W5:W54)</f>
        <v>0</v>
      </c>
      <c r="X56" s="42">
        <f t="shared" si="59"/>
        <v>0</v>
      </c>
      <c r="Y56" s="46">
        <f t="shared" si="59"/>
        <v>0</v>
      </c>
      <c r="Z56" s="41">
        <f>SUM(Z5:Z54)</f>
        <v>1052</v>
      </c>
      <c r="AA56" s="42">
        <f t="shared" ref="AA56:AC56" si="60">SUM(AA5:AA54)</f>
        <v>0</v>
      </c>
      <c r="AB56" s="42">
        <f t="shared" si="60"/>
        <v>138</v>
      </c>
      <c r="AC56" s="46">
        <f t="shared" si="60"/>
        <v>85.912602419040184</v>
      </c>
      <c r="AD56" s="41">
        <f>SUM(AD5:AD54)</f>
        <v>7261</v>
      </c>
      <c r="AE56" s="42">
        <f t="shared" ref="AE56:AG56" si="61">SUM(AE5:AE54)</f>
        <v>5149</v>
      </c>
      <c r="AF56" s="42">
        <f t="shared" si="61"/>
        <v>2605</v>
      </c>
      <c r="AG56" s="46">
        <f t="shared" si="61"/>
        <v>940</v>
      </c>
      <c r="AH56" s="41">
        <f>SUM(AH5:AH54)</f>
        <v>12600</v>
      </c>
      <c r="AI56" s="42">
        <f t="shared" ref="AI56:AK56" si="62">SUM(AI5:AI54)</f>
        <v>0</v>
      </c>
      <c r="AJ56" s="42">
        <f t="shared" si="62"/>
        <v>4463</v>
      </c>
      <c r="AK56" s="46">
        <f t="shared" si="62"/>
        <v>2027.1497780270251</v>
      </c>
      <c r="AL56" s="41">
        <f>SUM(AL5:AL54)</f>
        <v>3809</v>
      </c>
      <c r="AM56" s="42">
        <f t="shared" ref="AM56:AO56" si="63">SUM(AM5:AM54)</f>
        <v>2943</v>
      </c>
      <c r="AN56" s="42">
        <f t="shared" si="63"/>
        <v>1066</v>
      </c>
      <c r="AO56" s="46">
        <f t="shared" si="63"/>
        <v>456.23981900452486</v>
      </c>
      <c r="AP56" s="41">
        <f>SUM(AP5:AP54)</f>
        <v>115</v>
      </c>
      <c r="AQ56" s="42">
        <f t="shared" ref="AQ56:AS56" si="64">SUM(AQ5:AQ54)</f>
        <v>115</v>
      </c>
      <c r="AR56" s="42">
        <f t="shared" si="64"/>
        <v>150</v>
      </c>
      <c r="AS56" s="46">
        <f t="shared" si="64"/>
        <v>13</v>
      </c>
      <c r="AT56" s="41">
        <f t="shared" ref="AT56:AV56" si="65">SUM(AT5:AT54)</f>
        <v>299433</v>
      </c>
      <c r="AU56" s="42">
        <f t="shared" si="65"/>
        <v>83838</v>
      </c>
      <c r="AV56" s="42">
        <f t="shared" si="65"/>
        <v>298159</v>
      </c>
      <c r="AW56" s="152">
        <f t="shared" si="34"/>
        <v>0.99574529193509065</v>
      </c>
    </row>
    <row r="57" spans="1:49" x14ac:dyDescent="0.2">
      <c r="A57" s="79" t="s">
        <v>77</v>
      </c>
      <c r="B57" s="44">
        <f>COUNT(B5:B54)</f>
        <v>50</v>
      </c>
      <c r="C57" s="44">
        <f>COUNT(C5:C54)</f>
        <v>50</v>
      </c>
      <c r="D57" s="44">
        <f>COUNT(D5:D54)</f>
        <v>50</v>
      </c>
      <c r="E57" s="47">
        <f>COUNT(E5:E54)</f>
        <v>50</v>
      </c>
      <c r="F57" s="62">
        <f>COUNTIF(F5:F54,"Yes")</f>
        <v>49</v>
      </c>
      <c r="G57" s="63">
        <f>COUNTIF(G5:G54,"Yes")</f>
        <v>33</v>
      </c>
      <c r="H57" s="63">
        <f>COUNTIF(H5:H54,"Yes")</f>
        <v>32</v>
      </c>
      <c r="I57" s="64">
        <f>COUNTIF(I5:I54,"Yes")</f>
        <v>37</v>
      </c>
      <c r="J57" s="43">
        <f>COUNT(J5:J54)</f>
        <v>22</v>
      </c>
      <c r="K57" s="44">
        <f>J57</f>
        <v>22</v>
      </c>
      <c r="L57" s="44">
        <f t="shared" ref="L57:M57" si="66">COUNT(L5:L54)</f>
        <v>22</v>
      </c>
      <c r="M57" s="47">
        <f t="shared" si="66"/>
        <v>22</v>
      </c>
      <c r="N57" s="43">
        <f>COUNT(N5:N54)</f>
        <v>7</v>
      </c>
      <c r="O57" s="44">
        <f t="shared" ref="O57:Q57" si="67">COUNT(O5:O54)</f>
        <v>7</v>
      </c>
      <c r="P57" s="44">
        <f t="shared" si="67"/>
        <v>7</v>
      </c>
      <c r="Q57" s="47">
        <f t="shared" si="67"/>
        <v>7</v>
      </c>
      <c r="R57" s="43">
        <f>COUNT(R5:R54)</f>
        <v>4</v>
      </c>
      <c r="S57" s="44">
        <f>R57</f>
        <v>4</v>
      </c>
      <c r="T57" s="44">
        <f t="shared" ref="T57:U57" si="68">COUNT(T5:T54)</f>
        <v>4</v>
      </c>
      <c r="U57" s="47">
        <f t="shared" si="68"/>
        <v>4</v>
      </c>
      <c r="V57" s="43">
        <f>COUNT(V5:V54)</f>
        <v>0</v>
      </c>
      <c r="W57" s="44">
        <f t="shared" ref="W57:Y57" si="69">COUNT(W5:W54)</f>
        <v>0</v>
      </c>
      <c r="X57" s="44">
        <f t="shared" si="69"/>
        <v>0</v>
      </c>
      <c r="Y57" s="47">
        <f t="shared" si="69"/>
        <v>0</v>
      </c>
      <c r="Z57" s="43">
        <f>COUNT(Z5:Z54)</f>
        <v>2</v>
      </c>
      <c r="AA57" s="44">
        <f>Z57</f>
        <v>2</v>
      </c>
      <c r="AB57" s="44">
        <f t="shared" ref="AB57:AC57" si="70">COUNT(AB5:AB54)</f>
        <v>2</v>
      </c>
      <c r="AC57" s="47">
        <f t="shared" si="70"/>
        <v>2</v>
      </c>
      <c r="AD57" s="43">
        <f>COUNT(AD5:AD54)</f>
        <v>1</v>
      </c>
      <c r="AE57" s="44">
        <f t="shared" ref="AE57:AG57" si="71">COUNT(AE5:AE54)</f>
        <v>1</v>
      </c>
      <c r="AF57" s="44">
        <f t="shared" si="71"/>
        <v>1</v>
      </c>
      <c r="AG57" s="47">
        <f t="shared" si="71"/>
        <v>1</v>
      </c>
      <c r="AH57" s="43">
        <f>COUNT(AH5:AH54)</f>
        <v>9</v>
      </c>
      <c r="AI57" s="44">
        <f>AH57</f>
        <v>9</v>
      </c>
      <c r="AJ57" s="44">
        <f t="shared" ref="AJ57:AK57" si="72">COUNT(AJ5:AJ54)</f>
        <v>9</v>
      </c>
      <c r="AK57" s="47">
        <f t="shared" si="72"/>
        <v>9</v>
      </c>
      <c r="AL57" s="43">
        <f>COUNT(AL5:AL54)</f>
        <v>4</v>
      </c>
      <c r="AM57" s="44">
        <f t="shared" ref="AM57:AO57" si="73">COUNT(AM5:AM54)</f>
        <v>4</v>
      </c>
      <c r="AN57" s="44">
        <f t="shared" si="73"/>
        <v>4</v>
      </c>
      <c r="AO57" s="47">
        <f t="shared" si="73"/>
        <v>4</v>
      </c>
      <c r="AP57" s="43">
        <f>COUNT(AP5:AP54)</f>
        <v>1</v>
      </c>
      <c r="AQ57" s="44">
        <f t="shared" ref="AQ57:AS57" si="74">COUNT(AQ5:AQ54)</f>
        <v>1</v>
      </c>
      <c r="AR57" s="44">
        <f t="shared" si="74"/>
        <v>1</v>
      </c>
      <c r="AS57" s="47">
        <f t="shared" si="74"/>
        <v>1</v>
      </c>
      <c r="AT57" s="43">
        <f t="shared" ref="AT57:AW57" si="75">COUNT(AT5:AT54)</f>
        <v>50</v>
      </c>
      <c r="AU57" s="44">
        <f t="shared" si="75"/>
        <v>50</v>
      </c>
      <c r="AV57" s="44">
        <f t="shared" si="75"/>
        <v>50</v>
      </c>
      <c r="AW57" s="47">
        <f t="shared" si="75"/>
        <v>50</v>
      </c>
    </row>
    <row r="58" spans="1:49" ht="6" customHeight="1" x14ac:dyDescent="0.2">
      <c r="J58" s="5" t="str">
        <f>IF(AND(F58="Yes",G58="Yes",H58="Yes",I58="Yes"),C58," ")</f>
        <v xml:space="preserve"> </v>
      </c>
      <c r="O58" s="5" t="str">
        <f>IF(AND(F58="Yes",G58="Yes",H58="Yes",I58="No"),C58," ")</f>
        <v xml:space="preserve"> </v>
      </c>
      <c r="R58" s="5" t="str">
        <f>IF(AND(F58="Yes",G58="Yes",H58="No",I58="Yes"),C58," ")</f>
        <v xml:space="preserve"> </v>
      </c>
      <c r="W58" s="5" t="str">
        <f>IF(AND(F58="Yes",G58="Yes",H58="No",I58="No"),C58," ")</f>
        <v xml:space="preserve"> </v>
      </c>
      <c r="Z58" s="5" t="str">
        <f>IF(AND(F58="Yes",G58="No",H58="Yes",I58="Yes"),C58," ")</f>
        <v xml:space="preserve"> </v>
      </c>
      <c r="AE58" s="5" t="str">
        <f>IF(AND(F58="Yes",G58="No",H58="Yes",I58="No"),C58," ")</f>
        <v xml:space="preserve"> </v>
      </c>
      <c r="AH58" s="5" t="str">
        <f>IF(AND(F58="Yes",G58="No",H58="No",I58="Yes"),C58," ")</f>
        <v xml:space="preserve"> </v>
      </c>
      <c r="AM58" s="5" t="str">
        <f>IF(AND(F58="Yes",G58="No",H58="No",I58="No"),C58," ")</f>
        <v xml:space="preserve"> </v>
      </c>
      <c r="AQ58" s="5" t="str">
        <f>IF(AND(F58="No",G58="No",H58="No",I58="No"),C58," ")</f>
        <v xml:space="preserve"> </v>
      </c>
    </row>
    <row r="59" spans="1:49" x14ac:dyDescent="0.2">
      <c r="A59" s="333" t="s">
        <v>4</v>
      </c>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row>
    <row r="60" spans="1:49" x14ac:dyDescent="0.2">
      <c r="A60" s="323" t="s">
        <v>404</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3"/>
      <c r="AO60" s="323"/>
      <c r="AP60" s="323"/>
      <c r="AQ60" s="323"/>
    </row>
    <row r="61" spans="1:49" x14ac:dyDescent="0.2">
      <c r="A61" s="16" t="s">
        <v>402</v>
      </c>
    </row>
    <row r="62" spans="1:49" x14ac:dyDescent="0.2">
      <c r="A62" s="155" t="s">
        <v>212</v>
      </c>
      <c r="F62" s="17"/>
      <c r="G62" s="18"/>
    </row>
    <row r="63" spans="1:49" x14ac:dyDescent="0.2">
      <c r="A63" s="281" t="s">
        <v>406</v>
      </c>
      <c r="F63" s="17"/>
      <c r="G63" s="18"/>
    </row>
    <row r="64" spans="1:49" x14ac:dyDescent="0.2">
      <c r="F64" s="17"/>
      <c r="G64" s="18"/>
    </row>
  </sheetData>
  <mergeCells count="22">
    <mergeCell ref="AT1:AW1"/>
    <mergeCell ref="AP2:AS2"/>
    <mergeCell ref="AP1:AS1"/>
    <mergeCell ref="F1:I1"/>
    <mergeCell ref="A59:AQ59"/>
    <mergeCell ref="AL1:AO1"/>
    <mergeCell ref="A60:AQ60"/>
    <mergeCell ref="J1:M1"/>
    <mergeCell ref="J2:M2"/>
    <mergeCell ref="R1:U1"/>
    <mergeCell ref="R2:U2"/>
    <mergeCell ref="V1:Y1"/>
    <mergeCell ref="V2:Y2"/>
    <mergeCell ref="Z1:AC1"/>
    <mergeCell ref="Z2:AC2"/>
    <mergeCell ref="AD1:AG1"/>
    <mergeCell ref="AD2:AG2"/>
    <mergeCell ref="AH1:AK1"/>
    <mergeCell ref="N1:Q1"/>
    <mergeCell ref="N2:Q2"/>
    <mergeCell ref="AH2:AK2"/>
    <mergeCell ref="AL2:AO2"/>
  </mergeCells>
  <printOptions gridLines="1"/>
  <pageMargins left="0.25" right="0.25" top="0.5" bottom="0.5" header="0.3" footer="0.3"/>
  <pageSetup paperSize="17" orientation="landscape" r:id="rId1"/>
  <headerFooter alignWithMargins="0"/>
  <rowBreaks count="1" manualBreakCount="1">
    <brk id="58" max="15"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opLeftCell="A7" zoomScaleNormal="100" workbookViewId="0">
      <selection activeCell="A17" sqref="A17"/>
    </sheetView>
  </sheetViews>
  <sheetFormatPr defaultRowHeight="12.75" x14ac:dyDescent="0.2"/>
  <cols>
    <col min="1" max="2" width="10.5703125" style="94" customWidth="1"/>
    <col min="3" max="3" width="109.85546875" style="93" customWidth="1"/>
    <col min="4" max="9" width="10.7109375" style="2" customWidth="1"/>
    <col min="10" max="10" width="10.7109375" style="120" customWidth="1"/>
    <col min="11" max="12" width="10.7109375" style="2" customWidth="1"/>
    <col min="13" max="16384" width="9.140625" style="1"/>
  </cols>
  <sheetData>
    <row r="1" spans="1:12" s="93" customFormat="1" ht="44.25" customHeight="1" x14ac:dyDescent="0.2">
      <c r="A1" s="113" t="s">
        <v>245</v>
      </c>
      <c r="B1" s="113" t="s">
        <v>244</v>
      </c>
      <c r="C1" s="114" t="s">
        <v>153</v>
      </c>
      <c r="D1" s="113" t="s">
        <v>242</v>
      </c>
      <c r="E1" s="113" t="s">
        <v>243</v>
      </c>
      <c r="F1" s="113" t="s">
        <v>246</v>
      </c>
      <c r="G1" s="113" t="s">
        <v>339</v>
      </c>
      <c r="H1" s="113" t="s">
        <v>247</v>
      </c>
      <c r="I1" s="113" t="s">
        <v>248</v>
      </c>
      <c r="J1" s="113" t="s">
        <v>249</v>
      </c>
      <c r="K1" s="113" t="s">
        <v>338</v>
      </c>
      <c r="L1" s="113" t="s">
        <v>172</v>
      </c>
    </row>
    <row r="2" spans="1:12" s="102" customFormat="1" ht="51" x14ac:dyDescent="0.25">
      <c r="A2" s="142">
        <f>B2/60</f>
        <v>0.875</v>
      </c>
      <c r="B2" s="143">
        <f>MEDIAN(D2:L2)</f>
        <v>52.5</v>
      </c>
      <c r="C2" s="144" t="s">
        <v>227</v>
      </c>
      <c r="D2" s="145">
        <v>45</v>
      </c>
      <c r="E2" s="145">
        <v>1000</v>
      </c>
      <c r="F2" s="145">
        <v>30</v>
      </c>
      <c r="G2" s="145">
        <v>180</v>
      </c>
      <c r="H2" s="145">
        <v>60</v>
      </c>
      <c r="I2" s="145">
        <v>100</v>
      </c>
      <c r="J2" s="169">
        <f>(5+30)/2</f>
        <v>17.5</v>
      </c>
      <c r="K2" s="145">
        <v>25</v>
      </c>
      <c r="L2" s="145"/>
    </row>
    <row r="3" spans="1:12" s="102" customFormat="1" ht="38.25" x14ac:dyDescent="0.25">
      <c r="A3" s="146"/>
      <c r="B3" s="146"/>
      <c r="C3" s="144" t="s">
        <v>228</v>
      </c>
      <c r="D3" s="148"/>
      <c r="E3" s="148"/>
      <c r="F3" s="148"/>
      <c r="G3" s="148"/>
      <c r="H3" s="148"/>
      <c r="I3" s="148"/>
      <c r="J3" s="168" t="s">
        <v>250</v>
      </c>
      <c r="K3" s="148"/>
      <c r="L3" s="148"/>
    </row>
    <row r="4" spans="1:12" s="102" customFormat="1" ht="38.25" x14ac:dyDescent="0.25">
      <c r="A4" s="142">
        <f t="shared" ref="A4:A8" si="0">B4/60</f>
        <v>8.3333333333333329E-2</v>
      </c>
      <c r="B4" s="143">
        <f>MEDIAN(D4:L4)</f>
        <v>5</v>
      </c>
      <c r="C4" s="144" t="s">
        <v>229</v>
      </c>
      <c r="D4" s="145"/>
      <c r="E4" s="145">
        <v>1000</v>
      </c>
      <c r="F4" s="145">
        <v>30</v>
      </c>
      <c r="G4" s="145">
        <v>1000</v>
      </c>
      <c r="H4" s="145">
        <v>5</v>
      </c>
      <c r="I4" s="145">
        <v>1</v>
      </c>
      <c r="J4" s="169">
        <v>0.01</v>
      </c>
      <c r="K4" s="145">
        <v>3</v>
      </c>
      <c r="L4" s="145"/>
    </row>
    <row r="5" spans="1:12" s="102" customFormat="1" ht="38.25" x14ac:dyDescent="0.25">
      <c r="A5" s="146"/>
      <c r="B5" s="146"/>
      <c r="C5" s="144" t="s">
        <v>230</v>
      </c>
      <c r="D5" s="148"/>
      <c r="E5" s="148"/>
      <c r="F5" s="148"/>
      <c r="G5" s="148"/>
      <c r="H5" s="148"/>
      <c r="I5" s="148"/>
      <c r="J5" s="168" t="s">
        <v>251</v>
      </c>
      <c r="K5" s="148"/>
      <c r="L5" s="148"/>
    </row>
    <row r="6" spans="1:12" s="102" customFormat="1" ht="38.25" x14ac:dyDescent="0.25">
      <c r="A6" s="142">
        <f t="shared" si="0"/>
        <v>0.91666666666666663</v>
      </c>
      <c r="B6" s="143">
        <f>MEDIAN(D6:L6)</f>
        <v>55</v>
      </c>
      <c r="C6" s="144" t="s">
        <v>231</v>
      </c>
      <c r="D6" s="145"/>
      <c r="E6" s="145">
        <v>1000</v>
      </c>
      <c r="F6" s="145">
        <v>30</v>
      </c>
      <c r="G6" s="145">
        <v>180</v>
      </c>
      <c r="H6" s="145">
        <v>80</v>
      </c>
      <c r="I6" s="145"/>
      <c r="J6" s="169">
        <v>0.01</v>
      </c>
      <c r="K6" s="145">
        <v>3</v>
      </c>
      <c r="L6" s="145"/>
    </row>
    <row r="7" spans="1:12" s="102" customFormat="1" ht="25.5" x14ac:dyDescent="0.25">
      <c r="A7" s="146"/>
      <c r="B7" s="146"/>
      <c r="C7" s="144" t="s">
        <v>232</v>
      </c>
      <c r="D7" s="148"/>
      <c r="E7" s="148"/>
      <c r="F7" s="148"/>
      <c r="G7" s="148"/>
      <c r="H7" s="148"/>
      <c r="I7" s="148"/>
      <c r="J7" s="168" t="s">
        <v>251</v>
      </c>
      <c r="K7" s="148"/>
      <c r="L7" s="148"/>
    </row>
    <row r="8" spans="1:12" s="102" customFormat="1" ht="51" x14ac:dyDescent="0.25">
      <c r="A8" s="142">
        <f t="shared" si="0"/>
        <v>1.1666666666666667</v>
      </c>
      <c r="B8" s="143">
        <f>MEDIAN(D8:L8)</f>
        <v>70</v>
      </c>
      <c r="C8" s="144" t="s">
        <v>233</v>
      </c>
      <c r="D8" s="145"/>
      <c r="E8" s="145">
        <v>1000</v>
      </c>
      <c r="F8" s="145">
        <v>60</v>
      </c>
      <c r="G8" s="145">
        <v>180</v>
      </c>
      <c r="H8" s="145">
        <v>80</v>
      </c>
      <c r="I8" s="145"/>
      <c r="J8" s="169">
        <v>0.01</v>
      </c>
      <c r="K8" s="145">
        <v>3</v>
      </c>
      <c r="L8" s="145"/>
    </row>
    <row r="9" spans="1:12" s="102" customFormat="1" ht="38.25" x14ac:dyDescent="0.25">
      <c r="A9" s="146"/>
      <c r="B9" s="146"/>
      <c r="C9" s="144" t="s">
        <v>234</v>
      </c>
      <c r="D9" s="148"/>
      <c r="E9" s="148"/>
      <c r="F9" s="148"/>
      <c r="G9" s="148"/>
      <c r="H9" s="148"/>
      <c r="I9" s="148"/>
      <c r="J9" s="168" t="s">
        <v>251</v>
      </c>
      <c r="K9" s="148"/>
      <c r="L9" s="148"/>
    </row>
    <row r="10" spans="1:12" s="102" customFormat="1" ht="76.5" x14ac:dyDescent="0.25">
      <c r="A10" s="159">
        <f>MEDIAN(D10:L10)</f>
        <v>36</v>
      </c>
      <c r="B10" s="146"/>
      <c r="C10" s="144" t="s">
        <v>235</v>
      </c>
      <c r="D10" s="145"/>
      <c r="E10" s="145">
        <v>100</v>
      </c>
      <c r="F10" s="145">
        <v>10</v>
      </c>
      <c r="G10" s="145">
        <v>100</v>
      </c>
      <c r="H10" s="145">
        <v>40</v>
      </c>
      <c r="I10" s="145">
        <v>36</v>
      </c>
      <c r="J10" s="169">
        <v>24</v>
      </c>
      <c r="K10" s="145">
        <v>10</v>
      </c>
      <c r="L10" s="145"/>
    </row>
    <row r="11" spans="1:12" s="102" customFormat="1" ht="51" x14ac:dyDescent="0.25">
      <c r="A11" s="142">
        <f t="shared" ref="A11" si="1">B11/60</f>
        <v>0.66666666666666663</v>
      </c>
      <c r="B11" s="143">
        <f>MEDIAN(D11:L11)</f>
        <v>40</v>
      </c>
      <c r="C11" s="144" t="s">
        <v>236</v>
      </c>
      <c r="D11" s="145"/>
      <c r="E11" s="145">
        <v>100</v>
      </c>
      <c r="F11" s="145">
        <v>30</v>
      </c>
      <c r="G11" s="145">
        <v>100</v>
      </c>
      <c r="H11" s="145">
        <v>40</v>
      </c>
      <c r="I11" s="145">
        <v>36</v>
      </c>
      <c r="J11" s="169">
        <f>(5+30)/2</f>
        <v>17.5</v>
      </c>
      <c r="K11" s="145">
        <v>90</v>
      </c>
      <c r="L11" s="145"/>
    </row>
    <row r="12" spans="1:12" s="102" customFormat="1" x14ac:dyDescent="0.25">
      <c r="A12" s="146"/>
      <c r="B12" s="146"/>
      <c r="C12" s="147"/>
      <c r="D12" s="148"/>
      <c r="E12" s="148"/>
      <c r="F12" s="148"/>
      <c r="G12" s="148"/>
      <c r="H12" s="148"/>
      <c r="I12" s="148"/>
      <c r="J12" s="168"/>
      <c r="K12" s="148"/>
      <c r="L12" s="148"/>
    </row>
    <row r="13" spans="1:12" s="102" customFormat="1" ht="25.5" x14ac:dyDescent="0.25">
      <c r="A13" s="154"/>
      <c r="B13" s="153">
        <f>MEDIAN(D13:L13)</f>
        <v>0.8</v>
      </c>
      <c r="C13" s="144" t="s">
        <v>237</v>
      </c>
      <c r="D13" s="153"/>
      <c r="E13" s="153">
        <v>0.8</v>
      </c>
      <c r="F13" s="153">
        <v>1</v>
      </c>
      <c r="G13" s="153">
        <v>0.1</v>
      </c>
      <c r="H13" s="153">
        <v>1</v>
      </c>
      <c r="I13" s="153">
        <v>1</v>
      </c>
      <c r="J13" s="170">
        <v>0.2</v>
      </c>
      <c r="K13" s="153">
        <v>0.72</v>
      </c>
      <c r="L13" s="153"/>
    </row>
    <row r="14" spans="1:12" s="102" customFormat="1" x14ac:dyDescent="0.25">
      <c r="A14" s="146"/>
      <c r="B14" s="146"/>
      <c r="C14" s="147"/>
      <c r="D14" s="148"/>
      <c r="E14" s="148"/>
      <c r="F14" s="148"/>
      <c r="G14" s="148"/>
      <c r="H14" s="148"/>
      <c r="I14" s="148"/>
      <c r="J14" s="168"/>
      <c r="K14" s="148"/>
      <c r="L14" s="148"/>
    </row>
    <row r="15" spans="1:12" s="102" customFormat="1" ht="25.5" x14ac:dyDescent="0.25">
      <c r="A15" s="146"/>
      <c r="B15" s="143">
        <f>MEDIAN(D15:L15)</f>
        <v>1</v>
      </c>
      <c r="C15" s="144" t="s">
        <v>238</v>
      </c>
      <c r="D15" s="145">
        <v>0.5</v>
      </c>
      <c r="E15" s="145">
        <v>1</v>
      </c>
      <c r="F15" s="145">
        <v>1</v>
      </c>
      <c r="G15" s="145">
        <v>1</v>
      </c>
      <c r="H15" s="145">
        <v>3</v>
      </c>
      <c r="I15" s="145">
        <v>2</v>
      </c>
      <c r="J15" s="169">
        <v>0.5</v>
      </c>
      <c r="K15" s="145"/>
      <c r="L15" s="145"/>
    </row>
    <row r="17" spans="1:1" x14ac:dyDescent="0.2">
      <c r="A17" s="158"/>
    </row>
  </sheetData>
  <pageMargins left="0.75" right="0.75" top="1" bottom="1" header="0.5" footer="0.5"/>
  <pageSetup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zoomScale="75" zoomScaleNormal="75"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53.42578125" style="1" customWidth="1"/>
    <col min="2" max="2" width="50" style="1" customWidth="1"/>
    <col min="3" max="3" width="49.42578125" style="1" customWidth="1"/>
    <col min="4" max="9" width="60.42578125" style="1" customWidth="1"/>
    <col min="10" max="16384" width="9.140625" style="1"/>
  </cols>
  <sheetData>
    <row r="1" spans="1:9" s="274" customFormat="1" ht="15.75" x14ac:dyDescent="0.25">
      <c r="A1" s="271" t="s">
        <v>0</v>
      </c>
      <c r="B1" s="272" t="s">
        <v>33</v>
      </c>
      <c r="C1" s="272" t="s">
        <v>50</v>
      </c>
      <c r="D1" s="272" t="s">
        <v>61</v>
      </c>
      <c r="E1" s="273" t="s">
        <v>340</v>
      </c>
      <c r="F1" s="273" t="s">
        <v>341</v>
      </c>
      <c r="G1" s="273" t="s">
        <v>68</v>
      </c>
      <c r="H1" s="273" t="s">
        <v>60</v>
      </c>
      <c r="I1" s="273" t="s">
        <v>30</v>
      </c>
    </row>
    <row r="2" spans="1:9" ht="84" x14ac:dyDescent="0.2">
      <c r="A2" s="275" t="s">
        <v>342</v>
      </c>
      <c r="B2" s="276"/>
      <c r="C2" s="276">
        <v>1000</v>
      </c>
      <c r="D2" s="276">
        <v>30</v>
      </c>
      <c r="E2" s="277">
        <v>60</v>
      </c>
      <c r="F2" s="277">
        <v>180</v>
      </c>
      <c r="G2" s="277">
        <v>100</v>
      </c>
      <c r="H2" s="278" t="s">
        <v>343</v>
      </c>
      <c r="I2" s="276" t="s">
        <v>344</v>
      </c>
    </row>
    <row r="3" spans="1:9" ht="293.25" x14ac:dyDescent="0.2">
      <c r="A3" s="275" t="s">
        <v>345</v>
      </c>
      <c r="B3" s="276" t="s">
        <v>346</v>
      </c>
      <c r="C3" s="276" t="s">
        <v>347</v>
      </c>
      <c r="D3" s="276" t="s">
        <v>348</v>
      </c>
      <c r="E3" s="276" t="s">
        <v>349</v>
      </c>
      <c r="F3" s="276" t="s">
        <v>350</v>
      </c>
      <c r="G3" s="276" t="s">
        <v>351</v>
      </c>
      <c r="H3" s="276" t="s">
        <v>352</v>
      </c>
      <c r="I3" s="276" t="s">
        <v>353</v>
      </c>
    </row>
    <row r="4" spans="1:9" ht="60" x14ac:dyDescent="0.2">
      <c r="A4" s="275" t="s">
        <v>354</v>
      </c>
      <c r="B4" s="276"/>
      <c r="C4" s="276">
        <v>1000</v>
      </c>
      <c r="D4" s="276">
        <v>30</v>
      </c>
      <c r="E4" s="277">
        <v>5</v>
      </c>
      <c r="F4" s="277">
        <v>1000</v>
      </c>
      <c r="G4" s="277">
        <v>1</v>
      </c>
      <c r="H4" s="277" t="s">
        <v>355</v>
      </c>
      <c r="I4" s="276" t="s">
        <v>356</v>
      </c>
    </row>
    <row r="5" spans="1:9" ht="344.25" x14ac:dyDescent="0.2">
      <c r="A5" s="275" t="s">
        <v>357</v>
      </c>
      <c r="B5" s="276" t="s">
        <v>358</v>
      </c>
      <c r="C5" s="276" t="s">
        <v>359</v>
      </c>
      <c r="D5" s="276" t="s">
        <v>360</v>
      </c>
      <c r="E5" s="276" t="s">
        <v>361</v>
      </c>
      <c r="F5" s="276" t="s">
        <v>362</v>
      </c>
      <c r="G5" s="276" t="s">
        <v>363</v>
      </c>
      <c r="H5" s="276" t="s">
        <v>364</v>
      </c>
      <c r="I5" s="276" t="s">
        <v>365</v>
      </c>
    </row>
    <row r="6" spans="1:9" ht="60" x14ac:dyDescent="0.2">
      <c r="A6" s="275" t="s">
        <v>366</v>
      </c>
      <c r="B6" s="276"/>
      <c r="C6" s="276">
        <v>1000</v>
      </c>
      <c r="D6" s="276">
        <v>30</v>
      </c>
      <c r="E6" s="277">
        <v>80</v>
      </c>
      <c r="F6" s="277">
        <v>180</v>
      </c>
      <c r="G6" s="277"/>
      <c r="H6" s="277" t="s">
        <v>355</v>
      </c>
      <c r="I6" s="276" t="s">
        <v>356</v>
      </c>
    </row>
    <row r="7" spans="1:9" ht="178.5" x14ac:dyDescent="0.2">
      <c r="A7" s="275" t="s">
        <v>367</v>
      </c>
      <c r="B7" s="276" t="s">
        <v>368</v>
      </c>
      <c r="C7" s="276" t="s">
        <v>369</v>
      </c>
      <c r="D7" s="276" t="s">
        <v>370</v>
      </c>
      <c r="E7" s="276" t="s">
        <v>371</v>
      </c>
      <c r="F7" s="276" t="s">
        <v>372</v>
      </c>
      <c r="G7" s="276" t="s">
        <v>373</v>
      </c>
      <c r="H7" s="276" t="s">
        <v>374</v>
      </c>
      <c r="I7" s="276" t="s">
        <v>375</v>
      </c>
    </row>
    <row r="8" spans="1:9" ht="84" x14ac:dyDescent="0.2">
      <c r="A8" s="275" t="s">
        <v>376</v>
      </c>
      <c r="B8" s="276"/>
      <c r="C8" s="276">
        <v>1000</v>
      </c>
      <c r="D8" s="276">
        <v>60</v>
      </c>
      <c r="E8" s="277">
        <v>80</v>
      </c>
      <c r="F8" s="277">
        <v>180</v>
      </c>
      <c r="G8" s="277"/>
      <c r="H8" s="277" t="s">
        <v>355</v>
      </c>
      <c r="I8" s="276" t="s">
        <v>377</v>
      </c>
    </row>
    <row r="9" spans="1:9" ht="153" x14ac:dyDescent="0.2">
      <c r="A9" s="275" t="s">
        <v>378</v>
      </c>
      <c r="B9" s="276" t="s">
        <v>368</v>
      </c>
      <c r="C9" s="276" t="s">
        <v>379</v>
      </c>
      <c r="D9" s="276" t="s">
        <v>380</v>
      </c>
      <c r="E9" s="276" t="s">
        <v>371</v>
      </c>
      <c r="F9" s="276" t="s">
        <v>381</v>
      </c>
      <c r="G9" s="276" t="s">
        <v>373</v>
      </c>
      <c r="H9" s="276" t="s">
        <v>382</v>
      </c>
      <c r="I9" s="276" t="s">
        <v>383</v>
      </c>
    </row>
    <row r="10" spans="1:9" ht="120" x14ac:dyDescent="0.2">
      <c r="A10" s="275" t="s">
        <v>384</v>
      </c>
      <c r="B10" s="276"/>
      <c r="C10" s="276">
        <v>100</v>
      </c>
      <c r="D10" s="276">
        <v>10</v>
      </c>
      <c r="E10" s="277">
        <v>40</v>
      </c>
      <c r="F10" s="277">
        <v>100</v>
      </c>
      <c r="G10" s="277">
        <v>36</v>
      </c>
      <c r="H10" s="276" t="s">
        <v>385</v>
      </c>
      <c r="I10" s="279">
        <v>10</v>
      </c>
    </row>
    <row r="11" spans="1:9" ht="84" x14ac:dyDescent="0.2">
      <c r="A11" s="275" t="s">
        <v>386</v>
      </c>
      <c r="B11" s="276"/>
      <c r="C11" s="276">
        <v>100</v>
      </c>
      <c r="D11" s="276">
        <v>30</v>
      </c>
      <c r="E11" s="277">
        <v>40</v>
      </c>
      <c r="F11" s="277">
        <v>100</v>
      </c>
      <c r="G11" s="277">
        <v>36</v>
      </c>
      <c r="H11" s="278" t="s">
        <v>343</v>
      </c>
      <c r="I11" s="279">
        <v>90</v>
      </c>
    </row>
    <row r="12" spans="1:9" ht="63.75" x14ac:dyDescent="0.2">
      <c r="A12" s="275" t="s">
        <v>387</v>
      </c>
      <c r="B12" s="276"/>
      <c r="C12" s="276">
        <v>80</v>
      </c>
      <c r="D12" s="276">
        <v>100</v>
      </c>
      <c r="E12" s="277">
        <v>100</v>
      </c>
      <c r="F12" s="277">
        <v>10</v>
      </c>
      <c r="G12" s="277">
        <v>100</v>
      </c>
      <c r="H12" s="276" t="s">
        <v>388</v>
      </c>
      <c r="I12" s="276" t="s">
        <v>389</v>
      </c>
    </row>
    <row r="13" spans="1:9" ht="63.75" x14ac:dyDescent="0.2">
      <c r="A13" s="275" t="s">
        <v>390</v>
      </c>
      <c r="B13" s="276"/>
      <c r="C13" s="276">
        <v>1</v>
      </c>
      <c r="D13" s="276">
        <v>1</v>
      </c>
      <c r="E13" s="277">
        <v>3</v>
      </c>
      <c r="F13" s="277">
        <v>1</v>
      </c>
      <c r="G13" s="277">
        <v>2</v>
      </c>
      <c r="H13" s="276" t="s">
        <v>391</v>
      </c>
      <c r="I13" s="276" t="s">
        <v>392</v>
      </c>
    </row>
    <row r="14" spans="1:9" ht="153" x14ac:dyDescent="0.2">
      <c r="A14" s="275" t="s">
        <v>393</v>
      </c>
      <c r="B14" s="276" t="s">
        <v>394</v>
      </c>
      <c r="C14" s="276" t="s">
        <v>395</v>
      </c>
      <c r="D14" s="276" t="s">
        <v>396</v>
      </c>
      <c r="E14" s="276" t="s">
        <v>397</v>
      </c>
      <c r="F14" s="276" t="s">
        <v>398</v>
      </c>
      <c r="G14" s="276" t="s">
        <v>399</v>
      </c>
      <c r="H14" s="276" t="s">
        <v>400</v>
      </c>
      <c r="I14" s="276" t="s">
        <v>401</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F9" sqref="F9"/>
    </sheetView>
  </sheetViews>
  <sheetFormatPr defaultRowHeight="12.75" x14ac:dyDescent="0.2"/>
  <cols>
    <col min="1" max="2" width="14.28515625" style="1" customWidth="1"/>
    <col min="3" max="3" width="9.140625" style="2"/>
    <col min="4" max="7" width="8" style="1" customWidth="1"/>
    <col min="8" max="8" width="85.5703125" style="121" customWidth="1"/>
    <col min="9" max="9" width="9.140625" style="1"/>
    <col min="10" max="10" width="10.140625" style="123" bestFit="1" customWidth="1"/>
    <col min="11" max="16384" width="9.140625" style="1"/>
  </cols>
  <sheetData>
    <row r="1" spans="1:10" s="120" customFormat="1" ht="51" x14ac:dyDescent="0.2">
      <c r="A1" s="125" t="s">
        <v>175</v>
      </c>
      <c r="B1" s="126" t="s">
        <v>176</v>
      </c>
      <c r="C1" s="126" t="s">
        <v>81</v>
      </c>
      <c r="D1" s="126" t="s">
        <v>181</v>
      </c>
      <c r="E1" s="126" t="s">
        <v>182</v>
      </c>
      <c r="F1" s="126" t="s">
        <v>183</v>
      </c>
      <c r="G1" s="126" t="s">
        <v>184</v>
      </c>
      <c r="H1" s="127" t="s">
        <v>180</v>
      </c>
      <c r="J1" s="122"/>
    </row>
    <row r="2" spans="1:10" x14ac:dyDescent="0.2">
      <c r="A2" s="71" t="s">
        <v>177</v>
      </c>
      <c r="B2" s="19" t="s">
        <v>46</v>
      </c>
      <c r="C2" s="52">
        <v>1</v>
      </c>
      <c r="D2" s="20">
        <f>1.1*300</f>
        <v>330</v>
      </c>
      <c r="E2" s="20">
        <f>1.1*150</f>
        <v>165</v>
      </c>
      <c r="F2" s="20"/>
      <c r="G2" s="20">
        <f>SUM(D2:F2)</f>
        <v>495</v>
      </c>
      <c r="H2" s="128" t="s">
        <v>197</v>
      </c>
    </row>
    <row r="3" spans="1:10" x14ac:dyDescent="0.2">
      <c r="A3" s="71" t="s">
        <v>178</v>
      </c>
      <c r="B3" s="19" t="s">
        <v>179</v>
      </c>
      <c r="C3" s="52">
        <v>30</v>
      </c>
      <c r="D3" s="20">
        <f>(((91592/110)/C3)*1.1)+15</f>
        <v>45.530666666666669</v>
      </c>
      <c r="E3" s="20">
        <f>((20+26)*1.1)+15</f>
        <v>65.599999999999994</v>
      </c>
      <c r="F3" s="20">
        <f>(1.1*(20+26))+15</f>
        <v>65.599999999999994</v>
      </c>
      <c r="G3" s="20">
        <f t="shared" ref="G3:G8" si="0">SUM(D3:F3)</f>
        <v>176.73066666666665</v>
      </c>
      <c r="H3" s="129" t="s">
        <v>193</v>
      </c>
    </row>
    <row r="4" spans="1:10" x14ac:dyDescent="0.2">
      <c r="A4" s="71" t="s">
        <v>185</v>
      </c>
      <c r="B4" s="19" t="s">
        <v>186</v>
      </c>
      <c r="C4" s="52">
        <v>5</v>
      </c>
      <c r="D4" s="20">
        <f>(1.1*(464.75/C4))+15</f>
        <v>117.245</v>
      </c>
      <c r="E4" s="20"/>
      <c r="F4" s="20"/>
      <c r="G4" s="20">
        <f t="shared" si="0"/>
        <v>117.245</v>
      </c>
      <c r="H4" s="130" t="s">
        <v>194</v>
      </c>
    </row>
    <row r="5" spans="1:10" x14ac:dyDescent="0.2">
      <c r="A5" s="71" t="s">
        <v>187</v>
      </c>
      <c r="B5" s="19" t="s">
        <v>49</v>
      </c>
      <c r="C5" s="52">
        <v>1</v>
      </c>
      <c r="D5" s="20">
        <f>(1.1*((19670/95)+20))+15</f>
        <v>264.7578947368421</v>
      </c>
      <c r="E5" s="20"/>
      <c r="F5" s="20"/>
      <c r="G5" s="20">
        <f t="shared" si="0"/>
        <v>264.7578947368421</v>
      </c>
      <c r="H5" s="130" t="s">
        <v>188</v>
      </c>
    </row>
    <row r="6" spans="1:10" x14ac:dyDescent="0.2">
      <c r="A6" s="71" t="s">
        <v>189</v>
      </c>
      <c r="B6" s="19" t="s">
        <v>60</v>
      </c>
      <c r="C6" s="52">
        <v>1</v>
      </c>
      <c r="D6" s="20">
        <f>(1.1*100)+8</f>
        <v>118.00000000000001</v>
      </c>
      <c r="E6" s="20">
        <f>(1.1*50)+7</f>
        <v>62.000000000000007</v>
      </c>
      <c r="F6" s="20"/>
      <c r="G6" s="20">
        <f t="shared" si="0"/>
        <v>180.00000000000003</v>
      </c>
      <c r="H6" s="130" t="s">
        <v>190</v>
      </c>
    </row>
    <row r="7" spans="1:10" x14ac:dyDescent="0.2">
      <c r="A7" s="71" t="s">
        <v>191</v>
      </c>
      <c r="B7" s="19" t="s">
        <v>58</v>
      </c>
      <c r="C7" s="52">
        <v>1</v>
      </c>
      <c r="D7" s="20">
        <f>1.1*62</f>
        <v>68.2</v>
      </c>
      <c r="E7" s="20">
        <f>(1.1*40)+7</f>
        <v>51</v>
      </c>
      <c r="F7" s="20">
        <f>(1.1*40)+8</f>
        <v>52</v>
      </c>
      <c r="G7" s="20">
        <f t="shared" si="0"/>
        <v>171.2</v>
      </c>
      <c r="H7" s="128" t="s">
        <v>192</v>
      </c>
    </row>
    <row r="8" spans="1:10" x14ac:dyDescent="0.2">
      <c r="A8" s="71" t="s">
        <v>195</v>
      </c>
      <c r="B8" s="19" t="s">
        <v>36</v>
      </c>
      <c r="C8" s="52">
        <v>1</v>
      </c>
      <c r="D8" s="20">
        <f>(1.1*253.9)+15</f>
        <v>294.29000000000002</v>
      </c>
      <c r="E8" s="20"/>
      <c r="F8" s="20"/>
      <c r="G8" s="20">
        <f t="shared" si="0"/>
        <v>294.29000000000002</v>
      </c>
      <c r="H8" s="130" t="s">
        <v>196</v>
      </c>
    </row>
    <row r="9" spans="1:10" s="3" customFormat="1" x14ac:dyDescent="0.2">
      <c r="A9" s="131"/>
      <c r="B9" s="132"/>
      <c r="C9" s="133" t="s">
        <v>198</v>
      </c>
      <c r="D9" s="134">
        <f>MEDIAN(D2:D8)</f>
        <v>118.00000000000001</v>
      </c>
      <c r="E9" s="134">
        <f t="shared" ref="E9:G9" si="1">MEDIAN(E2:E8)</f>
        <v>63.8</v>
      </c>
      <c r="F9" s="134">
        <f t="shared" si="1"/>
        <v>58.8</v>
      </c>
      <c r="G9" s="134">
        <f t="shared" si="1"/>
        <v>180.00000000000003</v>
      </c>
      <c r="H9" s="135"/>
      <c r="J9" s="124"/>
    </row>
    <row r="10" spans="1:10" s="3" customFormat="1" x14ac:dyDescent="0.2">
      <c r="A10" s="136"/>
      <c r="B10" s="137"/>
      <c r="C10" s="138" t="s">
        <v>199</v>
      </c>
      <c r="D10" s="139">
        <f>AVERAGE(D2:D8)</f>
        <v>176.86050877192983</v>
      </c>
      <c r="E10" s="139">
        <f t="shared" ref="E10:G10" si="2">AVERAGE(E2:E8)</f>
        <v>85.9</v>
      </c>
      <c r="F10" s="139">
        <f t="shared" si="2"/>
        <v>58.8</v>
      </c>
      <c r="G10" s="139">
        <f t="shared" si="2"/>
        <v>242.7462230576441</v>
      </c>
      <c r="H10" s="140"/>
      <c r="J10" s="124"/>
    </row>
    <row r="11" spans="1:10" x14ac:dyDescent="0.2">
      <c r="D11" s="4"/>
      <c r="E11" s="4"/>
      <c r="F11" s="4"/>
      <c r="G11" s="4"/>
    </row>
    <row r="12" spans="1:10" ht="24" x14ac:dyDescent="0.2">
      <c r="D12" s="4"/>
      <c r="E12" s="4"/>
      <c r="F12" s="4"/>
      <c r="G12" s="4"/>
      <c r="H12" s="141" t="s">
        <v>201</v>
      </c>
    </row>
    <row r="13" spans="1:10" x14ac:dyDescent="0.2">
      <c r="D13" s="4"/>
      <c r="E13" s="4"/>
      <c r="F13" s="4"/>
      <c r="G13" s="4"/>
    </row>
    <row r="17" s="1" customFormat="1" x14ac:dyDescent="0.2"/>
  </sheetData>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zoomScale="75" zoomScaleNormal="75" workbookViewId="0">
      <pane xSplit="3" ySplit="1" topLeftCell="D39" activePane="bottomRight" state="frozen"/>
      <selection pane="topRight" activeCell="B1" sqref="B1"/>
      <selection pane="bottomLeft" activeCell="A2" sqref="A2"/>
      <selection pane="bottomRight" activeCell="N27" sqref="N27"/>
    </sheetView>
  </sheetViews>
  <sheetFormatPr defaultRowHeight="12.75" x14ac:dyDescent="0.25"/>
  <cols>
    <col min="1" max="1" width="19.140625" style="282" bestFit="1" customWidth="1"/>
    <col min="2" max="2" width="18.85546875" style="282" customWidth="1"/>
    <col min="3" max="3" width="28.85546875" style="286" bestFit="1" customWidth="1"/>
    <col min="4" max="5" width="12.28515625" style="289" customWidth="1"/>
    <col min="6" max="6" width="13.140625" style="289" customWidth="1"/>
    <col min="7" max="7" width="9.140625" style="286"/>
    <col min="8" max="8" width="13.140625" style="297" customWidth="1"/>
    <col min="9" max="9" width="13.140625" style="286" customWidth="1"/>
    <col min="10" max="16384" width="9.140625" style="286"/>
  </cols>
  <sheetData>
    <row r="1" spans="1:10" s="282" customFormat="1" ht="29.25" customHeight="1" x14ac:dyDescent="0.2">
      <c r="A1" s="334" t="s">
        <v>505</v>
      </c>
      <c r="B1" s="335"/>
      <c r="C1" s="306" t="s">
        <v>407</v>
      </c>
      <c r="D1" s="306" t="s">
        <v>408</v>
      </c>
      <c r="E1" s="306" t="s">
        <v>409</v>
      </c>
      <c r="F1" s="307" t="s">
        <v>410</v>
      </c>
      <c r="H1" s="300" t="s">
        <v>490</v>
      </c>
      <c r="I1" s="299" t="s">
        <v>491</v>
      </c>
      <c r="J1" s="299"/>
    </row>
    <row r="2" spans="1:10" ht="15" customHeight="1" x14ac:dyDescent="0.25">
      <c r="A2" s="342" t="s">
        <v>87</v>
      </c>
      <c r="B2" s="337" t="s">
        <v>500</v>
      </c>
      <c r="C2" s="283" t="s">
        <v>411</v>
      </c>
      <c r="D2" s="284"/>
      <c r="E2" s="285"/>
      <c r="F2" s="285" t="str">
        <f>IF(COUNTA(D2:E2)=0,"X","")</f>
        <v>X</v>
      </c>
      <c r="H2" s="297">
        <v>0</v>
      </c>
      <c r="I2" s="286">
        <v>0</v>
      </c>
    </row>
    <row r="3" spans="1:10" x14ac:dyDescent="0.25">
      <c r="A3" s="342"/>
      <c r="B3" s="337"/>
      <c r="C3" s="283" t="s">
        <v>412</v>
      </c>
      <c r="D3" s="284"/>
      <c r="E3" s="285"/>
      <c r="F3" s="285" t="str">
        <f t="shared" ref="F3:F71" si="0">IF(COUNTA(D3:E3)=0,"X","")</f>
        <v>X</v>
      </c>
      <c r="H3" s="297">
        <v>0</v>
      </c>
      <c r="I3" s="286">
        <v>0</v>
      </c>
    </row>
    <row r="4" spans="1:10" x14ac:dyDescent="0.25">
      <c r="A4" s="342"/>
      <c r="B4" s="337"/>
      <c r="C4" s="283" t="s">
        <v>413</v>
      </c>
      <c r="D4" s="284"/>
      <c r="E4" s="285"/>
      <c r="F4" s="285" t="str">
        <f t="shared" si="0"/>
        <v>X</v>
      </c>
      <c r="H4" s="297">
        <v>0</v>
      </c>
      <c r="I4" s="286">
        <v>0</v>
      </c>
    </row>
    <row r="5" spans="1:10" x14ac:dyDescent="0.25">
      <c r="A5" s="342"/>
      <c r="B5" s="337"/>
      <c r="C5" s="283" t="s">
        <v>414</v>
      </c>
      <c r="D5" s="284" t="s">
        <v>415</v>
      </c>
      <c r="E5" s="285"/>
      <c r="F5" s="285" t="str">
        <f t="shared" si="0"/>
        <v/>
      </c>
    </row>
    <row r="6" spans="1:10" x14ac:dyDescent="0.25">
      <c r="A6" s="342"/>
      <c r="B6" s="337"/>
      <c r="C6" s="283" t="s">
        <v>416</v>
      </c>
      <c r="D6" s="284" t="s">
        <v>415</v>
      </c>
      <c r="E6" s="285"/>
      <c r="F6" s="285" t="str">
        <f t="shared" si="0"/>
        <v/>
      </c>
    </row>
    <row r="7" spans="1:10" x14ac:dyDescent="0.25">
      <c r="A7" s="342"/>
      <c r="B7" s="337"/>
      <c r="C7" s="283" t="s">
        <v>417</v>
      </c>
      <c r="D7" s="284" t="s">
        <v>415</v>
      </c>
      <c r="E7" s="285"/>
      <c r="F7" s="285" t="str">
        <f t="shared" si="0"/>
        <v/>
      </c>
    </row>
    <row r="8" spans="1:10" x14ac:dyDescent="0.25">
      <c r="A8" s="342"/>
      <c r="B8" s="337"/>
      <c r="C8" s="283" t="s">
        <v>418</v>
      </c>
      <c r="D8" s="284" t="s">
        <v>415</v>
      </c>
      <c r="E8" s="285"/>
      <c r="F8" s="285" t="str">
        <f t="shared" si="0"/>
        <v/>
      </c>
    </row>
    <row r="9" spans="1:10" x14ac:dyDescent="0.25">
      <c r="A9" s="342"/>
      <c r="B9" s="337"/>
      <c r="C9" s="283" t="s">
        <v>419</v>
      </c>
      <c r="D9" s="284" t="s">
        <v>415</v>
      </c>
      <c r="E9" s="285"/>
      <c r="F9" s="285" t="str">
        <f t="shared" si="0"/>
        <v/>
      </c>
    </row>
    <row r="10" spans="1:10" x14ac:dyDescent="0.25">
      <c r="A10" s="342"/>
      <c r="B10" s="337"/>
      <c r="C10" s="283" t="s">
        <v>420</v>
      </c>
      <c r="D10" s="284" t="s">
        <v>415</v>
      </c>
      <c r="E10" s="285"/>
      <c r="F10" s="285" t="str">
        <f t="shared" si="0"/>
        <v/>
      </c>
    </row>
    <row r="11" spans="1:10" x14ac:dyDescent="0.25">
      <c r="A11" s="342"/>
      <c r="B11" s="337"/>
      <c r="C11" s="283" t="s">
        <v>421</v>
      </c>
      <c r="D11" s="284" t="s">
        <v>415</v>
      </c>
      <c r="E11" s="285"/>
      <c r="F11" s="285" t="str">
        <f t="shared" si="0"/>
        <v/>
      </c>
    </row>
    <row r="12" spans="1:10" x14ac:dyDescent="0.25">
      <c r="A12" s="342"/>
      <c r="B12" s="337"/>
      <c r="C12" s="283" t="s">
        <v>422</v>
      </c>
      <c r="D12" s="284" t="s">
        <v>415</v>
      </c>
      <c r="E12" s="285"/>
      <c r="F12" s="285" t="str">
        <f t="shared" si="0"/>
        <v/>
      </c>
    </row>
    <row r="13" spans="1:10" x14ac:dyDescent="0.25">
      <c r="A13" s="342"/>
      <c r="B13" s="337"/>
      <c r="C13" s="283" t="s">
        <v>423</v>
      </c>
      <c r="D13" s="284"/>
      <c r="E13" s="285"/>
      <c r="F13" s="285" t="str">
        <f t="shared" si="0"/>
        <v>X</v>
      </c>
      <c r="H13" s="297">
        <v>0</v>
      </c>
      <c r="I13" s="286">
        <v>0</v>
      </c>
    </row>
    <row r="14" spans="1:10" x14ac:dyDescent="0.25">
      <c r="A14" s="342"/>
      <c r="B14" s="337"/>
      <c r="C14" s="283" t="s">
        <v>424</v>
      </c>
      <c r="D14" s="284"/>
      <c r="E14" s="285"/>
      <c r="F14" s="285" t="str">
        <f t="shared" si="0"/>
        <v>X</v>
      </c>
      <c r="H14" s="297">
        <v>0</v>
      </c>
      <c r="I14" s="286">
        <v>0</v>
      </c>
    </row>
    <row r="15" spans="1:10" x14ac:dyDescent="0.25">
      <c r="A15" s="342"/>
      <c r="B15" s="337"/>
      <c r="C15" s="283" t="s">
        <v>425</v>
      </c>
      <c r="D15" s="284"/>
      <c r="E15" s="285"/>
      <c r="F15" s="285" t="str">
        <f t="shared" si="0"/>
        <v>X</v>
      </c>
      <c r="H15" s="297">
        <v>0</v>
      </c>
      <c r="I15" s="286">
        <v>0</v>
      </c>
    </row>
    <row r="16" spans="1:10" x14ac:dyDescent="0.25">
      <c r="A16" s="342"/>
      <c r="B16" s="337"/>
      <c r="C16" s="283" t="s">
        <v>426</v>
      </c>
      <c r="D16" s="284" t="s">
        <v>415</v>
      </c>
      <c r="E16" s="285"/>
      <c r="F16" s="285" t="str">
        <f t="shared" si="0"/>
        <v/>
      </c>
    </row>
    <row r="17" spans="1:9" x14ac:dyDescent="0.25">
      <c r="A17" s="342"/>
      <c r="B17" s="337"/>
      <c r="C17" s="283" t="s">
        <v>427</v>
      </c>
      <c r="D17" s="284" t="s">
        <v>415</v>
      </c>
      <c r="E17" s="285"/>
      <c r="F17" s="285" t="str">
        <f t="shared" si="0"/>
        <v/>
      </c>
    </row>
    <row r="18" spans="1:9" x14ac:dyDescent="0.25">
      <c r="A18" s="342"/>
      <c r="B18" s="337"/>
      <c r="C18" s="283" t="s">
        <v>428</v>
      </c>
      <c r="D18" s="284" t="s">
        <v>415</v>
      </c>
      <c r="E18" s="285"/>
      <c r="F18" s="285" t="str">
        <f t="shared" si="0"/>
        <v/>
      </c>
    </row>
    <row r="19" spans="1:9" x14ac:dyDescent="0.25">
      <c r="A19" s="342"/>
      <c r="B19" s="337"/>
      <c r="C19" s="283" t="s">
        <v>429</v>
      </c>
      <c r="D19" s="284" t="s">
        <v>415</v>
      </c>
      <c r="E19" s="285"/>
      <c r="F19" s="285" t="str">
        <f t="shared" si="0"/>
        <v/>
      </c>
    </row>
    <row r="20" spans="1:9" x14ac:dyDescent="0.25">
      <c r="A20" s="342"/>
      <c r="B20" s="337"/>
      <c r="C20" s="283" t="s">
        <v>430</v>
      </c>
      <c r="D20" s="284" t="s">
        <v>415</v>
      </c>
      <c r="E20" s="285"/>
      <c r="F20" s="285" t="str">
        <f t="shared" si="0"/>
        <v/>
      </c>
    </row>
    <row r="21" spans="1:9" x14ac:dyDescent="0.25">
      <c r="A21" s="342"/>
      <c r="B21" s="337"/>
      <c r="C21" s="283" t="s">
        <v>437</v>
      </c>
      <c r="D21" s="284"/>
      <c r="E21" s="285"/>
      <c r="F21" s="285" t="str">
        <f>IF(COUNTA(D21:E21)=0,"X","")</f>
        <v>X</v>
      </c>
      <c r="H21" s="297">
        <v>0</v>
      </c>
      <c r="I21" s="286">
        <v>0</v>
      </c>
    </row>
    <row r="22" spans="1:9" x14ac:dyDescent="0.25">
      <c r="A22" s="342"/>
      <c r="B22" s="337"/>
      <c r="C22" s="283" t="s">
        <v>456</v>
      </c>
      <c r="D22" s="284"/>
      <c r="E22" s="285"/>
      <c r="F22" s="285" t="str">
        <f>IF(COUNTA(D22:E22)=0,"X","")</f>
        <v>X</v>
      </c>
    </row>
    <row r="23" spans="1:9" x14ac:dyDescent="0.25">
      <c r="A23" s="342"/>
      <c r="B23" s="338" t="s">
        <v>504</v>
      </c>
      <c r="C23" s="283" t="s">
        <v>431</v>
      </c>
      <c r="D23" s="284" t="s">
        <v>415</v>
      </c>
      <c r="E23" s="285"/>
      <c r="F23" s="285" t="str">
        <f t="shared" si="0"/>
        <v/>
      </c>
    </row>
    <row r="24" spans="1:9" x14ac:dyDescent="0.25">
      <c r="A24" s="342"/>
      <c r="B24" s="338"/>
      <c r="C24" s="283" t="s">
        <v>432</v>
      </c>
      <c r="D24" s="284" t="s">
        <v>415</v>
      </c>
      <c r="E24" s="285"/>
      <c r="F24" s="285" t="str">
        <f t="shared" si="0"/>
        <v/>
      </c>
    </row>
    <row r="25" spans="1:9" x14ac:dyDescent="0.25">
      <c r="A25" s="342"/>
      <c r="B25" s="338"/>
      <c r="C25" s="283" t="s">
        <v>433</v>
      </c>
      <c r="D25" s="284" t="s">
        <v>415</v>
      </c>
      <c r="E25" s="285"/>
      <c r="F25" s="285" t="str">
        <f t="shared" si="0"/>
        <v/>
      </c>
    </row>
    <row r="26" spans="1:9" x14ac:dyDescent="0.25">
      <c r="A26" s="342"/>
      <c r="B26" s="338"/>
      <c r="C26" s="283" t="s">
        <v>434</v>
      </c>
      <c r="D26" s="284" t="s">
        <v>415</v>
      </c>
      <c r="E26" s="285"/>
      <c r="F26" s="285" t="str">
        <f t="shared" si="0"/>
        <v/>
      </c>
    </row>
    <row r="27" spans="1:9" x14ac:dyDescent="0.25">
      <c r="A27" s="342"/>
      <c r="B27" s="338"/>
      <c r="C27" s="283" t="s">
        <v>435</v>
      </c>
      <c r="D27" s="284" t="s">
        <v>415</v>
      </c>
      <c r="E27" s="285"/>
      <c r="F27" s="285" t="str">
        <f t="shared" si="0"/>
        <v/>
      </c>
    </row>
    <row r="28" spans="1:9" x14ac:dyDescent="0.25">
      <c r="A28" s="342"/>
      <c r="B28" s="338"/>
      <c r="C28" s="283" t="s">
        <v>436</v>
      </c>
      <c r="D28" s="284" t="s">
        <v>415</v>
      </c>
      <c r="E28" s="285"/>
      <c r="F28" s="285" t="str">
        <f t="shared" si="0"/>
        <v/>
      </c>
    </row>
    <row r="29" spans="1:9" x14ac:dyDescent="0.25">
      <c r="A29" s="342"/>
      <c r="B29" s="339" t="s">
        <v>503</v>
      </c>
      <c r="C29" s="283" t="s">
        <v>438</v>
      </c>
      <c r="D29" s="284"/>
      <c r="E29" s="285"/>
      <c r="F29" s="285" t="str">
        <f t="shared" si="0"/>
        <v>X</v>
      </c>
      <c r="H29" s="297">
        <v>1</v>
      </c>
      <c r="I29" s="286">
        <v>1</v>
      </c>
    </row>
    <row r="30" spans="1:9" x14ac:dyDescent="0.25">
      <c r="A30" s="342"/>
      <c r="B30" s="339"/>
      <c r="C30" s="283" t="s">
        <v>439</v>
      </c>
      <c r="D30" s="284"/>
      <c r="E30" s="285"/>
      <c r="F30" s="285" t="str">
        <f t="shared" si="0"/>
        <v>X</v>
      </c>
      <c r="H30" s="297">
        <v>1</v>
      </c>
      <c r="I30" s="286">
        <v>1</v>
      </c>
    </row>
    <row r="31" spans="1:9" x14ac:dyDescent="0.25">
      <c r="A31" s="342"/>
      <c r="B31" s="339"/>
      <c r="C31" s="283" t="s">
        <v>440</v>
      </c>
      <c r="D31" s="284"/>
      <c r="E31" s="285"/>
      <c r="F31" s="285" t="str">
        <f t="shared" si="0"/>
        <v>X</v>
      </c>
      <c r="H31" s="297">
        <v>1</v>
      </c>
      <c r="I31" s="286">
        <v>1</v>
      </c>
    </row>
    <row r="32" spans="1:9" x14ac:dyDescent="0.25">
      <c r="A32" s="342"/>
      <c r="B32" s="339"/>
      <c r="C32" s="283" t="s">
        <v>441</v>
      </c>
      <c r="D32" s="284"/>
      <c r="E32" s="285"/>
      <c r="F32" s="285" t="str">
        <f t="shared" si="0"/>
        <v>X</v>
      </c>
      <c r="H32" s="297">
        <v>1</v>
      </c>
      <c r="I32" s="286">
        <v>1</v>
      </c>
    </row>
    <row r="33" spans="1:13" x14ac:dyDescent="0.25">
      <c r="A33" s="342"/>
      <c r="B33" s="339"/>
      <c r="C33" s="283" t="s">
        <v>442</v>
      </c>
      <c r="D33" s="284"/>
      <c r="E33" s="285"/>
      <c r="F33" s="285" t="str">
        <f t="shared" si="0"/>
        <v>X</v>
      </c>
      <c r="H33" s="297">
        <v>1</v>
      </c>
      <c r="I33" s="286">
        <v>1</v>
      </c>
    </row>
    <row r="34" spans="1:13" x14ac:dyDescent="0.25">
      <c r="A34" s="342"/>
      <c r="B34" s="339"/>
      <c r="C34" s="283" t="s">
        <v>443</v>
      </c>
      <c r="D34" s="284"/>
      <c r="E34" s="285" t="s">
        <v>415</v>
      </c>
      <c r="F34" s="285" t="str">
        <f t="shared" si="0"/>
        <v/>
      </c>
      <c r="H34" s="297">
        <v>1</v>
      </c>
      <c r="I34" s="286">
        <v>1</v>
      </c>
    </row>
    <row r="35" spans="1:13" x14ac:dyDescent="0.25">
      <c r="A35" s="342"/>
      <c r="B35" s="339"/>
      <c r="C35" s="283" t="s">
        <v>444</v>
      </c>
      <c r="D35" s="284"/>
      <c r="E35" s="285" t="s">
        <v>415</v>
      </c>
      <c r="F35" s="285" t="str">
        <f t="shared" si="0"/>
        <v/>
      </c>
    </row>
    <row r="36" spans="1:13" x14ac:dyDescent="0.25">
      <c r="A36" s="342"/>
      <c r="B36" s="339"/>
      <c r="C36" s="283" t="s">
        <v>445</v>
      </c>
      <c r="D36" s="284"/>
      <c r="E36" s="285" t="s">
        <v>415</v>
      </c>
      <c r="F36" s="285" t="str">
        <f t="shared" si="0"/>
        <v/>
      </c>
      <c r="K36" s="296"/>
      <c r="M36" s="298"/>
    </row>
    <row r="37" spans="1:13" x14ac:dyDescent="0.25">
      <c r="A37" s="342"/>
      <c r="B37" s="339"/>
      <c r="C37" s="283" t="s">
        <v>446</v>
      </c>
      <c r="D37" s="284"/>
      <c r="E37" s="285" t="s">
        <v>415</v>
      </c>
      <c r="F37" s="285" t="str">
        <f t="shared" si="0"/>
        <v/>
      </c>
      <c r="K37" s="296"/>
    </row>
    <row r="38" spans="1:13" x14ac:dyDescent="0.25">
      <c r="A38" s="342"/>
      <c r="B38" s="339"/>
      <c r="C38" s="283" t="s">
        <v>447</v>
      </c>
      <c r="D38" s="284"/>
      <c r="E38" s="285" t="s">
        <v>415</v>
      </c>
      <c r="F38" s="285" t="str">
        <f t="shared" si="0"/>
        <v/>
      </c>
    </row>
    <row r="39" spans="1:13" x14ac:dyDescent="0.25">
      <c r="A39" s="342"/>
      <c r="B39" s="339"/>
      <c r="C39" s="283" t="s">
        <v>448</v>
      </c>
      <c r="D39" s="284"/>
      <c r="E39" s="285" t="s">
        <v>415</v>
      </c>
      <c r="F39" s="285" t="str">
        <f t="shared" si="0"/>
        <v/>
      </c>
    </row>
    <row r="40" spans="1:13" x14ac:dyDescent="0.25">
      <c r="A40" s="342"/>
      <c r="B40" s="339"/>
      <c r="C40" s="283" t="s">
        <v>449</v>
      </c>
      <c r="D40" s="284"/>
      <c r="E40" s="285" t="s">
        <v>415</v>
      </c>
      <c r="F40" s="285" t="str">
        <f t="shared" si="0"/>
        <v/>
      </c>
    </row>
    <row r="41" spans="1:13" x14ac:dyDescent="0.25">
      <c r="A41" s="342"/>
      <c r="B41" s="339"/>
      <c r="C41" s="283" t="s">
        <v>450</v>
      </c>
      <c r="D41" s="284"/>
      <c r="E41" s="285" t="s">
        <v>415</v>
      </c>
      <c r="F41" s="285" t="str">
        <f t="shared" si="0"/>
        <v/>
      </c>
    </row>
    <row r="42" spans="1:13" x14ac:dyDescent="0.25">
      <c r="A42" s="342"/>
      <c r="B42" s="339"/>
      <c r="C42" s="283" t="s">
        <v>451</v>
      </c>
      <c r="D42" s="284"/>
      <c r="E42" s="285" t="s">
        <v>415</v>
      </c>
      <c r="F42" s="285" t="str">
        <f t="shared" si="0"/>
        <v/>
      </c>
    </row>
    <row r="43" spans="1:13" x14ac:dyDescent="0.25">
      <c r="A43" s="342"/>
      <c r="B43" s="339"/>
      <c r="C43" s="283" t="s">
        <v>452</v>
      </c>
      <c r="D43" s="284"/>
      <c r="E43" s="285" t="s">
        <v>415</v>
      </c>
      <c r="F43" s="285" t="str">
        <f t="shared" si="0"/>
        <v/>
      </c>
      <c r="H43" s="297">
        <v>1</v>
      </c>
      <c r="I43" s="286">
        <v>1</v>
      </c>
    </row>
    <row r="44" spans="1:13" x14ac:dyDescent="0.25">
      <c r="A44" s="342"/>
      <c r="B44" s="339"/>
      <c r="C44" s="283" t="s">
        <v>453</v>
      </c>
      <c r="D44" s="284"/>
      <c r="E44" s="285"/>
      <c r="F44" s="285" t="str">
        <f t="shared" si="0"/>
        <v>X</v>
      </c>
      <c r="H44" s="297">
        <v>1</v>
      </c>
      <c r="I44" s="286">
        <v>1</v>
      </c>
    </row>
    <row r="45" spans="1:13" x14ac:dyDescent="0.25">
      <c r="A45" s="342"/>
      <c r="B45" s="339"/>
      <c r="C45" s="283" t="s">
        <v>454</v>
      </c>
      <c r="D45" s="284"/>
      <c r="E45" s="285"/>
      <c r="F45" s="285" t="str">
        <f t="shared" si="0"/>
        <v>X</v>
      </c>
      <c r="H45" s="297">
        <v>1</v>
      </c>
      <c r="I45" s="286">
        <v>1</v>
      </c>
    </row>
    <row r="46" spans="1:13" x14ac:dyDescent="0.25">
      <c r="A46" s="342"/>
      <c r="B46" s="339"/>
      <c r="C46" s="283" t="s">
        <v>455</v>
      </c>
      <c r="D46" s="284"/>
      <c r="E46" s="285"/>
      <c r="F46" s="285" t="str">
        <f t="shared" si="0"/>
        <v>X</v>
      </c>
      <c r="H46" s="297">
        <v>1</v>
      </c>
      <c r="I46" s="286">
        <v>1</v>
      </c>
    </row>
    <row r="47" spans="1:13" x14ac:dyDescent="0.25">
      <c r="A47" s="342"/>
      <c r="B47" s="339"/>
      <c r="C47" s="283" t="s">
        <v>457</v>
      </c>
      <c r="D47" s="284"/>
      <c r="E47" s="285"/>
      <c r="F47" s="285" t="str">
        <f t="shared" si="0"/>
        <v>X</v>
      </c>
      <c r="H47" s="297">
        <v>1</v>
      </c>
      <c r="I47" s="286">
        <v>1</v>
      </c>
    </row>
    <row r="48" spans="1:13" x14ac:dyDescent="0.25">
      <c r="A48" s="342"/>
      <c r="B48" s="339"/>
      <c r="C48" s="283" t="s">
        <v>458</v>
      </c>
      <c r="D48" s="284"/>
      <c r="E48" s="285"/>
      <c r="F48" s="285" t="str">
        <f t="shared" si="0"/>
        <v>X</v>
      </c>
      <c r="H48" s="297">
        <v>1</v>
      </c>
      <c r="I48" s="286">
        <v>1</v>
      </c>
    </row>
    <row r="49" spans="1:9" x14ac:dyDescent="0.25">
      <c r="A49" s="342"/>
      <c r="B49" s="339"/>
      <c r="C49" s="283" t="s">
        <v>459</v>
      </c>
      <c r="D49" s="284"/>
      <c r="E49" s="285"/>
      <c r="F49" s="285" t="str">
        <f t="shared" si="0"/>
        <v>X</v>
      </c>
    </row>
    <row r="50" spans="1:9" x14ac:dyDescent="0.25">
      <c r="A50" s="342"/>
      <c r="B50" s="339"/>
      <c r="C50" s="283" t="s">
        <v>460</v>
      </c>
      <c r="D50" s="284"/>
      <c r="E50" s="285"/>
      <c r="F50" s="285" t="str">
        <f t="shared" si="0"/>
        <v>X</v>
      </c>
      <c r="H50" s="297">
        <v>1</v>
      </c>
      <c r="I50" s="286">
        <v>1</v>
      </c>
    </row>
    <row r="51" spans="1:9" x14ac:dyDescent="0.25">
      <c r="A51" s="342"/>
      <c r="B51" s="339"/>
      <c r="C51" s="283" t="s">
        <v>479</v>
      </c>
      <c r="D51" s="284"/>
      <c r="E51" s="285"/>
      <c r="F51" s="285" t="str">
        <f>IF(COUNTA(D51:E51)=0,"X","")</f>
        <v>X</v>
      </c>
    </row>
    <row r="52" spans="1:9" x14ac:dyDescent="0.25">
      <c r="A52" s="342"/>
      <c r="B52" s="339"/>
      <c r="C52" s="283" t="s">
        <v>480</v>
      </c>
      <c r="D52" s="284"/>
      <c r="E52" s="285"/>
      <c r="F52" s="285" t="str">
        <f>IF(COUNTA(D52:E52)=0,"X","")</f>
        <v>X</v>
      </c>
    </row>
    <row r="53" spans="1:9" x14ac:dyDescent="0.25">
      <c r="A53" s="342"/>
      <c r="B53" s="339"/>
      <c r="C53" s="283" t="s">
        <v>481</v>
      </c>
      <c r="D53" s="284"/>
      <c r="E53" s="285"/>
      <c r="F53" s="285" t="str">
        <f>IF(COUNTA(D53:E53)=0,"X","")</f>
        <v>X</v>
      </c>
    </row>
    <row r="54" spans="1:9" x14ac:dyDescent="0.25">
      <c r="A54" s="342"/>
      <c r="B54" s="339"/>
      <c r="C54" s="283" t="s">
        <v>482</v>
      </c>
      <c r="D54" s="284" t="s">
        <v>415</v>
      </c>
      <c r="E54" s="285"/>
      <c r="F54" s="285" t="str">
        <f>IF(COUNTA(D54:E54)=0,"X","")</f>
        <v/>
      </c>
    </row>
    <row r="55" spans="1:9" x14ac:dyDescent="0.25">
      <c r="A55" s="342"/>
      <c r="B55" s="339"/>
      <c r="C55" s="283" t="s">
        <v>483</v>
      </c>
      <c r="D55" s="284"/>
      <c r="E55" s="285"/>
      <c r="F55" s="285" t="str">
        <f>IF(COUNTA(D55:E55)=0,"X","")</f>
        <v>X</v>
      </c>
    </row>
    <row r="56" spans="1:9" ht="15" customHeight="1" x14ac:dyDescent="0.25">
      <c r="A56" s="340" t="s">
        <v>502</v>
      </c>
      <c r="B56" s="340"/>
      <c r="C56" s="283" t="s">
        <v>461</v>
      </c>
      <c r="D56" s="284"/>
      <c r="E56" s="285"/>
      <c r="F56" s="285" t="str">
        <f t="shared" si="0"/>
        <v>X</v>
      </c>
    </row>
    <row r="57" spans="1:9" x14ac:dyDescent="0.25">
      <c r="A57" s="340"/>
      <c r="B57" s="340"/>
      <c r="C57" s="283" t="s">
        <v>462</v>
      </c>
      <c r="D57" s="284"/>
      <c r="E57" s="285"/>
      <c r="F57" s="285" t="str">
        <f t="shared" si="0"/>
        <v>X</v>
      </c>
    </row>
    <row r="58" spans="1:9" x14ac:dyDescent="0.25">
      <c r="A58" s="340"/>
      <c r="B58" s="340"/>
      <c r="C58" s="283" t="s">
        <v>463</v>
      </c>
      <c r="D58" s="284"/>
      <c r="E58" s="285"/>
      <c r="F58" s="285" t="str">
        <f t="shared" si="0"/>
        <v>X</v>
      </c>
    </row>
    <row r="59" spans="1:9" x14ac:dyDescent="0.25">
      <c r="A59" s="340"/>
      <c r="B59" s="340"/>
      <c r="C59" s="283" t="s">
        <v>464</v>
      </c>
      <c r="D59" s="284"/>
      <c r="E59" s="285"/>
      <c r="F59" s="285" t="str">
        <f t="shared" si="0"/>
        <v>X</v>
      </c>
    </row>
    <row r="60" spans="1:9" x14ac:dyDescent="0.25">
      <c r="A60" s="340"/>
      <c r="B60" s="340"/>
      <c r="C60" s="283" t="s">
        <v>465</v>
      </c>
      <c r="D60" s="284"/>
      <c r="E60" s="285"/>
      <c r="F60" s="285" t="str">
        <f t="shared" si="0"/>
        <v>X</v>
      </c>
    </row>
    <row r="61" spans="1:9" x14ac:dyDescent="0.25">
      <c r="A61" s="340"/>
      <c r="B61" s="340"/>
      <c r="C61" s="283" t="s">
        <v>466</v>
      </c>
      <c r="D61" s="284"/>
      <c r="E61" s="285"/>
      <c r="F61" s="285" t="str">
        <f t="shared" si="0"/>
        <v>X</v>
      </c>
    </row>
    <row r="62" spans="1:9" x14ac:dyDescent="0.25">
      <c r="A62" s="340"/>
      <c r="B62" s="340"/>
      <c r="C62" s="283" t="s">
        <v>467</v>
      </c>
      <c r="D62" s="284"/>
      <c r="E62" s="285"/>
      <c r="F62" s="285" t="str">
        <f t="shared" si="0"/>
        <v>X</v>
      </c>
    </row>
    <row r="63" spans="1:9" ht="15" customHeight="1" x14ac:dyDescent="0.25">
      <c r="A63" s="341" t="s">
        <v>501</v>
      </c>
      <c r="B63" s="341"/>
      <c r="C63" s="283" t="s">
        <v>468</v>
      </c>
      <c r="D63" s="284"/>
      <c r="E63" s="285"/>
      <c r="F63" s="285" t="str">
        <f t="shared" si="0"/>
        <v>X</v>
      </c>
    </row>
    <row r="64" spans="1:9" x14ac:dyDescent="0.25">
      <c r="A64" s="341"/>
      <c r="B64" s="341"/>
      <c r="C64" s="283" t="s">
        <v>469</v>
      </c>
      <c r="D64" s="284"/>
      <c r="E64" s="285"/>
      <c r="F64" s="285" t="str">
        <f t="shared" si="0"/>
        <v>X</v>
      </c>
    </row>
    <row r="65" spans="1:11" x14ac:dyDescent="0.25">
      <c r="A65" s="341"/>
      <c r="B65" s="341"/>
      <c r="C65" s="283" t="s">
        <v>470</v>
      </c>
      <c r="D65" s="284"/>
      <c r="E65" s="285"/>
      <c r="F65" s="285" t="str">
        <f t="shared" si="0"/>
        <v>X</v>
      </c>
    </row>
    <row r="66" spans="1:11" x14ac:dyDescent="0.25">
      <c r="A66" s="341"/>
      <c r="B66" s="341"/>
      <c r="C66" s="283" t="s">
        <v>471</v>
      </c>
      <c r="D66" s="284"/>
      <c r="E66" s="285"/>
      <c r="F66" s="285" t="str">
        <f t="shared" si="0"/>
        <v>X</v>
      </c>
      <c r="K66" s="286" t="s">
        <v>472</v>
      </c>
    </row>
    <row r="67" spans="1:11" x14ac:dyDescent="0.25">
      <c r="A67" s="341"/>
      <c r="B67" s="341"/>
      <c r="C67" s="283" t="s">
        <v>473</v>
      </c>
      <c r="D67" s="284"/>
      <c r="E67" s="285"/>
      <c r="F67" s="285" t="str">
        <f t="shared" si="0"/>
        <v>X</v>
      </c>
    </row>
    <row r="68" spans="1:11" x14ac:dyDescent="0.25">
      <c r="A68" s="341"/>
      <c r="B68" s="341"/>
      <c r="C68" s="283" t="s">
        <v>474</v>
      </c>
      <c r="D68" s="284"/>
      <c r="E68" s="285"/>
      <c r="F68" s="285" t="str">
        <f t="shared" si="0"/>
        <v>X</v>
      </c>
    </row>
    <row r="69" spans="1:11" x14ac:dyDescent="0.25">
      <c r="A69" s="341"/>
      <c r="B69" s="341"/>
      <c r="C69" s="283" t="s">
        <v>475</v>
      </c>
      <c r="D69" s="284"/>
      <c r="E69" s="285"/>
      <c r="F69" s="285" t="str">
        <f t="shared" si="0"/>
        <v>X</v>
      </c>
    </row>
    <row r="70" spans="1:11" x14ac:dyDescent="0.25">
      <c r="A70" s="341"/>
      <c r="B70" s="341"/>
      <c r="C70" s="283" t="s">
        <v>476</v>
      </c>
      <c r="D70" s="284"/>
      <c r="E70" s="285"/>
      <c r="F70" s="285" t="str">
        <f t="shared" si="0"/>
        <v>X</v>
      </c>
    </row>
    <row r="71" spans="1:11" x14ac:dyDescent="0.25">
      <c r="A71" s="341"/>
      <c r="B71" s="341"/>
      <c r="C71" s="283" t="s">
        <v>477</v>
      </c>
      <c r="D71" s="284"/>
      <c r="E71" s="285"/>
      <c r="F71" s="285" t="str">
        <f t="shared" si="0"/>
        <v>X</v>
      </c>
    </row>
    <row r="72" spans="1:11" x14ac:dyDescent="0.25">
      <c r="A72" s="341"/>
      <c r="B72" s="341"/>
      <c r="C72" s="283" t="s">
        <v>478</v>
      </c>
      <c r="D72" s="284"/>
      <c r="E72" s="285"/>
      <c r="F72" s="285" t="str">
        <f t="shared" ref="F72" si="1">IF(COUNTA(D72:E72)=0,"X","")</f>
        <v>X</v>
      </c>
    </row>
    <row r="73" spans="1:11" x14ac:dyDescent="0.25">
      <c r="A73" s="336"/>
      <c r="B73" s="336"/>
      <c r="C73" s="336"/>
      <c r="D73" s="287">
        <f>COUNTA(D2:D72)</f>
        <v>20</v>
      </c>
      <c r="E73" s="287">
        <f>COUNTA(E2:E72)</f>
        <v>10</v>
      </c>
      <c r="F73" s="288">
        <f>COUNTIF(F2:F72,"X")</f>
        <v>41</v>
      </c>
    </row>
  </sheetData>
  <mergeCells count="8">
    <mergeCell ref="A1:B1"/>
    <mergeCell ref="A73:C73"/>
    <mergeCell ref="B2:B22"/>
    <mergeCell ref="B23:B28"/>
    <mergeCell ref="B29:B55"/>
    <mergeCell ref="A56:B62"/>
    <mergeCell ref="A63:B72"/>
    <mergeCell ref="A2:A55"/>
  </mergeCells>
  <pageMargins left="0.25" right="0.25" top="0.75" bottom="0.75" header="0.3"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1"/>
  <sheetViews>
    <sheetView zoomScaleNormal="100" workbookViewId="0">
      <selection activeCell="F14" sqref="F14"/>
    </sheetView>
  </sheetViews>
  <sheetFormatPr defaultRowHeight="12.75" x14ac:dyDescent="0.2"/>
  <cols>
    <col min="1" max="1" width="9.140625" style="9"/>
    <col min="2" max="6" width="22.140625" style="9" customWidth="1"/>
    <col min="7" max="9" width="15.7109375" style="9" customWidth="1"/>
    <col min="10" max="10" width="17.140625" style="9" customWidth="1"/>
    <col min="11" max="16384" width="9.140625" style="9"/>
  </cols>
  <sheetData>
    <row r="2" spans="2:11" ht="40.5" customHeight="1" x14ac:dyDescent="0.2">
      <c r="C2" s="14" t="s">
        <v>495</v>
      </c>
      <c r="D2" s="14" t="s">
        <v>141</v>
      </c>
      <c r="E2" s="14" t="s">
        <v>143</v>
      </c>
    </row>
    <row r="3" spans="2:11" s="82" customFormat="1" ht="20.25" customHeight="1" x14ac:dyDescent="0.25">
      <c r="C3" s="166">
        <v>121602</v>
      </c>
      <c r="D3" s="165">
        <f>'State Q&amp;A'!A2</f>
        <v>0.875</v>
      </c>
      <c r="E3" s="84">
        <f>C3*D3</f>
        <v>106401.75</v>
      </c>
      <c r="G3" s="156"/>
    </row>
    <row r="4" spans="2:11" x14ac:dyDescent="0.2">
      <c r="C4" s="90"/>
      <c r="D4" s="85"/>
      <c r="E4" s="85"/>
      <c r="G4" s="9" t="s">
        <v>334</v>
      </c>
      <c r="I4" s="268">
        <f>C3</f>
        <v>121602</v>
      </c>
    </row>
    <row r="5" spans="2:11" ht="40.5" customHeight="1" x14ac:dyDescent="0.2">
      <c r="B5" s="14" t="s">
        <v>136</v>
      </c>
      <c r="C5" s="91" t="s">
        <v>137</v>
      </c>
      <c r="D5" s="86" t="s">
        <v>142</v>
      </c>
      <c r="E5" s="86" t="s">
        <v>144</v>
      </c>
    </row>
    <row r="6" spans="2:11" s="82" customFormat="1" ht="20.25" customHeight="1" x14ac:dyDescent="0.25">
      <c r="B6" s="83">
        <f>'State Data'!D56/'State Data'!C56</f>
        <v>0.29928363784895484</v>
      </c>
      <c r="C6" s="89">
        <f>B6*C3</f>
        <v>36393.488929708605</v>
      </c>
      <c r="D6" s="165">
        <f>'State Q&amp;A'!A4</f>
        <v>8.3333333333333329E-2</v>
      </c>
      <c r="E6" s="84">
        <f>C6*D6</f>
        <v>3032.7907441423836</v>
      </c>
    </row>
    <row r="7" spans="2:11" x14ac:dyDescent="0.2">
      <c r="C7" s="90"/>
      <c r="D7" s="85"/>
      <c r="E7" s="85"/>
    </row>
    <row r="8" spans="2:11" ht="40.5" customHeight="1" x14ac:dyDescent="0.2">
      <c r="B8" s="14" t="s">
        <v>147</v>
      </c>
      <c r="C8" s="91" t="s">
        <v>148</v>
      </c>
      <c r="D8" s="86" t="s">
        <v>149</v>
      </c>
      <c r="E8" s="86" t="s">
        <v>151</v>
      </c>
    </row>
    <row r="9" spans="2:11" s="82" customFormat="1" ht="20.25" customHeight="1" x14ac:dyDescent="0.25">
      <c r="B9" s="157">
        <f>'State Data'!E56/'State Data'!C56</f>
        <v>0.18794689586962085</v>
      </c>
      <c r="C9" s="89">
        <f>B9*C3</f>
        <v>22854.718431537636</v>
      </c>
      <c r="D9" s="165">
        <f>'State Q&amp;A'!A6</f>
        <v>0.91666666666666663</v>
      </c>
      <c r="E9" s="84">
        <f>C9*D9</f>
        <v>20950.158562242832</v>
      </c>
    </row>
    <row r="10" spans="2:11" ht="13.5" thickBot="1" x14ac:dyDescent="0.25">
      <c r="E10" s="87"/>
    </row>
    <row r="11" spans="2:11" s="22" customFormat="1" ht="13.5" thickTop="1" x14ac:dyDescent="0.2">
      <c r="D11" s="81" t="s">
        <v>496</v>
      </c>
      <c r="E11" s="88">
        <f>E6+E3</f>
        <v>109434.54074414239</v>
      </c>
      <c r="G11" s="9"/>
      <c r="H11" s="9"/>
      <c r="I11" s="9"/>
      <c r="J11" s="9"/>
      <c r="K11" s="9"/>
    </row>
    <row r="13" spans="2:11" x14ac:dyDescent="0.2">
      <c r="B13" s="9" t="s">
        <v>138</v>
      </c>
    </row>
    <row r="14" spans="2:11" ht="25.5" customHeight="1" x14ac:dyDescent="0.2">
      <c r="B14" s="315" t="s">
        <v>403</v>
      </c>
      <c r="C14" s="316"/>
      <c r="D14" s="316"/>
      <c r="E14" s="316"/>
    </row>
    <row r="15" spans="2:11" x14ac:dyDescent="0.2">
      <c r="B15" s="313" t="s">
        <v>140</v>
      </c>
      <c r="C15" s="314"/>
      <c r="D15" s="314"/>
      <c r="E15" s="314"/>
    </row>
    <row r="16" spans="2:11" x14ac:dyDescent="0.2">
      <c r="B16" s="313" t="s">
        <v>139</v>
      </c>
      <c r="C16" s="314"/>
      <c r="D16" s="314"/>
      <c r="E16" s="314"/>
    </row>
    <row r="17" spans="2:5" ht="32.25" customHeight="1" x14ac:dyDescent="0.2">
      <c r="B17" s="313" t="s">
        <v>145</v>
      </c>
      <c r="C17" s="314"/>
      <c r="D17" s="314"/>
      <c r="E17" s="314"/>
    </row>
    <row r="18" spans="2:5" x14ac:dyDescent="0.2">
      <c r="B18" s="313" t="s">
        <v>146</v>
      </c>
      <c r="C18" s="314"/>
      <c r="D18" s="314"/>
      <c r="E18" s="314"/>
    </row>
    <row r="19" spans="2:5" ht="32.25" customHeight="1" x14ac:dyDescent="0.2">
      <c r="B19" s="315" t="s">
        <v>213</v>
      </c>
      <c r="C19" s="316"/>
      <c r="D19" s="316"/>
      <c r="E19" s="316"/>
    </row>
    <row r="20" spans="2:5" x14ac:dyDescent="0.2">
      <c r="B20" s="313" t="s">
        <v>150</v>
      </c>
      <c r="C20" s="314"/>
      <c r="D20" s="314"/>
      <c r="E20" s="314"/>
    </row>
    <row r="21" spans="2:5" x14ac:dyDescent="0.2">
      <c r="B21" s="27"/>
      <c r="C21" s="27"/>
      <c r="D21" s="27"/>
      <c r="E21" s="27"/>
    </row>
    <row r="22" spans="2:5" x14ac:dyDescent="0.2">
      <c r="B22" s="27"/>
      <c r="C22" s="27"/>
      <c r="D22" s="27"/>
      <c r="E22" s="27"/>
    </row>
    <row r="23" spans="2:5" x14ac:dyDescent="0.2">
      <c r="B23" s="27"/>
      <c r="C23" s="27"/>
      <c r="D23" s="27"/>
      <c r="E23" s="27"/>
    </row>
    <row r="24" spans="2:5" x14ac:dyDescent="0.2">
      <c r="B24" s="27"/>
      <c r="C24" s="27"/>
      <c r="D24" s="27"/>
      <c r="E24" s="27"/>
    </row>
    <row r="25" spans="2:5" x14ac:dyDescent="0.2">
      <c r="B25" s="27"/>
      <c r="C25" s="27"/>
      <c r="D25" s="27"/>
      <c r="E25" s="27"/>
    </row>
    <row r="26" spans="2:5" x14ac:dyDescent="0.2">
      <c r="B26" s="27"/>
      <c r="C26" s="27"/>
      <c r="D26" s="27"/>
      <c r="E26" s="27"/>
    </row>
    <row r="27" spans="2:5" x14ac:dyDescent="0.2">
      <c r="B27" s="27"/>
      <c r="C27" s="27"/>
      <c r="D27" s="27"/>
      <c r="E27" s="27"/>
    </row>
    <row r="28" spans="2:5" x14ac:dyDescent="0.2">
      <c r="B28" s="27"/>
      <c r="C28" s="27"/>
      <c r="D28" s="27"/>
      <c r="E28" s="27"/>
    </row>
    <row r="29" spans="2:5" x14ac:dyDescent="0.2">
      <c r="B29" s="27"/>
      <c r="C29" s="27"/>
      <c r="D29" s="27"/>
      <c r="E29" s="27"/>
    </row>
    <row r="30" spans="2:5" x14ac:dyDescent="0.2">
      <c r="B30" s="27"/>
      <c r="C30" s="27"/>
      <c r="D30" s="27"/>
      <c r="E30" s="27"/>
    </row>
    <row r="31" spans="2:5" x14ac:dyDescent="0.2">
      <c r="B31" s="27"/>
      <c r="C31" s="27"/>
      <c r="D31" s="27"/>
      <c r="E31" s="27"/>
    </row>
    <row r="32" spans="2:5" x14ac:dyDescent="0.2">
      <c r="B32" s="27"/>
      <c r="C32" s="27"/>
      <c r="D32" s="27"/>
      <c r="E32" s="27"/>
    </row>
    <row r="33" spans="2:5" x14ac:dyDescent="0.2">
      <c r="B33" s="27"/>
      <c r="C33" s="27"/>
      <c r="D33" s="27"/>
      <c r="E33" s="27"/>
    </row>
    <row r="34" spans="2:5" x14ac:dyDescent="0.2">
      <c r="B34" s="27"/>
      <c r="C34" s="27"/>
      <c r="D34" s="27"/>
      <c r="E34" s="27"/>
    </row>
    <row r="35" spans="2:5" x14ac:dyDescent="0.2">
      <c r="B35" s="27"/>
      <c r="C35" s="27"/>
      <c r="D35" s="27"/>
      <c r="E35" s="27"/>
    </row>
    <row r="36" spans="2:5" x14ac:dyDescent="0.2">
      <c r="B36" s="27"/>
      <c r="C36" s="27"/>
      <c r="D36" s="27"/>
      <c r="E36" s="27"/>
    </row>
    <row r="37" spans="2:5" x14ac:dyDescent="0.2">
      <c r="B37" s="27"/>
      <c r="C37" s="27"/>
      <c r="D37" s="27"/>
      <c r="E37" s="27"/>
    </row>
    <row r="38" spans="2:5" x14ac:dyDescent="0.2">
      <c r="B38" s="27"/>
      <c r="C38" s="27"/>
      <c r="D38" s="27"/>
      <c r="E38" s="27"/>
    </row>
    <row r="39" spans="2:5" x14ac:dyDescent="0.2">
      <c r="B39" s="27"/>
      <c r="C39" s="27"/>
      <c r="D39" s="27"/>
      <c r="E39" s="27"/>
    </row>
    <row r="40" spans="2:5" x14ac:dyDescent="0.2">
      <c r="B40" s="27"/>
      <c r="C40" s="27"/>
      <c r="D40" s="27"/>
      <c r="E40" s="27"/>
    </row>
    <row r="41" spans="2:5" x14ac:dyDescent="0.2">
      <c r="B41" s="27"/>
      <c r="C41" s="27"/>
      <c r="D41" s="27"/>
      <c r="E41" s="27"/>
    </row>
    <row r="42" spans="2:5" x14ac:dyDescent="0.2">
      <c r="B42" s="27"/>
      <c r="C42" s="27"/>
      <c r="D42" s="27"/>
      <c r="E42" s="27"/>
    </row>
    <row r="43" spans="2:5" x14ac:dyDescent="0.2">
      <c r="B43" s="27"/>
      <c r="C43" s="27"/>
      <c r="D43" s="27"/>
      <c r="E43" s="27"/>
    </row>
    <row r="44" spans="2:5" x14ac:dyDescent="0.2">
      <c r="B44" s="27"/>
      <c r="C44" s="27"/>
      <c r="D44" s="27"/>
      <c r="E44" s="27"/>
    </row>
    <row r="45" spans="2:5" x14ac:dyDescent="0.2">
      <c r="B45" s="27"/>
      <c r="C45" s="27"/>
      <c r="D45" s="27"/>
      <c r="E45" s="27"/>
    </row>
    <row r="46" spans="2:5" x14ac:dyDescent="0.2">
      <c r="B46" s="27"/>
      <c r="C46" s="27"/>
      <c r="D46" s="27"/>
      <c r="E46" s="27"/>
    </row>
    <row r="47" spans="2:5" x14ac:dyDescent="0.2">
      <c r="B47" s="27"/>
      <c r="C47" s="27"/>
      <c r="D47" s="27"/>
      <c r="E47" s="27"/>
    </row>
    <row r="48" spans="2:5" x14ac:dyDescent="0.2">
      <c r="B48" s="27"/>
      <c r="C48" s="27"/>
      <c r="D48" s="27"/>
      <c r="E48" s="27"/>
    </row>
    <row r="49" spans="2:5" x14ac:dyDescent="0.2">
      <c r="B49" s="27"/>
      <c r="C49" s="27"/>
      <c r="D49" s="27"/>
      <c r="E49" s="27"/>
    </row>
    <row r="50" spans="2:5" x14ac:dyDescent="0.2">
      <c r="B50" s="27"/>
      <c r="C50" s="27"/>
      <c r="D50" s="27"/>
      <c r="E50" s="27"/>
    </row>
    <row r="51" spans="2:5" x14ac:dyDescent="0.2">
      <c r="B51" s="27"/>
      <c r="C51" s="27"/>
      <c r="D51" s="27"/>
      <c r="E51" s="27"/>
    </row>
    <row r="52" spans="2:5" x14ac:dyDescent="0.2">
      <c r="B52" s="27"/>
      <c r="C52" s="27"/>
      <c r="D52" s="27"/>
      <c r="E52" s="27"/>
    </row>
    <row r="53" spans="2:5" x14ac:dyDescent="0.2">
      <c r="B53" s="27"/>
      <c r="C53" s="27"/>
      <c r="D53" s="27"/>
      <c r="E53" s="27"/>
    </row>
    <row r="54" spans="2:5" x14ac:dyDescent="0.2">
      <c r="B54" s="27"/>
      <c r="C54" s="27"/>
      <c r="D54" s="27"/>
      <c r="E54" s="27"/>
    </row>
    <row r="55" spans="2:5" x14ac:dyDescent="0.2">
      <c r="B55" s="27"/>
      <c r="C55" s="27"/>
      <c r="D55" s="27"/>
      <c r="E55" s="27"/>
    </row>
    <row r="56" spans="2:5" x14ac:dyDescent="0.2">
      <c r="B56" s="27"/>
      <c r="C56" s="27"/>
      <c r="D56" s="27"/>
      <c r="E56" s="27"/>
    </row>
    <row r="57" spans="2:5" x14ac:dyDescent="0.2">
      <c r="B57" s="27"/>
      <c r="C57" s="27"/>
      <c r="D57" s="27"/>
      <c r="E57" s="27"/>
    </row>
    <row r="58" spans="2:5" x14ac:dyDescent="0.2">
      <c r="B58" s="27"/>
      <c r="C58" s="27"/>
      <c r="D58" s="27"/>
      <c r="E58" s="27"/>
    </row>
    <row r="59" spans="2:5" x14ac:dyDescent="0.2">
      <c r="B59" s="27"/>
      <c r="C59" s="27"/>
      <c r="D59" s="27"/>
      <c r="E59" s="27"/>
    </row>
    <row r="60" spans="2:5" x14ac:dyDescent="0.2">
      <c r="B60" s="27"/>
      <c r="C60" s="27"/>
      <c r="D60" s="27"/>
      <c r="E60" s="27"/>
    </row>
    <row r="61" spans="2:5" x14ac:dyDescent="0.2">
      <c r="B61" s="27"/>
      <c r="C61" s="27"/>
      <c r="D61" s="27"/>
      <c r="E61" s="27"/>
    </row>
    <row r="62" spans="2:5" x14ac:dyDescent="0.2">
      <c r="B62" s="27"/>
      <c r="C62" s="27"/>
      <c r="D62" s="27"/>
      <c r="E62" s="27"/>
    </row>
    <row r="63" spans="2:5" x14ac:dyDescent="0.2">
      <c r="B63" s="27"/>
      <c r="C63" s="27"/>
      <c r="D63" s="27"/>
      <c r="E63" s="27"/>
    </row>
    <row r="64" spans="2:5" x14ac:dyDescent="0.2">
      <c r="B64" s="27"/>
      <c r="C64" s="27"/>
      <c r="D64" s="27"/>
      <c r="E64" s="27"/>
    </row>
    <row r="65" spans="2:5" x14ac:dyDescent="0.2">
      <c r="B65" s="27"/>
      <c r="C65" s="27"/>
      <c r="D65" s="27"/>
      <c r="E65" s="27"/>
    </row>
    <row r="66" spans="2:5" x14ac:dyDescent="0.2">
      <c r="B66" s="27"/>
      <c r="C66" s="27"/>
      <c r="D66" s="27"/>
      <c r="E66" s="27"/>
    </row>
    <row r="67" spans="2:5" x14ac:dyDescent="0.2">
      <c r="B67" s="27"/>
      <c r="C67" s="27"/>
      <c r="D67" s="27"/>
      <c r="E67" s="27"/>
    </row>
    <row r="68" spans="2:5" x14ac:dyDescent="0.2">
      <c r="B68" s="27"/>
      <c r="C68" s="27"/>
      <c r="D68" s="27"/>
      <c r="E68" s="27"/>
    </row>
    <row r="69" spans="2:5" x14ac:dyDescent="0.2">
      <c r="B69" s="27"/>
      <c r="C69" s="27"/>
      <c r="D69" s="27"/>
      <c r="E69" s="27"/>
    </row>
    <row r="70" spans="2:5" x14ac:dyDescent="0.2">
      <c r="B70" s="27"/>
      <c r="C70" s="27"/>
      <c r="D70" s="27"/>
      <c r="E70" s="27"/>
    </row>
    <row r="71" spans="2:5" x14ac:dyDescent="0.2">
      <c r="B71" s="27"/>
      <c r="C71" s="27"/>
      <c r="D71" s="27"/>
      <c r="E71" s="27"/>
    </row>
    <row r="72" spans="2:5" x14ac:dyDescent="0.2">
      <c r="B72" s="27"/>
      <c r="C72" s="27"/>
      <c r="D72" s="27"/>
      <c r="E72" s="27"/>
    </row>
    <row r="73" spans="2:5" x14ac:dyDescent="0.2">
      <c r="B73" s="27"/>
      <c r="C73" s="27"/>
      <c r="D73" s="27"/>
      <c r="E73" s="27"/>
    </row>
    <row r="74" spans="2:5" x14ac:dyDescent="0.2">
      <c r="B74" s="27"/>
      <c r="C74" s="27"/>
      <c r="D74" s="27"/>
      <c r="E74" s="27"/>
    </row>
    <row r="75" spans="2:5" x14ac:dyDescent="0.2">
      <c r="B75" s="27"/>
      <c r="C75" s="27"/>
      <c r="D75" s="27"/>
      <c r="E75" s="27"/>
    </row>
    <row r="76" spans="2:5" x14ac:dyDescent="0.2">
      <c r="B76" s="27"/>
      <c r="C76" s="27"/>
      <c r="D76" s="27"/>
      <c r="E76" s="27"/>
    </row>
    <row r="77" spans="2:5" x14ac:dyDescent="0.2">
      <c r="B77" s="27"/>
      <c r="C77" s="27"/>
      <c r="D77" s="27"/>
      <c r="E77" s="27"/>
    </row>
    <row r="78" spans="2:5" x14ac:dyDescent="0.2">
      <c r="B78" s="27"/>
      <c r="C78" s="27"/>
      <c r="D78" s="27"/>
      <c r="E78" s="27"/>
    </row>
    <row r="79" spans="2:5" x14ac:dyDescent="0.2">
      <c r="B79" s="27"/>
      <c r="C79" s="27"/>
      <c r="D79" s="27"/>
      <c r="E79" s="27"/>
    </row>
    <row r="80" spans="2:5" x14ac:dyDescent="0.2">
      <c r="B80" s="27"/>
      <c r="C80" s="27"/>
      <c r="D80" s="27"/>
      <c r="E80" s="27"/>
    </row>
    <row r="81" spans="2:5" x14ac:dyDescent="0.2">
      <c r="B81" s="27"/>
      <c r="C81" s="27"/>
      <c r="D81" s="27"/>
      <c r="E81" s="27"/>
    </row>
    <row r="82" spans="2:5" x14ac:dyDescent="0.2">
      <c r="B82" s="27"/>
      <c r="C82" s="27"/>
      <c r="D82" s="27"/>
      <c r="E82" s="27"/>
    </row>
    <row r="83" spans="2:5" x14ac:dyDescent="0.2">
      <c r="B83" s="27"/>
      <c r="C83" s="27"/>
      <c r="D83" s="27"/>
      <c r="E83" s="27"/>
    </row>
    <row r="84" spans="2:5" x14ac:dyDescent="0.2">
      <c r="B84" s="27"/>
      <c r="C84" s="27"/>
      <c r="D84" s="27"/>
      <c r="E84" s="27"/>
    </row>
    <row r="85" spans="2:5" x14ac:dyDescent="0.2">
      <c r="B85" s="27"/>
      <c r="C85" s="27"/>
      <c r="D85" s="27"/>
      <c r="E85" s="27"/>
    </row>
    <row r="86" spans="2:5" x14ac:dyDescent="0.2">
      <c r="B86" s="27"/>
      <c r="C86" s="27"/>
      <c r="D86" s="27"/>
      <c r="E86" s="27"/>
    </row>
    <row r="87" spans="2:5" x14ac:dyDescent="0.2">
      <c r="B87" s="27"/>
      <c r="C87" s="27"/>
      <c r="D87" s="27"/>
      <c r="E87" s="27"/>
    </row>
    <row r="88" spans="2:5" x14ac:dyDescent="0.2">
      <c r="B88" s="27"/>
      <c r="C88" s="27"/>
      <c r="D88" s="27"/>
      <c r="E88" s="27"/>
    </row>
    <row r="89" spans="2:5" x14ac:dyDescent="0.2">
      <c r="B89" s="27"/>
      <c r="C89" s="27"/>
      <c r="D89" s="27"/>
      <c r="E89" s="27"/>
    </row>
    <row r="90" spans="2:5" x14ac:dyDescent="0.2">
      <c r="B90" s="27"/>
      <c r="C90" s="27"/>
      <c r="D90" s="27"/>
      <c r="E90" s="27"/>
    </row>
    <row r="91" spans="2:5" x14ac:dyDescent="0.2">
      <c r="B91" s="27"/>
      <c r="C91" s="27"/>
      <c r="D91" s="27"/>
      <c r="E91" s="27"/>
    </row>
    <row r="92" spans="2:5" x14ac:dyDescent="0.2">
      <c r="B92" s="27"/>
      <c r="C92" s="27"/>
      <c r="D92" s="27"/>
      <c r="E92" s="27"/>
    </row>
    <row r="93" spans="2:5" x14ac:dyDescent="0.2">
      <c r="B93" s="27"/>
      <c r="C93" s="27"/>
      <c r="D93" s="27"/>
      <c r="E93" s="27"/>
    </row>
    <row r="94" spans="2:5" x14ac:dyDescent="0.2">
      <c r="B94" s="27"/>
      <c r="C94" s="27"/>
      <c r="D94" s="27"/>
      <c r="E94" s="27"/>
    </row>
    <row r="95" spans="2:5" x14ac:dyDescent="0.2">
      <c r="B95" s="27"/>
      <c r="C95" s="27"/>
      <c r="D95" s="27"/>
      <c r="E95" s="27"/>
    </row>
    <row r="96" spans="2:5" x14ac:dyDescent="0.2">
      <c r="B96" s="27"/>
      <c r="C96" s="27"/>
      <c r="D96" s="27"/>
      <c r="E96" s="27"/>
    </row>
    <row r="97" spans="2:5" x14ac:dyDescent="0.2">
      <c r="B97" s="27"/>
      <c r="C97" s="27"/>
      <c r="D97" s="27"/>
      <c r="E97" s="27"/>
    </row>
    <row r="98" spans="2:5" x14ac:dyDescent="0.2">
      <c r="B98" s="27"/>
      <c r="C98" s="27"/>
      <c r="D98" s="27"/>
      <c r="E98" s="27"/>
    </row>
    <row r="99" spans="2:5" x14ac:dyDescent="0.2">
      <c r="B99" s="27"/>
      <c r="C99" s="27"/>
      <c r="D99" s="27"/>
      <c r="E99" s="27"/>
    </row>
    <row r="100" spans="2:5" x14ac:dyDescent="0.2">
      <c r="B100" s="27"/>
      <c r="C100" s="27"/>
      <c r="D100" s="27"/>
      <c r="E100" s="27"/>
    </row>
    <row r="101" spans="2:5" x14ac:dyDescent="0.2">
      <c r="B101" s="27"/>
      <c r="C101" s="27"/>
      <c r="D101" s="27"/>
      <c r="E101" s="27"/>
    </row>
    <row r="102" spans="2:5" x14ac:dyDescent="0.2">
      <c r="B102" s="27"/>
      <c r="C102" s="27"/>
      <c r="D102" s="27"/>
      <c r="E102" s="27"/>
    </row>
    <row r="103" spans="2:5" x14ac:dyDescent="0.2">
      <c r="B103" s="27"/>
      <c r="C103" s="27"/>
      <c r="D103" s="27"/>
      <c r="E103" s="27"/>
    </row>
    <row r="104" spans="2:5" x14ac:dyDescent="0.2">
      <c r="B104" s="27"/>
      <c r="C104" s="27"/>
      <c r="D104" s="27"/>
      <c r="E104" s="27"/>
    </row>
    <row r="105" spans="2:5" x14ac:dyDescent="0.2">
      <c r="B105" s="27"/>
      <c r="C105" s="27"/>
      <c r="D105" s="27"/>
      <c r="E105" s="27"/>
    </row>
    <row r="106" spans="2:5" x14ac:dyDescent="0.2">
      <c r="B106" s="27"/>
      <c r="C106" s="27"/>
      <c r="D106" s="27"/>
      <c r="E106" s="27"/>
    </row>
    <row r="107" spans="2:5" x14ac:dyDescent="0.2">
      <c r="B107" s="27"/>
      <c r="C107" s="27"/>
      <c r="D107" s="27"/>
      <c r="E107" s="27"/>
    </row>
    <row r="108" spans="2:5" x14ac:dyDescent="0.2">
      <c r="B108" s="27"/>
      <c r="C108" s="27"/>
      <c r="D108" s="27"/>
      <c r="E108" s="27"/>
    </row>
    <row r="109" spans="2:5" x14ac:dyDescent="0.2">
      <c r="B109" s="27"/>
      <c r="C109" s="27"/>
      <c r="D109" s="27"/>
      <c r="E109" s="27"/>
    </row>
    <row r="110" spans="2:5" x14ac:dyDescent="0.2">
      <c r="B110" s="27"/>
      <c r="C110" s="27"/>
      <c r="D110" s="27"/>
      <c r="E110" s="27"/>
    </row>
    <row r="111" spans="2:5" x14ac:dyDescent="0.2">
      <c r="B111" s="27"/>
      <c r="C111" s="27"/>
      <c r="D111" s="27"/>
      <c r="E111" s="27"/>
    </row>
    <row r="112" spans="2:5" x14ac:dyDescent="0.2">
      <c r="B112" s="27"/>
      <c r="C112" s="27"/>
      <c r="D112" s="27"/>
      <c r="E112" s="27"/>
    </row>
    <row r="113" spans="2:5" x14ac:dyDescent="0.2">
      <c r="B113" s="27"/>
      <c r="C113" s="27"/>
      <c r="D113" s="27"/>
      <c r="E113" s="27"/>
    </row>
    <row r="114" spans="2:5" x14ac:dyDescent="0.2">
      <c r="B114" s="27"/>
      <c r="C114" s="27"/>
      <c r="D114" s="27"/>
      <c r="E114" s="27"/>
    </row>
    <row r="115" spans="2:5" x14ac:dyDescent="0.2">
      <c r="B115" s="27"/>
      <c r="C115" s="27"/>
      <c r="D115" s="27"/>
      <c r="E115" s="27"/>
    </row>
    <row r="116" spans="2:5" x14ac:dyDescent="0.2">
      <c r="B116" s="27"/>
      <c r="C116" s="27"/>
      <c r="D116" s="27"/>
      <c r="E116" s="27"/>
    </row>
    <row r="117" spans="2:5" x14ac:dyDescent="0.2">
      <c r="B117" s="27"/>
      <c r="C117" s="27"/>
      <c r="D117" s="27"/>
      <c r="E117" s="27"/>
    </row>
    <row r="118" spans="2:5" x14ac:dyDescent="0.2">
      <c r="B118" s="27"/>
      <c r="C118" s="27"/>
      <c r="D118" s="27"/>
      <c r="E118" s="27"/>
    </row>
    <row r="119" spans="2:5" x14ac:dyDescent="0.2">
      <c r="B119" s="27"/>
      <c r="C119" s="27"/>
      <c r="D119" s="27"/>
      <c r="E119" s="27"/>
    </row>
    <row r="120" spans="2:5" x14ac:dyDescent="0.2">
      <c r="B120" s="27"/>
      <c r="C120" s="27"/>
      <c r="D120" s="27"/>
      <c r="E120" s="27"/>
    </row>
    <row r="121" spans="2:5" x14ac:dyDescent="0.2">
      <c r="B121" s="27"/>
      <c r="C121" s="27"/>
      <c r="D121" s="27"/>
      <c r="E121" s="27"/>
    </row>
    <row r="122" spans="2:5" x14ac:dyDescent="0.2">
      <c r="B122" s="27"/>
      <c r="C122" s="27"/>
      <c r="D122" s="27"/>
      <c r="E122" s="27"/>
    </row>
    <row r="123" spans="2:5" x14ac:dyDescent="0.2">
      <c r="B123" s="27"/>
      <c r="C123" s="27"/>
      <c r="D123" s="27"/>
      <c r="E123" s="27"/>
    </row>
    <row r="124" spans="2:5" x14ac:dyDescent="0.2">
      <c r="B124" s="27"/>
      <c r="C124" s="27"/>
      <c r="D124" s="27"/>
      <c r="E124" s="27"/>
    </row>
    <row r="125" spans="2:5" x14ac:dyDescent="0.2">
      <c r="B125" s="27"/>
      <c r="C125" s="27"/>
      <c r="D125" s="27"/>
      <c r="E125" s="27"/>
    </row>
    <row r="126" spans="2:5" x14ac:dyDescent="0.2">
      <c r="B126" s="27"/>
      <c r="C126" s="27"/>
      <c r="D126" s="27"/>
      <c r="E126" s="27"/>
    </row>
    <row r="127" spans="2:5" x14ac:dyDescent="0.2">
      <c r="B127" s="27"/>
      <c r="C127" s="27"/>
      <c r="D127" s="27"/>
      <c r="E127" s="27"/>
    </row>
    <row r="128" spans="2:5" x14ac:dyDescent="0.2">
      <c r="B128" s="27"/>
      <c r="C128" s="27"/>
      <c r="D128" s="27"/>
      <c r="E128" s="27"/>
    </row>
    <row r="129" spans="2:5" x14ac:dyDescent="0.2">
      <c r="B129" s="27"/>
      <c r="C129" s="27"/>
      <c r="D129" s="27"/>
      <c r="E129" s="27"/>
    </row>
    <row r="130" spans="2:5" x14ac:dyDescent="0.2">
      <c r="B130" s="27"/>
      <c r="C130" s="27"/>
      <c r="D130" s="27"/>
      <c r="E130" s="27"/>
    </row>
    <row r="131" spans="2:5" x14ac:dyDescent="0.2">
      <c r="B131" s="27"/>
      <c r="C131" s="27"/>
      <c r="D131" s="27"/>
      <c r="E131" s="27"/>
    </row>
    <row r="132" spans="2:5" x14ac:dyDescent="0.2">
      <c r="B132" s="27"/>
      <c r="C132" s="27"/>
      <c r="D132" s="27"/>
      <c r="E132" s="27"/>
    </row>
    <row r="133" spans="2:5" x14ac:dyDescent="0.2">
      <c r="B133" s="27"/>
      <c r="C133" s="27"/>
      <c r="D133" s="27"/>
      <c r="E133" s="27"/>
    </row>
    <row r="134" spans="2:5" x14ac:dyDescent="0.2">
      <c r="B134" s="27"/>
      <c r="C134" s="27"/>
      <c r="D134" s="27"/>
      <c r="E134" s="27"/>
    </row>
    <row r="135" spans="2:5" x14ac:dyDescent="0.2">
      <c r="B135" s="27"/>
      <c r="C135" s="27"/>
      <c r="D135" s="27"/>
      <c r="E135" s="27"/>
    </row>
    <row r="136" spans="2:5" x14ac:dyDescent="0.2">
      <c r="B136" s="27"/>
      <c r="C136" s="27"/>
      <c r="D136" s="27"/>
      <c r="E136" s="27"/>
    </row>
    <row r="137" spans="2:5" x14ac:dyDescent="0.2">
      <c r="B137" s="27"/>
      <c r="C137" s="27"/>
      <c r="D137" s="27"/>
      <c r="E137" s="27"/>
    </row>
    <row r="138" spans="2:5" x14ac:dyDescent="0.2">
      <c r="B138" s="27"/>
      <c r="C138" s="27"/>
      <c r="D138" s="27"/>
      <c r="E138" s="27"/>
    </row>
    <row r="139" spans="2:5" x14ac:dyDescent="0.2">
      <c r="B139" s="27"/>
      <c r="C139" s="27"/>
      <c r="D139" s="27"/>
      <c r="E139" s="27"/>
    </row>
    <row r="140" spans="2:5" x14ac:dyDescent="0.2">
      <c r="B140" s="27"/>
      <c r="C140" s="27"/>
      <c r="D140" s="27"/>
      <c r="E140" s="27"/>
    </row>
    <row r="141" spans="2:5" x14ac:dyDescent="0.2">
      <c r="B141" s="27"/>
      <c r="C141" s="27"/>
      <c r="D141" s="27"/>
      <c r="E141" s="27"/>
    </row>
  </sheetData>
  <mergeCells count="7">
    <mergeCell ref="B20:E20"/>
    <mergeCell ref="B14:E14"/>
    <mergeCell ref="B15:E15"/>
    <mergeCell ref="B16:E16"/>
    <mergeCell ref="B17:E17"/>
    <mergeCell ref="B18:E18"/>
    <mergeCell ref="B19:E19"/>
  </mergeCells>
  <pageMargins left="0.25" right="0.2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
  <sheetViews>
    <sheetView zoomScaleNormal="100" workbookViewId="0">
      <selection activeCell="C3" sqref="C3"/>
    </sheetView>
  </sheetViews>
  <sheetFormatPr defaultRowHeight="15" x14ac:dyDescent="0.25"/>
  <cols>
    <col min="2" max="4" width="22.7109375" customWidth="1"/>
    <col min="6" max="6" width="30.7109375" bestFit="1" customWidth="1"/>
  </cols>
  <sheetData>
    <row r="2" spans="2:7" s="9" customFormat="1" ht="75" customHeight="1" x14ac:dyDescent="0.2">
      <c r="B2" s="91" t="s">
        <v>214</v>
      </c>
      <c r="C2" s="86" t="s">
        <v>215</v>
      </c>
      <c r="D2" s="86" t="s">
        <v>268</v>
      </c>
    </row>
    <row r="3" spans="2:7" s="82" customFormat="1" ht="20.25" customHeight="1" x14ac:dyDescent="0.25">
      <c r="B3" s="89">
        <f>'2 - Newly Doc''d'!C9</f>
        <v>22854.718431537636</v>
      </c>
      <c r="C3" s="165">
        <f>'State Q&amp;A'!A8</f>
        <v>1.1666666666666667</v>
      </c>
      <c r="D3" s="84">
        <f>B3*C3</f>
        <v>26663.838170127245</v>
      </c>
    </row>
    <row r="5" spans="2:7" s="9" customFormat="1" ht="12.75" x14ac:dyDescent="0.2">
      <c r="B5" s="9" t="s">
        <v>138</v>
      </c>
      <c r="F5" s="9" t="s">
        <v>334</v>
      </c>
      <c r="G5" s="268">
        <f>B3</f>
        <v>22854.718431537636</v>
      </c>
    </row>
    <row r="6" spans="2:7" s="9" customFormat="1" ht="25.5" customHeight="1" x14ac:dyDescent="0.2">
      <c r="B6" s="313" t="s">
        <v>152</v>
      </c>
      <c r="C6" s="313"/>
      <c r="D6" s="313"/>
      <c r="E6" s="92"/>
    </row>
    <row r="7" spans="2:7" s="9" customFormat="1" ht="12.75" customHeight="1" x14ac:dyDescent="0.2">
      <c r="B7" s="313" t="s">
        <v>150</v>
      </c>
      <c r="C7" s="313"/>
      <c r="D7" s="313"/>
      <c r="E7" s="92"/>
    </row>
  </sheetData>
  <mergeCells count="2">
    <mergeCell ref="B6:D6"/>
    <mergeCell ref="B7:D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zoomScaleNormal="100" workbookViewId="0">
      <selection activeCell="D11" sqref="D11"/>
    </sheetView>
  </sheetViews>
  <sheetFormatPr defaultRowHeight="12.75" x14ac:dyDescent="0.2"/>
  <cols>
    <col min="1" max="1" width="9.140625" style="1"/>
    <col min="2" max="4" width="25.7109375" style="1" customWidth="1"/>
    <col min="5" max="5" width="9.140625" style="1"/>
    <col min="6" max="6" width="30.7109375" style="1" bestFit="1" customWidth="1"/>
    <col min="7" max="16384" width="9.140625" style="1"/>
  </cols>
  <sheetData>
    <row r="2" spans="1:7" x14ac:dyDescent="0.2">
      <c r="A2" s="22" t="s">
        <v>216</v>
      </c>
    </row>
    <row r="4" spans="1:7" ht="51" x14ac:dyDescent="0.2">
      <c r="B4" s="91" t="s">
        <v>217</v>
      </c>
      <c r="C4" s="86" t="s">
        <v>219</v>
      </c>
      <c r="D4" s="86" t="s">
        <v>218</v>
      </c>
    </row>
    <row r="5" spans="1:7" ht="21" customHeight="1" x14ac:dyDescent="0.2">
      <c r="B5" s="89">
        <v>50</v>
      </c>
      <c r="C5" s="166">
        <f>'State Q&amp;A'!A10</f>
        <v>36</v>
      </c>
      <c r="D5" s="89">
        <f>B5*C5</f>
        <v>1800</v>
      </c>
    </row>
    <row r="7" spans="1:7" x14ac:dyDescent="0.2">
      <c r="F7" s="9" t="s">
        <v>334</v>
      </c>
      <c r="G7" s="269">
        <f>B11</f>
        <v>22514</v>
      </c>
    </row>
    <row r="9" spans="1:7" x14ac:dyDescent="0.2">
      <c r="A9" s="22" t="s">
        <v>220</v>
      </c>
    </row>
    <row r="10" spans="1:7" ht="51" x14ac:dyDescent="0.2">
      <c r="B10" s="86" t="s">
        <v>221</v>
      </c>
      <c r="C10" s="86" t="s">
        <v>222</v>
      </c>
      <c r="D10" s="86" t="s">
        <v>223</v>
      </c>
    </row>
    <row r="11" spans="1:7" x14ac:dyDescent="0.2">
      <c r="B11" s="166">
        <v>22514</v>
      </c>
      <c r="C11" s="167">
        <f>'State Q&amp;A'!A11</f>
        <v>0.66666666666666663</v>
      </c>
      <c r="D11" s="89">
        <f>B11*C11</f>
        <v>15009.333333333332</v>
      </c>
    </row>
    <row r="14" spans="1:7" x14ac:dyDescent="0.2">
      <c r="B14" s="3" t="s">
        <v>138</v>
      </c>
    </row>
    <row r="15" spans="1:7" x14ac:dyDescent="0.2">
      <c r="B15" s="160" t="s">
        <v>224</v>
      </c>
    </row>
    <row r="16" spans="1:7" x14ac:dyDescent="0.2">
      <c r="B16" s="160" t="s">
        <v>225</v>
      </c>
    </row>
    <row r="17" spans="2:2" x14ac:dyDescent="0.2">
      <c r="B17" s="160" t="s">
        <v>507</v>
      </c>
    </row>
    <row r="18" spans="2:2" x14ac:dyDescent="0.2">
      <c r="B18" s="160" t="s">
        <v>226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Normal="100" workbookViewId="0">
      <selection activeCell="H12" sqref="H12"/>
    </sheetView>
  </sheetViews>
  <sheetFormatPr defaultRowHeight="12.75" x14ac:dyDescent="0.2"/>
  <cols>
    <col min="1" max="1" width="4.85546875" style="1" customWidth="1"/>
    <col min="2" max="5" width="11" style="1" customWidth="1"/>
    <col min="6" max="10" width="9.140625" style="1"/>
    <col min="11" max="14" width="16.140625" style="1" customWidth="1"/>
    <col min="15" max="16384" width="9.140625" style="1"/>
  </cols>
  <sheetData>
    <row r="1" spans="1:14" x14ac:dyDescent="0.2">
      <c r="A1" s="3" t="s">
        <v>88</v>
      </c>
      <c r="K1" s="3" t="s">
        <v>162</v>
      </c>
    </row>
    <row r="2" spans="1:14" ht="38.25" x14ac:dyDescent="0.2">
      <c r="B2" s="14" t="s">
        <v>156</v>
      </c>
      <c r="C2" s="14" t="s">
        <v>157</v>
      </c>
      <c r="D2" s="14" t="s">
        <v>158</v>
      </c>
      <c r="E2" s="14" t="s">
        <v>155</v>
      </c>
      <c r="K2" s="103" t="s">
        <v>88</v>
      </c>
      <c r="L2" s="103" t="s">
        <v>98</v>
      </c>
      <c r="M2" s="103" t="s">
        <v>87</v>
      </c>
      <c r="N2" s="103" t="s">
        <v>155</v>
      </c>
    </row>
    <row r="3" spans="1:14" x14ac:dyDescent="0.2">
      <c r="B3" s="80">
        <f>'State Data'!D56</f>
        <v>125293</v>
      </c>
      <c r="C3" s="101">
        <v>1</v>
      </c>
      <c r="D3" s="116">
        <f>'State Q&amp;A'!A4</f>
        <v>8.3333333333333329E-2</v>
      </c>
      <c r="E3" s="95">
        <f>B3*C3*D3</f>
        <v>10441.083333333332</v>
      </c>
      <c r="K3" s="104">
        <f>E3</f>
        <v>10441.083333333332</v>
      </c>
      <c r="L3" s="104">
        <f>E8</f>
        <v>72125.764633583545</v>
      </c>
      <c r="M3" s="104">
        <f>E13</f>
        <v>208711.3</v>
      </c>
      <c r="N3" s="104">
        <f>SUM(K3:M3)</f>
        <v>291278.14796691685</v>
      </c>
    </row>
    <row r="4" spans="1:14" s="102" customFormat="1" ht="58.5" customHeight="1" x14ac:dyDescent="0.25">
      <c r="B4" s="317" t="s">
        <v>161</v>
      </c>
      <c r="C4" s="317"/>
      <c r="D4" s="317"/>
      <c r="E4" s="317"/>
      <c r="F4" s="317"/>
      <c r="G4" s="317"/>
      <c r="H4" s="317"/>
    </row>
    <row r="5" spans="1:14" x14ac:dyDescent="0.2">
      <c r="K5" s="270" t="s">
        <v>334</v>
      </c>
      <c r="L5" s="269">
        <f>B13</f>
        <v>298159</v>
      </c>
    </row>
    <row r="6" spans="1:14" x14ac:dyDescent="0.2">
      <c r="A6" s="3" t="s">
        <v>98</v>
      </c>
    </row>
    <row r="7" spans="1:14" ht="51" x14ac:dyDescent="0.2">
      <c r="B7" s="14" t="s">
        <v>159</v>
      </c>
      <c r="C7" s="14"/>
      <c r="D7" s="14" t="s">
        <v>160</v>
      </c>
      <c r="E7" s="14" t="s">
        <v>155</v>
      </c>
    </row>
    <row r="8" spans="1:14" x14ac:dyDescent="0.2">
      <c r="B8" s="80">
        <f>'State Data'!E56</f>
        <v>78682.652327545686</v>
      </c>
      <c r="C8" s="101"/>
      <c r="D8" s="116">
        <f>'State Q&amp;A'!A6</f>
        <v>0.91666666666666663</v>
      </c>
      <c r="E8" s="95">
        <f>B8*D8</f>
        <v>72125.764633583545</v>
      </c>
    </row>
    <row r="9" spans="1:14" s="102" customFormat="1" ht="42" customHeight="1" x14ac:dyDescent="0.25">
      <c r="B9" s="317" t="s">
        <v>493</v>
      </c>
      <c r="C9" s="317"/>
      <c r="D9" s="317"/>
      <c r="E9" s="317"/>
      <c r="F9" s="317"/>
      <c r="G9" s="317"/>
      <c r="H9" s="317"/>
    </row>
    <row r="11" spans="1:14" x14ac:dyDescent="0.2">
      <c r="A11" s="3" t="s">
        <v>87</v>
      </c>
    </row>
    <row r="12" spans="1:14" ht="63.75" x14ac:dyDescent="0.2">
      <c r="B12" s="14" t="s">
        <v>163</v>
      </c>
      <c r="C12" s="14" t="s">
        <v>492</v>
      </c>
      <c r="D12" s="14" t="s">
        <v>208</v>
      </c>
      <c r="E12" s="14" t="s">
        <v>155</v>
      </c>
    </row>
    <row r="13" spans="1:14" x14ac:dyDescent="0.2">
      <c r="B13" s="162">
        <f>'State Data'!AV56</f>
        <v>298159</v>
      </c>
      <c r="C13" s="164">
        <v>1</v>
      </c>
      <c r="D13" s="116">
        <v>0.7</v>
      </c>
      <c r="E13" s="163">
        <f>B13*C13*D13</f>
        <v>208711.3</v>
      </c>
      <c r="F13" s="295"/>
      <c r="G13" s="295"/>
      <c r="H13" s="295"/>
    </row>
    <row r="14" spans="1:14" s="102" customFormat="1" ht="130.5" customHeight="1" x14ac:dyDescent="0.25">
      <c r="B14" s="318" t="s">
        <v>494</v>
      </c>
      <c r="C14" s="318"/>
      <c r="D14" s="318"/>
      <c r="E14" s="318"/>
      <c r="F14" s="318"/>
      <c r="G14" s="318"/>
      <c r="H14" s="318"/>
    </row>
  </sheetData>
  <mergeCells count="3">
    <mergeCell ref="B4:H4"/>
    <mergeCell ref="B9:H9"/>
    <mergeCell ref="B14:H14"/>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zoomScaleNormal="100" workbookViewId="0">
      <selection activeCell="H17" sqref="H17"/>
    </sheetView>
  </sheetViews>
  <sheetFormatPr defaultRowHeight="12.75" x14ac:dyDescent="0.2"/>
  <cols>
    <col min="1" max="1" width="4.42578125" style="1" customWidth="1"/>
    <col min="2" max="6" width="16.28515625" style="1" customWidth="1"/>
    <col min="7" max="8" width="9.140625" style="1"/>
    <col min="9" max="9" width="30.7109375" style="1" bestFit="1" customWidth="1"/>
    <col min="10" max="16384" width="9.140625" style="1"/>
  </cols>
  <sheetData>
    <row r="2" spans="2:10" ht="38.25" x14ac:dyDescent="0.2">
      <c r="B2" s="14" t="s">
        <v>164</v>
      </c>
      <c r="C2" s="14" t="s">
        <v>165</v>
      </c>
      <c r="D2" s="14" t="s">
        <v>166</v>
      </c>
      <c r="E2" s="14" t="s">
        <v>167</v>
      </c>
      <c r="F2" s="14" t="s">
        <v>155</v>
      </c>
    </row>
    <row r="3" spans="2:10" x14ac:dyDescent="0.2">
      <c r="B3" s="162">
        <v>637</v>
      </c>
      <c r="C3" s="115">
        <f>'State Q&amp;A'!A2</f>
        <v>0.875</v>
      </c>
      <c r="D3" s="115">
        <f>'State Q&amp;A'!A4</f>
        <v>8.3333333333333329E-2</v>
      </c>
      <c r="E3" s="116">
        <f>'State Q&amp;A'!A6</f>
        <v>0.91666666666666663</v>
      </c>
      <c r="F3" s="95">
        <f>B3*(C3+D3+E3)</f>
        <v>1194.375</v>
      </c>
      <c r="I3" s="9" t="s">
        <v>334</v>
      </c>
      <c r="J3" s="269">
        <f>B3</f>
        <v>637</v>
      </c>
    </row>
    <row r="5" spans="2:10" ht="63.75" customHeight="1" x14ac:dyDescent="0.2">
      <c r="B5" s="317" t="s">
        <v>209</v>
      </c>
      <c r="C5" s="317"/>
      <c r="D5" s="317"/>
      <c r="E5" s="317"/>
      <c r="F5" s="317"/>
      <c r="G5" s="317"/>
    </row>
    <row r="12" spans="2:10" x14ac:dyDescent="0.2">
      <c r="C12" s="305"/>
    </row>
  </sheetData>
  <mergeCells count="1">
    <mergeCell ref="B5:G5"/>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
  <sheetViews>
    <sheetView zoomScaleNormal="100" workbookViewId="0">
      <selection activeCell="G7" sqref="G7"/>
    </sheetView>
  </sheetViews>
  <sheetFormatPr defaultRowHeight="12.75" x14ac:dyDescent="0.2"/>
  <cols>
    <col min="1" max="1" width="4.42578125" style="1" customWidth="1"/>
    <col min="2" max="6" width="16.28515625" style="1" customWidth="1"/>
    <col min="7" max="7" width="9.140625" style="1"/>
    <col min="8" max="8" width="30.7109375" style="1" bestFit="1" customWidth="1"/>
    <col min="9" max="16384" width="9.140625" style="1"/>
  </cols>
  <sheetData>
    <row r="2" spans="2:9" ht="38.25" x14ac:dyDescent="0.2">
      <c r="B2" s="14" t="s">
        <v>168</v>
      </c>
      <c r="C2" s="14" t="s">
        <v>497</v>
      </c>
      <c r="D2" s="14" t="s">
        <v>170</v>
      </c>
      <c r="E2" s="106" t="s">
        <v>155</v>
      </c>
      <c r="F2" s="108"/>
    </row>
    <row r="3" spans="2:9" x14ac:dyDescent="0.2">
      <c r="B3" s="162">
        <f>'State Q&amp;A'!B15</f>
        <v>1</v>
      </c>
      <c r="C3" s="105">
        <v>50</v>
      </c>
      <c r="D3" s="115">
        <f>AVERAGE('State Q&amp;A'!A2,'State Q&amp;A'!A4,'State Q&amp;A'!A6)</f>
        <v>0.625</v>
      </c>
      <c r="E3" s="107">
        <f>B3*C3*D3</f>
        <v>31.25</v>
      </c>
      <c r="F3" s="109"/>
      <c r="H3" s="9" t="s">
        <v>334</v>
      </c>
      <c r="I3" s="1">
        <f>C3*B3</f>
        <v>50</v>
      </c>
    </row>
    <row r="5" spans="2:9" ht="63.75" customHeight="1" x14ac:dyDescent="0.2">
      <c r="B5" s="317" t="s">
        <v>169</v>
      </c>
      <c r="C5" s="317"/>
      <c r="D5" s="317"/>
      <c r="E5" s="317"/>
      <c r="F5" s="317"/>
    </row>
  </sheetData>
  <mergeCells count="1">
    <mergeCell ref="B5:F5"/>
  </mergeCell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
  <sheetViews>
    <sheetView zoomScaleNormal="100" workbookViewId="0">
      <selection activeCell="G11" sqref="G11"/>
    </sheetView>
  </sheetViews>
  <sheetFormatPr defaultRowHeight="12.75" x14ac:dyDescent="0.2"/>
  <cols>
    <col min="1" max="1" width="4.42578125" style="1" customWidth="1"/>
    <col min="2" max="6" width="16.28515625" style="1" customWidth="1"/>
    <col min="7" max="7" width="30.7109375" style="1" bestFit="1" customWidth="1"/>
    <col min="8" max="16384" width="9.140625" style="1"/>
  </cols>
  <sheetData>
    <row r="2" spans="2:8" ht="38.25" x14ac:dyDescent="0.2">
      <c r="B2" s="14" t="s">
        <v>171</v>
      </c>
      <c r="C2" s="14" t="s">
        <v>170</v>
      </c>
      <c r="D2" s="106" t="s">
        <v>155</v>
      </c>
      <c r="E2" s="108"/>
      <c r="F2" s="23"/>
    </row>
    <row r="3" spans="2:8" x14ac:dyDescent="0.2">
      <c r="B3" s="162">
        <v>6</v>
      </c>
      <c r="C3" s="115">
        <f>AVERAGE('State Q&amp;A'!A2,'State Q&amp;A'!A4,'State Q&amp;A'!A6)</f>
        <v>0.625</v>
      </c>
      <c r="D3" s="110">
        <f>B3*C3</f>
        <v>3.75</v>
      </c>
      <c r="E3" s="109"/>
      <c r="F3" s="111"/>
      <c r="G3" s="9" t="s">
        <v>334</v>
      </c>
      <c r="H3" s="269">
        <f>B3</f>
        <v>6</v>
      </c>
    </row>
    <row r="5" spans="2:8" ht="91.5" customHeight="1" x14ac:dyDescent="0.2">
      <c r="B5" s="317" t="s">
        <v>498</v>
      </c>
      <c r="C5" s="317"/>
      <c r="D5" s="317"/>
      <c r="E5" s="317"/>
      <c r="F5" s="317"/>
    </row>
  </sheetData>
  <mergeCells count="1">
    <mergeCell ref="B5:F5"/>
  </mergeCell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87"/>
  <sheetViews>
    <sheetView tabSelected="1" topLeftCell="A19" workbookViewId="0">
      <selection activeCell="G24" sqref="G24"/>
    </sheetView>
  </sheetViews>
  <sheetFormatPr defaultRowHeight="12.75" x14ac:dyDescent="0.2"/>
  <cols>
    <col min="1" max="1" width="2.28515625" style="3" customWidth="1"/>
    <col min="2" max="6" width="12" style="93" customWidth="1"/>
    <col min="7" max="7" width="29.140625" style="93" customWidth="1"/>
    <col min="8" max="8" width="2.42578125" style="1" customWidth="1"/>
    <col min="9" max="9" width="2.85546875" style="2" customWidth="1"/>
    <col min="10" max="10" width="55.42578125" style="1" customWidth="1"/>
    <col min="11" max="11" width="24.7109375" style="1" customWidth="1"/>
    <col min="12" max="12" width="3.140625" style="1" customWidth="1"/>
    <col min="13" max="13" width="21.5703125" style="4" customWidth="1"/>
    <col min="14" max="16384" width="9.140625" style="1"/>
  </cols>
  <sheetData>
    <row r="2" spans="1:13" ht="25.5" x14ac:dyDescent="0.2">
      <c r="I2" s="319" t="s">
        <v>296</v>
      </c>
      <c r="J2" s="320"/>
      <c r="K2" s="127" t="s">
        <v>284</v>
      </c>
      <c r="M2" s="209" t="s">
        <v>283</v>
      </c>
    </row>
    <row r="3" spans="1:13" x14ac:dyDescent="0.2">
      <c r="I3" s="161">
        <v>1</v>
      </c>
      <c r="J3" s="112" t="s">
        <v>513</v>
      </c>
      <c r="K3" s="174">
        <f>'SuppStmt Effort'!F22</f>
        <v>21650.534440977124</v>
      </c>
      <c r="M3" s="174">
        <f>'1 - Init Submission'!O12/3</f>
        <v>21650.534440977128</v>
      </c>
    </row>
    <row r="4" spans="1:13" x14ac:dyDescent="0.2">
      <c r="I4" s="51">
        <v>2</v>
      </c>
      <c r="J4" s="19" t="s">
        <v>291</v>
      </c>
      <c r="K4" s="174">
        <f>'SuppStmt Effort'!F31</f>
        <v>109434.54074414239</v>
      </c>
      <c r="M4" s="174">
        <f>'2 - Newly Doc''d'!E11</f>
        <v>109434.54074414239</v>
      </c>
    </row>
    <row r="5" spans="1:13" x14ac:dyDescent="0.2">
      <c r="I5" s="161">
        <v>3</v>
      </c>
      <c r="J5" s="112" t="s">
        <v>511</v>
      </c>
      <c r="K5" s="174">
        <f>'SuppStmt Effort'!F40</f>
        <v>26663.838170127245</v>
      </c>
      <c r="M5" s="174">
        <f>'3 - Newly Doc''d'!D3</f>
        <v>26663.838170127245</v>
      </c>
    </row>
    <row r="6" spans="1:13" x14ac:dyDescent="0.2">
      <c r="I6" s="51">
        <v>4</v>
      </c>
      <c r="J6" s="19" t="s">
        <v>510</v>
      </c>
      <c r="K6" s="174">
        <f>'SuppStmt Effort'!F50</f>
        <v>15609.333333333334</v>
      </c>
      <c r="M6" s="174">
        <f>('4 - Newly Doc''d'!D11)+('4 - Newly Doc''d'!D5/3)</f>
        <v>15609.333333333332</v>
      </c>
    </row>
    <row r="7" spans="1:13" x14ac:dyDescent="0.2">
      <c r="I7" s="161">
        <v>5</v>
      </c>
      <c r="J7" s="112" t="s">
        <v>512</v>
      </c>
      <c r="K7" s="174">
        <f>'SuppStmt Effort'!F59</f>
        <v>291278.14796691685</v>
      </c>
      <c r="M7" s="174">
        <f>'5 - End Term'!N3</f>
        <v>291278.14796691685</v>
      </c>
    </row>
    <row r="8" spans="1:13" x14ac:dyDescent="0.2">
      <c r="I8" s="51">
        <v>6</v>
      </c>
      <c r="J8" s="19" t="s">
        <v>514</v>
      </c>
      <c r="K8" s="174">
        <f>'SuppStmt Effort'!F68</f>
        <v>1194.375</v>
      </c>
      <c r="M8" s="174">
        <f>'6 - Chg Residence'!F3</f>
        <v>1194.375</v>
      </c>
    </row>
    <row r="9" spans="1:13" x14ac:dyDescent="0.2">
      <c r="I9" s="161">
        <v>7</v>
      </c>
      <c r="J9" s="112" t="s">
        <v>516</v>
      </c>
      <c r="K9" s="174">
        <f>'SuppStmt Effort'!F77</f>
        <v>31.25</v>
      </c>
      <c r="M9" s="174">
        <f>'7 - Data Correct'!E3</f>
        <v>31.25</v>
      </c>
    </row>
    <row r="10" spans="1:13" x14ac:dyDescent="0.2">
      <c r="I10" s="51">
        <v>8</v>
      </c>
      <c r="J10" s="19" t="s">
        <v>515</v>
      </c>
      <c r="K10" s="174">
        <f>'SuppStmt Effort'!F86</f>
        <v>3.75</v>
      </c>
      <c r="M10" s="174">
        <f>'8 - Data Correct'!D3</f>
        <v>3.75</v>
      </c>
    </row>
    <row r="11" spans="1:13" x14ac:dyDescent="0.2">
      <c r="I11" s="198"/>
      <c r="J11" s="133" t="s">
        <v>261</v>
      </c>
      <c r="K11" s="199">
        <f>SUM(K3:K10)</f>
        <v>465865.76965549693</v>
      </c>
      <c r="L11" s="3"/>
      <c r="M11" s="206">
        <f>SUM(M3:M10)</f>
        <v>465865.76965549693</v>
      </c>
    </row>
    <row r="12" spans="1:13" x14ac:dyDescent="0.2">
      <c r="I12" s="200"/>
      <c r="J12" s="175" t="s">
        <v>252</v>
      </c>
      <c r="K12" s="201">
        <f>K11/50</f>
        <v>9317.3153931099387</v>
      </c>
      <c r="M12" s="207">
        <f>M11/50</f>
        <v>9317.3153931099387</v>
      </c>
    </row>
    <row r="13" spans="1:13" x14ac:dyDescent="0.2">
      <c r="I13" s="200"/>
      <c r="J13" s="175" t="s">
        <v>253</v>
      </c>
      <c r="K13" s="202">
        <f>K12/2080</f>
        <v>4.4794785543797779</v>
      </c>
      <c r="M13" s="208">
        <f>M12/2080</f>
        <v>4.4794785543797779</v>
      </c>
    </row>
    <row r="14" spans="1:13" x14ac:dyDescent="0.2">
      <c r="I14" s="203"/>
      <c r="J14" s="290" t="s">
        <v>508</v>
      </c>
      <c r="K14" s="204">
        <f>K11/418.643</f>
        <v>1112.7996160344182</v>
      </c>
      <c r="L14" s="295"/>
      <c r="M14" s="208">
        <f>M11/418.643</f>
        <v>1112.7996160344182</v>
      </c>
    </row>
    <row r="16" spans="1:13" x14ac:dyDescent="0.2">
      <c r="A16" s="3" t="s">
        <v>287</v>
      </c>
      <c r="J16" s="1" t="s">
        <v>472</v>
      </c>
    </row>
    <row r="17" spans="1:13" s="176" customFormat="1" ht="36" x14ac:dyDescent="0.2">
      <c r="B17" s="213" t="s">
        <v>254</v>
      </c>
      <c r="C17" s="214" t="s">
        <v>255</v>
      </c>
      <c r="D17" s="214" t="s">
        <v>263</v>
      </c>
      <c r="E17" s="214" t="s">
        <v>256</v>
      </c>
      <c r="F17" s="214" t="s">
        <v>257</v>
      </c>
      <c r="G17" s="215" t="s">
        <v>258</v>
      </c>
      <c r="I17" s="2"/>
      <c r="J17" s="1"/>
      <c r="K17" s="1"/>
      <c r="L17" s="1"/>
      <c r="M17" s="4"/>
    </row>
    <row r="18" spans="1:13" ht="60" x14ac:dyDescent="0.2">
      <c r="A18" s="179"/>
      <c r="B18" s="210" t="s">
        <v>86</v>
      </c>
      <c r="C18" s="210" t="s">
        <v>270</v>
      </c>
      <c r="D18" s="210" t="s">
        <v>485</v>
      </c>
      <c r="E18" s="216">
        <f>F18/'1 - Init Submission'!L14</f>
        <v>2238.9501186761204</v>
      </c>
      <c r="F18" s="212">
        <f>'1 - Init Submission'!N12</f>
        <v>62690.603322931376</v>
      </c>
      <c r="G18" s="210" t="s">
        <v>517</v>
      </c>
      <c r="J18" s="1" t="s">
        <v>472</v>
      </c>
    </row>
    <row r="19" spans="1:13" ht="60" x14ac:dyDescent="0.2">
      <c r="A19" s="179"/>
      <c r="B19" s="180" t="s">
        <v>94</v>
      </c>
      <c r="C19" s="180" t="s">
        <v>270</v>
      </c>
      <c r="D19" s="180" t="s">
        <v>485</v>
      </c>
      <c r="E19" s="181">
        <f>F19/'1 - Init Submission'!L14</f>
        <v>80.749999999999986</v>
      </c>
      <c r="F19" s="182">
        <f>'1 - Init Submission'!M12</f>
        <v>2260.9999999999995</v>
      </c>
      <c r="G19" s="180" t="s">
        <v>259</v>
      </c>
    </row>
    <row r="20" spans="1:13" s="177" customFormat="1" x14ac:dyDescent="0.2">
      <c r="A20" s="178"/>
      <c r="B20" s="189"/>
      <c r="C20" s="184"/>
      <c r="D20" s="185" t="s">
        <v>262</v>
      </c>
      <c r="E20" s="186">
        <f>SUM(E18:E19)</f>
        <v>2319.7001186761204</v>
      </c>
      <c r="F20" s="186">
        <f>SUM(F18:F19)</f>
        <v>64951.603322931376</v>
      </c>
      <c r="G20" s="190"/>
      <c r="I20" s="2"/>
      <c r="J20" s="1"/>
      <c r="K20" s="1"/>
      <c r="L20" s="1"/>
      <c r="M20" s="4"/>
    </row>
    <row r="21" spans="1:13" s="177" customFormat="1" x14ac:dyDescent="0.2">
      <c r="A21" s="178"/>
      <c r="B21" s="189"/>
      <c r="C21" s="184"/>
      <c r="D21" s="185" t="s">
        <v>260</v>
      </c>
      <c r="E21" s="187">
        <f>E20/2080</f>
        <v>1.1152404416712116</v>
      </c>
      <c r="F21" s="186">
        <f>F20/2080</f>
        <v>31.226732366793932</v>
      </c>
      <c r="G21" s="190"/>
      <c r="I21" s="2"/>
      <c r="J21" s="1"/>
      <c r="K21" s="1"/>
      <c r="L21" s="1"/>
      <c r="M21" s="4"/>
    </row>
    <row r="22" spans="1:13" s="177" customFormat="1" x14ac:dyDescent="0.2">
      <c r="A22" s="178"/>
      <c r="B22" s="189"/>
      <c r="C22" s="184"/>
      <c r="D22" s="185" t="s">
        <v>303</v>
      </c>
      <c r="E22" s="186">
        <f>E20/3</f>
        <v>773.23337289204017</v>
      </c>
      <c r="F22" s="186">
        <f>F20/3</f>
        <v>21650.534440977124</v>
      </c>
      <c r="G22" s="191" t="s">
        <v>486</v>
      </c>
      <c r="I22" s="2"/>
      <c r="J22" s="305">
        <f>F22/28</f>
        <v>773.23337289204017</v>
      </c>
      <c r="K22" s="1"/>
      <c r="L22" s="1"/>
      <c r="M22" s="4"/>
    </row>
    <row r="23" spans="1:13" s="177" customFormat="1" x14ac:dyDescent="0.2">
      <c r="A23" s="178"/>
      <c r="B23" s="192"/>
      <c r="C23" s="193"/>
      <c r="D23" s="194" t="s">
        <v>260</v>
      </c>
      <c r="E23" s="195">
        <f>E22/2080</f>
        <v>0.37174681389040393</v>
      </c>
      <c r="F23" s="196">
        <f>F22/2080</f>
        <v>10.40891078893131</v>
      </c>
      <c r="G23" s="197" t="s">
        <v>486</v>
      </c>
      <c r="I23" s="2"/>
      <c r="J23" s="1"/>
      <c r="K23" s="1"/>
      <c r="L23" s="1"/>
      <c r="M23" s="4"/>
    </row>
    <row r="24" spans="1:13" s="177" customFormat="1" x14ac:dyDescent="0.2">
      <c r="A24" s="178"/>
      <c r="E24" s="17"/>
      <c r="G24" s="177" t="s">
        <v>472</v>
      </c>
      <c r="I24" s="2"/>
      <c r="J24" s="1"/>
      <c r="K24" s="1"/>
      <c r="L24" s="1"/>
      <c r="M24" s="4"/>
    </row>
    <row r="25" spans="1:13" s="177" customFormat="1" x14ac:dyDescent="0.2">
      <c r="A25" s="178" t="s">
        <v>288</v>
      </c>
      <c r="E25" s="17"/>
      <c r="I25" s="2"/>
      <c r="J25" s="1"/>
      <c r="K25" s="1"/>
      <c r="L25" s="1"/>
      <c r="M25" s="4"/>
    </row>
    <row r="26" spans="1:13" s="178" customFormat="1" ht="36" x14ac:dyDescent="0.2">
      <c r="B26" s="213" t="s">
        <v>254</v>
      </c>
      <c r="C26" s="214" t="s">
        <v>255</v>
      </c>
      <c r="D26" s="214" t="s">
        <v>263</v>
      </c>
      <c r="E26" s="214" t="s">
        <v>256</v>
      </c>
      <c r="F26" s="214" t="s">
        <v>257</v>
      </c>
      <c r="G26" s="215" t="s">
        <v>258</v>
      </c>
      <c r="I26" s="2"/>
      <c r="J26" s="1"/>
      <c r="K26" s="1"/>
      <c r="L26" s="1"/>
      <c r="M26" s="4"/>
    </row>
    <row r="27" spans="1:13" s="177" customFormat="1" ht="60" x14ac:dyDescent="0.2">
      <c r="A27" s="178"/>
      <c r="B27" s="180" t="s">
        <v>86</v>
      </c>
      <c r="C27" s="180" t="s">
        <v>264</v>
      </c>
      <c r="D27" s="180" t="s">
        <v>265</v>
      </c>
      <c r="E27" s="181">
        <f>F27/50</f>
        <v>6566.0724446485438</v>
      </c>
      <c r="F27" s="182">
        <f>3*'2 - Newly Doc''d'!E11</f>
        <v>328303.62223242718</v>
      </c>
      <c r="G27" s="180" t="s">
        <v>499</v>
      </c>
      <c r="I27" s="2"/>
      <c r="J27" s="1"/>
      <c r="K27" s="1"/>
      <c r="L27" s="1"/>
      <c r="M27" s="4"/>
    </row>
    <row r="28" spans="1:13" s="177" customFormat="1" ht="60" x14ac:dyDescent="0.2">
      <c r="A28" s="178"/>
      <c r="B28" s="180" t="s">
        <v>94</v>
      </c>
      <c r="C28" s="180" t="s">
        <v>264</v>
      </c>
      <c r="D28" s="180" t="s">
        <v>265</v>
      </c>
      <c r="E28" s="183">
        <f>F28/50</f>
        <v>0</v>
      </c>
      <c r="F28" s="182">
        <v>0</v>
      </c>
      <c r="G28" s="180" t="s">
        <v>266</v>
      </c>
      <c r="I28" s="2"/>
      <c r="J28" s="1"/>
      <c r="K28" s="1"/>
      <c r="L28" s="1"/>
      <c r="M28" s="4"/>
    </row>
    <row r="29" spans="1:13" s="177" customFormat="1" x14ac:dyDescent="0.2">
      <c r="A29" s="178"/>
      <c r="B29" s="189"/>
      <c r="C29" s="184"/>
      <c r="D29" s="185" t="s">
        <v>262</v>
      </c>
      <c r="E29" s="186">
        <f>SUM(E27:E28)</f>
        <v>6566.0724446485438</v>
      </c>
      <c r="F29" s="186">
        <f>SUM(F27:F28)</f>
        <v>328303.62223242718</v>
      </c>
      <c r="G29" s="190"/>
      <c r="I29" s="2"/>
      <c r="J29" s="1"/>
      <c r="K29" s="1"/>
      <c r="L29" s="1"/>
      <c r="M29" s="4"/>
    </row>
    <row r="30" spans="1:13" x14ac:dyDescent="0.2">
      <c r="B30" s="189"/>
      <c r="C30" s="184"/>
      <c r="D30" s="185" t="s">
        <v>260</v>
      </c>
      <c r="E30" s="187">
        <f>E29/2080</f>
        <v>3.1567655983887231</v>
      </c>
      <c r="F30" s="186">
        <f>F29/2080</f>
        <v>157.83827991943613</v>
      </c>
      <c r="G30" s="190"/>
    </row>
    <row r="31" spans="1:13" x14ac:dyDescent="0.2">
      <c r="B31" s="189"/>
      <c r="C31" s="184"/>
      <c r="D31" s="185" t="s">
        <v>303</v>
      </c>
      <c r="E31" s="186">
        <f>E29/3</f>
        <v>2188.6908148828479</v>
      </c>
      <c r="F31" s="186">
        <f>F29/3</f>
        <v>109434.54074414239</v>
      </c>
      <c r="G31" s="191"/>
      <c r="J31" s="305">
        <f>F31/50</f>
        <v>2188.6908148828479</v>
      </c>
    </row>
    <row r="32" spans="1:13" x14ac:dyDescent="0.2">
      <c r="B32" s="192"/>
      <c r="C32" s="193"/>
      <c r="D32" s="194" t="s">
        <v>260</v>
      </c>
      <c r="E32" s="195">
        <f>E31/2080</f>
        <v>1.0522551994629077</v>
      </c>
      <c r="F32" s="196">
        <f>F31/2080</f>
        <v>52.61275997314538</v>
      </c>
      <c r="G32" s="197"/>
    </row>
    <row r="34" spans="1:10" x14ac:dyDescent="0.2">
      <c r="A34" s="3" t="s">
        <v>289</v>
      </c>
    </row>
    <row r="35" spans="1:10" ht="36" x14ac:dyDescent="0.2">
      <c r="B35" s="213" t="s">
        <v>254</v>
      </c>
      <c r="C35" s="214" t="s">
        <v>255</v>
      </c>
      <c r="D35" s="214" t="s">
        <v>263</v>
      </c>
      <c r="E35" s="214" t="s">
        <v>256</v>
      </c>
      <c r="F35" s="214" t="s">
        <v>257</v>
      </c>
      <c r="G35" s="215" t="s">
        <v>258</v>
      </c>
    </row>
    <row r="36" spans="1:10" ht="84" x14ac:dyDescent="0.2">
      <c r="B36" s="180" t="s">
        <v>86</v>
      </c>
      <c r="C36" s="180" t="s">
        <v>264</v>
      </c>
      <c r="D36" s="180" t="s">
        <v>265</v>
      </c>
      <c r="E36" s="181">
        <f>F36/50</f>
        <v>1599.8302902076348</v>
      </c>
      <c r="F36" s="182">
        <f>'3 - Newly Doc''d'!D3*3</f>
        <v>79991.514510381734</v>
      </c>
      <c r="G36" s="180" t="s">
        <v>267</v>
      </c>
    </row>
    <row r="37" spans="1:10" ht="60" x14ac:dyDescent="0.2">
      <c r="B37" s="180" t="s">
        <v>94</v>
      </c>
      <c r="C37" s="180" t="s">
        <v>264</v>
      </c>
      <c r="D37" s="180" t="s">
        <v>265</v>
      </c>
      <c r="E37" s="183">
        <f>F37/50</f>
        <v>0</v>
      </c>
      <c r="F37" s="182">
        <v>0</v>
      </c>
      <c r="G37" s="180" t="s">
        <v>266</v>
      </c>
    </row>
    <row r="38" spans="1:10" x14ac:dyDescent="0.2">
      <c r="B38" s="189"/>
      <c r="C38" s="184"/>
      <c r="D38" s="185" t="s">
        <v>262</v>
      </c>
      <c r="E38" s="186">
        <f>SUM(E36:E37)</f>
        <v>1599.8302902076348</v>
      </c>
      <c r="F38" s="186">
        <f>SUM(F36:F37)</f>
        <v>79991.514510381734</v>
      </c>
      <c r="G38" s="190"/>
    </row>
    <row r="39" spans="1:10" x14ac:dyDescent="0.2">
      <c r="B39" s="189"/>
      <c r="C39" s="184"/>
      <c r="D39" s="185" t="s">
        <v>260</v>
      </c>
      <c r="E39" s="187">
        <f>E38/2080</f>
        <v>0.76914917798443982</v>
      </c>
      <c r="F39" s="186">
        <f>F38/2080</f>
        <v>38.45745889922199</v>
      </c>
      <c r="G39" s="190"/>
    </row>
    <row r="40" spans="1:10" x14ac:dyDescent="0.2">
      <c r="B40" s="189"/>
      <c r="C40" s="184"/>
      <c r="D40" s="185" t="s">
        <v>303</v>
      </c>
      <c r="E40" s="186">
        <f>E38/3</f>
        <v>533.27676340254493</v>
      </c>
      <c r="F40" s="186">
        <f>F38/3</f>
        <v>26663.838170127245</v>
      </c>
      <c r="G40" s="191"/>
      <c r="J40" s="305">
        <f>F40/50</f>
        <v>533.27676340254493</v>
      </c>
    </row>
    <row r="41" spans="1:10" x14ac:dyDescent="0.2">
      <c r="B41" s="192"/>
      <c r="C41" s="193"/>
      <c r="D41" s="194" t="s">
        <v>260</v>
      </c>
      <c r="E41" s="195">
        <f>E40/2080</f>
        <v>0.25638305932814659</v>
      </c>
      <c r="F41" s="196">
        <f>F40/2080</f>
        <v>12.81915296640733</v>
      </c>
      <c r="G41" s="197"/>
    </row>
    <row r="43" spans="1:10" x14ac:dyDescent="0.2">
      <c r="A43" s="3" t="s">
        <v>290</v>
      </c>
    </row>
    <row r="44" spans="1:10" ht="36" x14ac:dyDescent="0.2">
      <c r="B44" s="213" t="s">
        <v>254</v>
      </c>
      <c r="C44" s="214" t="s">
        <v>255</v>
      </c>
      <c r="D44" s="214" t="s">
        <v>263</v>
      </c>
      <c r="E44" s="214" t="s">
        <v>256</v>
      </c>
      <c r="F44" s="214" t="s">
        <v>257</v>
      </c>
      <c r="G44" s="215" t="s">
        <v>258</v>
      </c>
    </row>
    <row r="45" spans="1:10" ht="72" x14ac:dyDescent="0.2">
      <c r="B45" s="180" t="s">
        <v>86</v>
      </c>
      <c r="C45" s="180" t="s">
        <v>264</v>
      </c>
      <c r="D45" s="180" t="s">
        <v>265</v>
      </c>
      <c r="E45" s="181">
        <f>F45/50</f>
        <v>900.56</v>
      </c>
      <c r="F45" s="182">
        <f>'4 - Newly Doc''d'!D11*3</f>
        <v>45028</v>
      </c>
      <c r="G45" s="180" t="s">
        <v>269</v>
      </c>
    </row>
    <row r="46" spans="1:10" ht="84" x14ac:dyDescent="0.2">
      <c r="B46" s="180" t="s">
        <v>94</v>
      </c>
      <c r="C46" s="180" t="s">
        <v>270</v>
      </c>
      <c r="D46" s="180" t="s">
        <v>265</v>
      </c>
      <c r="E46" s="181">
        <f>F46/50</f>
        <v>36</v>
      </c>
      <c r="F46" s="182">
        <f>'4 - Newly Doc''d'!D5</f>
        <v>1800</v>
      </c>
      <c r="G46" s="180" t="s">
        <v>487</v>
      </c>
    </row>
    <row r="47" spans="1:10" ht="60" x14ac:dyDescent="0.2">
      <c r="B47" s="180" t="s">
        <v>94</v>
      </c>
      <c r="C47" s="180" t="s">
        <v>264</v>
      </c>
      <c r="D47" s="180" t="s">
        <v>265</v>
      </c>
      <c r="E47" s="183">
        <f>F47/50</f>
        <v>0</v>
      </c>
      <c r="F47" s="182">
        <v>0</v>
      </c>
      <c r="G47" s="180" t="s">
        <v>266</v>
      </c>
    </row>
    <row r="48" spans="1:10" x14ac:dyDescent="0.2">
      <c r="B48" s="189"/>
      <c r="C48" s="184"/>
      <c r="D48" s="185" t="s">
        <v>262</v>
      </c>
      <c r="E48" s="186">
        <f>SUM(E45:E47)</f>
        <v>936.56</v>
      </c>
      <c r="F48" s="186">
        <f>SUM(F45:F47)</f>
        <v>46828</v>
      </c>
      <c r="G48" s="190"/>
    </row>
    <row r="49" spans="1:10" x14ac:dyDescent="0.2">
      <c r="B49" s="189"/>
      <c r="C49" s="184"/>
      <c r="D49" s="185" t="s">
        <v>260</v>
      </c>
      <c r="E49" s="187">
        <f>E48/2080</f>
        <v>0.45026923076923075</v>
      </c>
      <c r="F49" s="186">
        <f>F48/2080</f>
        <v>22.513461538461538</v>
      </c>
      <c r="G49" s="190"/>
    </row>
    <row r="50" spans="1:10" x14ac:dyDescent="0.2">
      <c r="B50" s="189"/>
      <c r="C50" s="184"/>
      <c r="D50" s="185" t="s">
        <v>303</v>
      </c>
      <c r="E50" s="186">
        <f>E48/3</f>
        <v>312.18666666666667</v>
      </c>
      <c r="F50" s="186">
        <f>F48/3</f>
        <v>15609.333333333334</v>
      </c>
      <c r="G50" s="191"/>
      <c r="J50" s="305">
        <f>F50/50</f>
        <v>312.18666666666667</v>
      </c>
    </row>
    <row r="51" spans="1:10" x14ac:dyDescent="0.2">
      <c r="B51" s="192"/>
      <c r="C51" s="193"/>
      <c r="D51" s="194" t="s">
        <v>260</v>
      </c>
      <c r="E51" s="195">
        <f>E50/2080</f>
        <v>0.15008974358974358</v>
      </c>
      <c r="F51" s="196">
        <f>F50/2080</f>
        <v>7.5044871794871799</v>
      </c>
      <c r="G51" s="197"/>
    </row>
    <row r="53" spans="1:10" x14ac:dyDescent="0.2">
      <c r="A53" s="3" t="s">
        <v>276</v>
      </c>
    </row>
    <row r="54" spans="1:10" ht="36" x14ac:dyDescent="0.2">
      <c r="B54" s="213" t="s">
        <v>254</v>
      </c>
      <c r="C54" s="214" t="s">
        <v>255</v>
      </c>
      <c r="D54" s="214" t="s">
        <v>263</v>
      </c>
      <c r="E54" s="214" t="s">
        <v>256</v>
      </c>
      <c r="F54" s="214" t="s">
        <v>257</v>
      </c>
      <c r="G54" s="215" t="s">
        <v>258</v>
      </c>
    </row>
    <row r="55" spans="1:10" ht="60" x14ac:dyDescent="0.2">
      <c r="B55" s="180" t="s">
        <v>86</v>
      </c>
      <c r="C55" s="180" t="s">
        <v>271</v>
      </c>
      <c r="D55" s="180" t="s">
        <v>265</v>
      </c>
      <c r="E55" s="181">
        <f>F55/50</f>
        <v>17476.688878015011</v>
      </c>
      <c r="F55" s="182">
        <f>'5 - End Term'!N3*3</f>
        <v>873834.44390075048</v>
      </c>
      <c r="G55" s="180" t="s">
        <v>272</v>
      </c>
    </row>
    <row r="56" spans="1:10" ht="36" x14ac:dyDescent="0.2">
      <c r="B56" s="180" t="s">
        <v>94</v>
      </c>
      <c r="C56" s="180" t="s">
        <v>271</v>
      </c>
      <c r="D56" s="180" t="s">
        <v>265</v>
      </c>
      <c r="E56" s="183">
        <f>F56/50</f>
        <v>0</v>
      </c>
      <c r="F56" s="182">
        <v>0</v>
      </c>
      <c r="G56" s="180" t="s">
        <v>266</v>
      </c>
    </row>
    <row r="57" spans="1:10" x14ac:dyDescent="0.2">
      <c r="B57" s="189"/>
      <c r="C57" s="184"/>
      <c r="D57" s="185" t="s">
        <v>262</v>
      </c>
      <c r="E57" s="186">
        <f>SUM(E55:E56)</f>
        <v>17476.688878015011</v>
      </c>
      <c r="F57" s="186">
        <f>SUM(F55:F56)</f>
        <v>873834.44390075048</v>
      </c>
      <c r="G57" s="190"/>
    </row>
    <row r="58" spans="1:10" x14ac:dyDescent="0.2">
      <c r="B58" s="189"/>
      <c r="C58" s="184"/>
      <c r="D58" s="185" t="s">
        <v>260</v>
      </c>
      <c r="E58" s="187">
        <f>E57/2080</f>
        <v>8.4022542682764474</v>
      </c>
      <c r="F58" s="186">
        <f>F57/2080</f>
        <v>420.11271341382235</v>
      </c>
      <c r="G58" s="190"/>
    </row>
    <row r="59" spans="1:10" x14ac:dyDescent="0.2">
      <c r="B59" s="189"/>
      <c r="C59" s="184"/>
      <c r="D59" s="185" t="s">
        <v>303</v>
      </c>
      <c r="E59" s="186">
        <f>E57/3</f>
        <v>5825.5629593383374</v>
      </c>
      <c r="F59" s="186">
        <f>F57/3</f>
        <v>291278.14796691685</v>
      </c>
      <c r="G59" s="191"/>
      <c r="J59" s="305">
        <f>F59/50</f>
        <v>5825.5629593383374</v>
      </c>
    </row>
    <row r="60" spans="1:10" x14ac:dyDescent="0.2">
      <c r="B60" s="192"/>
      <c r="C60" s="193"/>
      <c r="D60" s="194" t="s">
        <v>260</v>
      </c>
      <c r="E60" s="195">
        <f>E59/2080</f>
        <v>2.8007514227588159</v>
      </c>
      <c r="F60" s="196">
        <f>F59/2080</f>
        <v>140.0375711379408</v>
      </c>
      <c r="G60" s="197"/>
    </row>
    <row r="62" spans="1:10" x14ac:dyDescent="0.2">
      <c r="A62" s="3" t="s">
        <v>277</v>
      </c>
    </row>
    <row r="63" spans="1:10" ht="36" x14ac:dyDescent="0.2">
      <c r="B63" s="213" t="s">
        <v>254</v>
      </c>
      <c r="C63" s="214" t="s">
        <v>255</v>
      </c>
      <c r="D63" s="214" t="s">
        <v>263</v>
      </c>
      <c r="E63" s="214" t="s">
        <v>256</v>
      </c>
      <c r="F63" s="214" t="s">
        <v>257</v>
      </c>
      <c r="G63" s="215" t="s">
        <v>258</v>
      </c>
    </row>
    <row r="64" spans="1:10" ht="108" x14ac:dyDescent="0.2">
      <c r="B64" s="180" t="s">
        <v>86</v>
      </c>
      <c r="C64" s="180" t="s">
        <v>273</v>
      </c>
      <c r="D64" s="180" t="s">
        <v>265</v>
      </c>
      <c r="E64" s="181">
        <f>F64/50</f>
        <v>71.662499999999994</v>
      </c>
      <c r="F64" s="182">
        <f>3*'6 - Chg Residence'!F3</f>
        <v>3583.125</v>
      </c>
      <c r="G64" s="180" t="s">
        <v>274</v>
      </c>
    </row>
    <row r="65" spans="1:10" ht="108" x14ac:dyDescent="0.2">
      <c r="B65" s="180" t="s">
        <v>94</v>
      </c>
      <c r="C65" s="180" t="s">
        <v>273</v>
      </c>
      <c r="D65" s="180" t="s">
        <v>265</v>
      </c>
      <c r="E65" s="183">
        <f>F65/50</f>
        <v>0</v>
      </c>
      <c r="F65" s="182">
        <v>0</v>
      </c>
      <c r="G65" s="180" t="s">
        <v>266</v>
      </c>
    </row>
    <row r="66" spans="1:10" x14ac:dyDescent="0.2">
      <c r="B66" s="189"/>
      <c r="C66" s="184"/>
      <c r="D66" s="185" t="s">
        <v>262</v>
      </c>
      <c r="E66" s="186">
        <f>SUM(E64:E65)</f>
        <v>71.662499999999994</v>
      </c>
      <c r="F66" s="186">
        <f>SUM(F64:F65)</f>
        <v>3583.125</v>
      </c>
      <c r="G66" s="190"/>
    </row>
    <row r="67" spans="1:10" x14ac:dyDescent="0.2">
      <c r="B67" s="189"/>
      <c r="C67" s="184"/>
      <c r="D67" s="185" t="s">
        <v>260</v>
      </c>
      <c r="E67" s="187">
        <f>E66/2080</f>
        <v>3.4453124999999994E-2</v>
      </c>
      <c r="F67" s="186">
        <f>F66/2080</f>
        <v>1.72265625</v>
      </c>
      <c r="G67" s="190"/>
    </row>
    <row r="68" spans="1:10" x14ac:dyDescent="0.2">
      <c r="B68" s="189"/>
      <c r="C68" s="184"/>
      <c r="D68" s="185" t="s">
        <v>303</v>
      </c>
      <c r="E68" s="186">
        <f>E66/3</f>
        <v>23.887499999999999</v>
      </c>
      <c r="F68" s="186">
        <f>F66/3</f>
        <v>1194.375</v>
      </c>
      <c r="G68" s="191"/>
      <c r="J68" s="305">
        <f>F68/50</f>
        <v>23.887499999999999</v>
      </c>
    </row>
    <row r="69" spans="1:10" x14ac:dyDescent="0.2">
      <c r="B69" s="192"/>
      <c r="C69" s="193"/>
      <c r="D69" s="194" t="s">
        <v>260</v>
      </c>
      <c r="E69" s="195">
        <f>E68/2080</f>
        <v>1.1484375E-2</v>
      </c>
      <c r="F69" s="196">
        <f>F68/2080</f>
        <v>0.57421875</v>
      </c>
      <c r="G69" s="197"/>
    </row>
    <row r="71" spans="1:10" x14ac:dyDescent="0.2">
      <c r="A71" s="3" t="s">
        <v>275</v>
      </c>
    </row>
    <row r="72" spans="1:10" ht="36" x14ac:dyDescent="0.2">
      <c r="B72" s="213" t="s">
        <v>254</v>
      </c>
      <c r="C72" s="214" t="s">
        <v>255</v>
      </c>
      <c r="D72" s="214" t="s">
        <v>263</v>
      </c>
      <c r="E72" s="214" t="s">
        <v>256</v>
      </c>
      <c r="F72" s="214" t="s">
        <v>257</v>
      </c>
      <c r="G72" s="215" t="s">
        <v>258</v>
      </c>
    </row>
    <row r="73" spans="1:10" ht="72" x14ac:dyDescent="0.2">
      <c r="B73" s="210" t="s">
        <v>86</v>
      </c>
      <c r="C73" s="210" t="s">
        <v>278</v>
      </c>
      <c r="D73" s="210" t="s">
        <v>265</v>
      </c>
      <c r="E73" s="211">
        <f>F73/50</f>
        <v>1.875</v>
      </c>
      <c r="F73" s="212">
        <f>3*'7 - Data Correct'!E3</f>
        <v>93.75</v>
      </c>
      <c r="G73" s="210" t="s">
        <v>279</v>
      </c>
    </row>
    <row r="74" spans="1:10" ht="72" x14ac:dyDescent="0.2">
      <c r="B74" s="180" t="s">
        <v>94</v>
      </c>
      <c r="C74" s="180" t="s">
        <v>278</v>
      </c>
      <c r="D74" s="180" t="s">
        <v>265</v>
      </c>
      <c r="E74" s="183">
        <f>F74/50</f>
        <v>0</v>
      </c>
      <c r="F74" s="182">
        <v>0</v>
      </c>
      <c r="G74" s="180" t="s">
        <v>282</v>
      </c>
    </row>
    <row r="75" spans="1:10" x14ac:dyDescent="0.2">
      <c r="B75" s="189"/>
      <c r="C75" s="184"/>
      <c r="D75" s="185" t="s">
        <v>262</v>
      </c>
      <c r="E75" s="187">
        <f>SUM(E73:E74)</f>
        <v>1.875</v>
      </c>
      <c r="F75" s="186">
        <f>SUM(F73:F74)</f>
        <v>93.75</v>
      </c>
      <c r="G75" s="190"/>
    </row>
    <row r="76" spans="1:10" x14ac:dyDescent="0.2">
      <c r="B76" s="189"/>
      <c r="C76" s="184"/>
      <c r="D76" s="185" t="s">
        <v>260</v>
      </c>
      <c r="E76" s="187">
        <f>E75/2080</f>
        <v>9.0144230769230774E-4</v>
      </c>
      <c r="F76" s="186">
        <f>F75/2080</f>
        <v>4.5072115384615384E-2</v>
      </c>
      <c r="G76" s="190"/>
    </row>
    <row r="77" spans="1:10" x14ac:dyDescent="0.2">
      <c r="B77" s="189"/>
      <c r="C77" s="184"/>
      <c r="D77" s="185" t="s">
        <v>303</v>
      </c>
      <c r="E77" s="187">
        <f>E75/3</f>
        <v>0.625</v>
      </c>
      <c r="F77" s="186">
        <f>F75/3</f>
        <v>31.25</v>
      </c>
      <c r="G77" s="191"/>
      <c r="J77" s="308">
        <f>F77/50</f>
        <v>0.625</v>
      </c>
    </row>
    <row r="78" spans="1:10" x14ac:dyDescent="0.2">
      <c r="B78" s="192"/>
      <c r="C78" s="193"/>
      <c r="D78" s="194" t="s">
        <v>260</v>
      </c>
      <c r="E78" s="195">
        <f>E77/2080</f>
        <v>3.0048076923076925E-4</v>
      </c>
      <c r="F78" s="196">
        <f>F77/2080</f>
        <v>1.5024038461538462E-2</v>
      </c>
      <c r="G78" s="197"/>
    </row>
    <row r="80" spans="1:10" x14ac:dyDescent="0.2">
      <c r="A80" s="3" t="s">
        <v>295</v>
      </c>
    </row>
    <row r="81" spans="2:10" ht="36" x14ac:dyDescent="0.2">
      <c r="B81" s="213" t="s">
        <v>254</v>
      </c>
      <c r="C81" s="214" t="s">
        <v>255</v>
      </c>
      <c r="D81" s="214" t="s">
        <v>263</v>
      </c>
      <c r="E81" s="214" t="s">
        <v>256</v>
      </c>
      <c r="F81" s="214" t="s">
        <v>257</v>
      </c>
      <c r="G81" s="215" t="s">
        <v>258</v>
      </c>
    </row>
    <row r="82" spans="2:10" ht="72" x14ac:dyDescent="0.2">
      <c r="B82" s="180" t="s">
        <v>86</v>
      </c>
      <c r="C82" s="180" t="s">
        <v>280</v>
      </c>
      <c r="D82" s="180" t="s">
        <v>265</v>
      </c>
      <c r="E82" s="205">
        <f>F82/50</f>
        <v>0.22500000000000001</v>
      </c>
      <c r="F82" s="182">
        <f>3*'8 - Data Correct'!D3</f>
        <v>11.25</v>
      </c>
      <c r="G82" s="180" t="s">
        <v>281</v>
      </c>
    </row>
    <row r="83" spans="2:10" ht="72" x14ac:dyDescent="0.2">
      <c r="B83" s="180" t="s">
        <v>94</v>
      </c>
      <c r="C83" s="180" t="s">
        <v>280</v>
      </c>
      <c r="D83" s="180" t="s">
        <v>265</v>
      </c>
      <c r="E83" s="183">
        <f>F83/50</f>
        <v>0</v>
      </c>
      <c r="F83" s="182">
        <v>0</v>
      </c>
      <c r="G83" s="180" t="s">
        <v>282</v>
      </c>
    </row>
    <row r="84" spans="2:10" x14ac:dyDescent="0.2">
      <c r="B84" s="189"/>
      <c r="C84" s="184"/>
      <c r="D84" s="185" t="s">
        <v>262</v>
      </c>
      <c r="E84" s="187">
        <f>SUM(E82:E83)</f>
        <v>0.22500000000000001</v>
      </c>
      <c r="F84" s="186">
        <f>SUM(F82:F83)</f>
        <v>11.25</v>
      </c>
      <c r="G84" s="190"/>
    </row>
    <row r="85" spans="2:10" x14ac:dyDescent="0.2">
      <c r="B85" s="189"/>
      <c r="C85" s="184"/>
      <c r="D85" s="185" t="s">
        <v>260</v>
      </c>
      <c r="E85" s="187">
        <f>E84/2080</f>
        <v>1.0817307692307693E-4</v>
      </c>
      <c r="F85" s="186">
        <f>F84/2080</f>
        <v>5.408653846153846E-3</v>
      </c>
      <c r="G85" s="190"/>
    </row>
    <row r="86" spans="2:10" x14ac:dyDescent="0.2">
      <c r="B86" s="189"/>
      <c r="C86" s="184"/>
      <c r="D86" s="185" t="s">
        <v>303</v>
      </c>
      <c r="E86" s="187">
        <f>E84/3</f>
        <v>7.4999999999999997E-2</v>
      </c>
      <c r="F86" s="186">
        <f>F84/3</f>
        <v>3.75</v>
      </c>
      <c r="G86" s="191"/>
      <c r="J86" s="309">
        <f>F86/50</f>
        <v>7.4999999999999997E-2</v>
      </c>
    </row>
    <row r="87" spans="2:10" x14ac:dyDescent="0.2">
      <c r="B87" s="192"/>
      <c r="C87" s="193"/>
      <c r="D87" s="194" t="s">
        <v>260</v>
      </c>
      <c r="E87" s="195">
        <f>E86/2080</f>
        <v>3.6057692307692304E-5</v>
      </c>
      <c r="F87" s="196">
        <f>F86/2080</f>
        <v>1.8028846153846155E-3</v>
      </c>
      <c r="G87" s="197"/>
    </row>
  </sheetData>
  <mergeCells count="1">
    <mergeCell ref="I2:J2"/>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1 - Init Submission</vt:lpstr>
      <vt:lpstr>2 - Newly Doc'd</vt:lpstr>
      <vt:lpstr>3 - Newly Doc'd</vt:lpstr>
      <vt:lpstr>4 - Newly Doc'd</vt:lpstr>
      <vt:lpstr>5 - End Term</vt:lpstr>
      <vt:lpstr>6 - Chg Residence</vt:lpstr>
      <vt:lpstr>7 - Data Correct</vt:lpstr>
      <vt:lpstr>8 - Data Correct</vt:lpstr>
      <vt:lpstr>SuppStmt Effort</vt:lpstr>
      <vt:lpstr>SuppStmt Cost</vt:lpstr>
      <vt:lpstr>SuppStmt EDCost</vt:lpstr>
      <vt:lpstr>State Data</vt:lpstr>
      <vt:lpstr>State Q&amp;A</vt:lpstr>
      <vt:lpstr>State Response Details</vt:lpstr>
      <vt:lpstr>Interface Development</vt:lpstr>
      <vt:lpstr>Non-COE-EDEN elements</vt:lpstr>
      <vt:lpstr>'1 - Init Submission'!Print_Area</vt:lpstr>
      <vt:lpstr>'2 - Newly Doc''d'!Print_Area</vt:lpstr>
      <vt:lpstr>'Non-COE-EDEN elements'!Print_Area</vt:lpstr>
      <vt:lpstr>'State Data'!Print_Area</vt:lpstr>
      <vt:lpstr>'State Q&amp;A'!Print_Area</vt:lpstr>
      <vt:lpstr>'SuppStmt Cost'!Print_Area</vt:lpstr>
    </vt:vector>
  </TitlesOfParts>
  <Company>Deloitte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Carden, John</dc:creator>
  <cp:lastModifiedBy>Patricia Meyertholen</cp:lastModifiedBy>
  <cp:lastPrinted>2012-08-08T19:12:59Z</cp:lastPrinted>
  <dcterms:created xsi:type="dcterms:W3CDTF">2012-02-23T17:10:20Z</dcterms:created>
  <dcterms:modified xsi:type="dcterms:W3CDTF">2013-07-29T18:39:00Z</dcterms:modified>
</cp:coreProperties>
</file>