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8075" windowHeight="10485"/>
  </bookViews>
  <sheets>
    <sheet name="Overall" sheetId="1" r:id="rId1"/>
    <sheet name="5 Mil" sheetId="2" r:id="rId2"/>
    <sheet name="20 Mil " sheetId="3" r:id="rId3"/>
    <sheet name="100 M" sheetId="4" r:id="rId4"/>
  </sheets>
  <calcPr calcId="125725"/>
</workbook>
</file>

<file path=xl/calcChain.xml><?xml version="1.0" encoding="utf-8"?>
<calcChain xmlns="http://schemas.openxmlformats.org/spreadsheetml/2006/main">
  <c r="L42" i="1"/>
  <c r="J41"/>
  <c r="L41" s="1"/>
  <c r="J37"/>
  <c r="J38" s="1"/>
  <c r="I37"/>
  <c r="I38" s="1"/>
  <c r="K38" s="1"/>
  <c r="L37"/>
  <c r="K37"/>
  <c r="I25"/>
  <c r="I29" s="1"/>
  <c r="L27" i="2"/>
  <c r="J25" i="4"/>
  <c r="I25"/>
  <c r="J24"/>
  <c r="I24"/>
  <c r="J23"/>
  <c r="I23"/>
  <c r="J22"/>
  <c r="I22"/>
  <c r="J20"/>
  <c r="I20"/>
  <c r="J19"/>
  <c r="I19"/>
  <c r="J18"/>
  <c r="I18"/>
  <c r="J17"/>
  <c r="I17"/>
  <c r="J16"/>
  <c r="I16"/>
  <c r="J15"/>
  <c r="I15"/>
  <c r="J14"/>
  <c r="I14"/>
  <c r="J13"/>
  <c r="I13"/>
  <c r="J12"/>
  <c r="J26" s="1"/>
  <c r="I12"/>
  <c r="I26" s="1"/>
  <c r="J9"/>
  <c r="I9"/>
  <c r="J8"/>
  <c r="I8"/>
  <c r="J7"/>
  <c r="J10" s="1"/>
  <c r="J27" s="1"/>
  <c r="L27" s="1"/>
  <c r="I7"/>
  <c r="I10" s="1"/>
  <c r="J25" i="3"/>
  <c r="I25"/>
  <c r="J24"/>
  <c r="I24"/>
  <c r="J23"/>
  <c r="I23"/>
  <c r="J22"/>
  <c r="I22"/>
  <c r="J20"/>
  <c r="I20"/>
  <c r="J19"/>
  <c r="I19"/>
  <c r="J18"/>
  <c r="I18"/>
  <c r="J17"/>
  <c r="I17"/>
  <c r="J16"/>
  <c r="I16"/>
  <c r="J15"/>
  <c r="I15"/>
  <c r="J14"/>
  <c r="I14"/>
  <c r="J13"/>
  <c r="I13"/>
  <c r="J12"/>
  <c r="J26" s="1"/>
  <c r="I12"/>
  <c r="I26" s="1"/>
  <c r="J9"/>
  <c r="I9"/>
  <c r="J8"/>
  <c r="I8"/>
  <c r="J7"/>
  <c r="J10" s="1"/>
  <c r="J27" s="1"/>
  <c r="L27" s="1"/>
  <c r="I7"/>
  <c r="I10" s="1"/>
  <c r="I27" s="1"/>
  <c r="J25" i="2"/>
  <c r="I25"/>
  <c r="J24"/>
  <c r="I24"/>
  <c r="J23"/>
  <c r="I23"/>
  <c r="J22"/>
  <c r="I22"/>
  <c r="J20"/>
  <c r="I20"/>
  <c r="J19"/>
  <c r="I19"/>
  <c r="J18"/>
  <c r="I18"/>
  <c r="J17"/>
  <c r="I17"/>
  <c r="J16"/>
  <c r="I16"/>
  <c r="J15"/>
  <c r="I15"/>
  <c r="J14"/>
  <c r="I14"/>
  <c r="J13"/>
  <c r="I13"/>
  <c r="J12"/>
  <c r="I12"/>
  <c r="I26" s="1"/>
  <c r="J9"/>
  <c r="I9"/>
  <c r="J8"/>
  <c r="I8"/>
  <c r="J7"/>
  <c r="J10" s="1"/>
  <c r="I7"/>
  <c r="I10" s="1"/>
  <c r="I27" s="1"/>
  <c r="J22" i="1"/>
  <c r="J21"/>
  <c r="J20"/>
  <c r="J19"/>
  <c r="J18"/>
  <c r="J17"/>
  <c r="J16"/>
  <c r="J15"/>
  <c r="J14"/>
  <c r="J13"/>
  <c r="J12"/>
  <c r="J9"/>
  <c r="J8"/>
  <c r="J7"/>
  <c r="I14"/>
  <c r="I13"/>
  <c r="I12"/>
  <c r="I9"/>
  <c r="I8"/>
  <c r="I7"/>
  <c r="J25"/>
  <c r="J29" s="1"/>
  <c r="I22"/>
  <c r="I21"/>
  <c r="I20"/>
  <c r="I19"/>
  <c r="I18"/>
  <c r="I17"/>
  <c r="I16"/>
  <c r="I15"/>
  <c r="J39" l="1"/>
  <c r="L39" s="1"/>
  <c r="L38"/>
  <c r="I39"/>
  <c r="K39" s="1"/>
  <c r="I27" i="4"/>
  <c r="J26" i="2"/>
  <c r="J27" s="1"/>
  <c r="I10" i="1"/>
  <c r="I27" s="1"/>
  <c r="J10"/>
  <c r="J27" s="1"/>
  <c r="I23"/>
  <c r="I28" s="1"/>
  <c r="J23"/>
  <c r="I33" l="1"/>
  <c r="J28"/>
  <c r="J31" l="1"/>
  <c r="J33"/>
  <c r="I31"/>
  <c r="L33"/>
</calcChain>
</file>

<file path=xl/sharedStrings.xml><?xml version="1.0" encoding="utf-8"?>
<sst xmlns="http://schemas.openxmlformats.org/spreadsheetml/2006/main" count="197" uniqueCount="64">
  <si>
    <t>RIN Verification and Reporting Cost Estimate</t>
  </si>
  <si>
    <t>category</t>
  </si>
  <si>
    <t>time</t>
  </si>
  <si>
    <t>$/hr</t>
  </si>
  <si>
    <t>Site Visit</t>
  </si>
  <si>
    <t>Follow-up Verification</t>
  </si>
  <si>
    <t>feedstock suppliers</t>
  </si>
  <si>
    <t>volume/mass balance</t>
  </si>
  <si>
    <t>monitoring</t>
  </si>
  <si>
    <t>process fuel suppliers</t>
  </si>
  <si>
    <t>Reporting</t>
  </si>
  <si>
    <t>QAP Prep</t>
  </si>
  <si>
    <t>EMTS</t>
  </si>
  <si>
    <t>Recordkeeping</t>
  </si>
  <si>
    <t>mgmt</t>
  </si>
  <si>
    <t>clerical</t>
  </si>
  <si>
    <t>Auditor:</t>
  </si>
  <si>
    <t>RIN Generator:</t>
  </si>
  <si>
    <t>Consultants</t>
  </si>
  <si>
    <t>Capital $</t>
  </si>
  <si>
    <t>Total Hrs</t>
  </si>
  <si>
    <t>Total $</t>
  </si>
  <si>
    <t>EPA:</t>
  </si>
  <si>
    <t>prof/tech</t>
  </si>
  <si>
    <t>Contract Initiation</t>
  </si>
  <si>
    <t>2 day visit, professional escorts auditor throughout visit, manager meets briefly with auditor.</t>
  </si>
  <si>
    <t>travel = 600 airfare, 150 lodging, 80 per diem</t>
  </si>
  <si>
    <t>1 day travel, 1/2 day negotiation</t>
  </si>
  <si>
    <t>2 day visit</t>
  </si>
  <si>
    <t>1 day visit</t>
  </si>
  <si>
    <t>1 hr per week</t>
  </si>
  <si>
    <t>Hired help with auditing</t>
  </si>
  <si>
    <t>1/2 hour per week</t>
  </si>
  <si>
    <t>Number of RIN Generators:</t>
  </si>
  <si>
    <t>Number of Audits:</t>
  </si>
  <si>
    <t>EPA Burden</t>
  </si>
  <si>
    <t>TOTAL</t>
  </si>
  <si>
    <t>Industry TOTAL</t>
  </si>
  <si>
    <t>2080 = 1 FTE</t>
  </si>
  <si>
    <t>Notes/Assumptions</t>
  </si>
  <si>
    <t>Bureau of Labor, May 2011, mean average wages</t>
  </si>
  <si>
    <t>fr</t>
  </si>
  <si>
    <t>Implementation</t>
  </si>
  <si>
    <t>Follow-up Visit</t>
  </si>
  <si>
    <t>full verification after first visit, reduced effort for secondary visits</t>
  </si>
  <si>
    <t>$/RIN</t>
  </si>
  <si>
    <t>5 Million Gallon/Year Plant</t>
  </si>
  <si>
    <t>1.5 day visit, professional escorts auditor throughout visit, manager meets briefly with auditor.</t>
  </si>
  <si>
    <t>1.5 day visit</t>
  </si>
  <si>
    <t>20 Million Gallon/Year Plant</t>
  </si>
  <si>
    <t>100 Million Gallon/Year Plant</t>
  </si>
  <si>
    <t>3 day visit, professional escorts auditor throughout visit, manager meets briefly with auditor.</t>
  </si>
  <si>
    <t>3 day visit</t>
  </si>
  <si>
    <t>1.5 hr per week (monitoring data, plus EMTS)</t>
  </si>
  <si>
    <t>Total recordkeeping</t>
  </si>
  <si>
    <t>Total reporting</t>
  </si>
  <si>
    <t>Total</t>
  </si>
  <si>
    <t xml:space="preserve"> </t>
  </si>
  <si>
    <t>ICRAS Reporting</t>
  </si>
  <si>
    <t>responses = 600, respondents = 485</t>
  </si>
  <si>
    <t>Total Capital &amp; O&amp;M</t>
  </si>
  <si>
    <t>t/respon</t>
  </si>
  <si>
    <t>$/respon</t>
  </si>
  <si>
    <t>Amortized 10 yers at 7%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</si>
</sst>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_);_(&quot;$&quot;* \(#,##0.000\);_(&quot;$&quot;* &quot;-&quot;??_);_(@_)"/>
    <numFmt numFmtId="167" formatCode="&quot;$&quot;#,##0.000000000000_);\(&quot;$&quot;#,##0.000000000000\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6" fontId="0" fillId="0" borderId="0" xfId="0" applyNumberFormat="1"/>
    <xf numFmtId="0" fontId="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0" fontId="2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82" zoomScaleNormal="82" workbookViewId="0">
      <pane ySplit="1215" topLeftCell="A9" activePane="bottomLeft"/>
      <selection activeCell="K3" sqref="K3"/>
      <selection pane="bottomLeft" activeCell="J42" sqref="J42"/>
    </sheetView>
  </sheetViews>
  <sheetFormatPr defaultRowHeight="15"/>
  <cols>
    <col min="1" max="1" width="22.5703125" customWidth="1"/>
    <col min="2" max="2" width="7.5703125" customWidth="1"/>
    <col min="3" max="4" width="5.7109375" customWidth="1"/>
    <col min="5" max="5" width="4.28515625" hidden="1" customWidth="1"/>
    <col min="6" max="6" width="3.85546875" hidden="1" customWidth="1"/>
    <col min="7" max="7" width="5.5703125" customWidth="1"/>
    <col min="8" max="8" width="9.140625" style="2"/>
    <col min="9" max="9" width="11.85546875" style="2" customWidth="1"/>
    <col min="10" max="10" width="12.7109375" style="2" customWidth="1"/>
    <col min="12" max="12" width="27.5703125" customWidth="1"/>
  </cols>
  <sheetData>
    <row r="1" spans="1:11">
      <c r="A1" t="s">
        <v>0</v>
      </c>
    </row>
    <row r="3" spans="1:11">
      <c r="A3" s="1" t="s">
        <v>1</v>
      </c>
      <c r="B3" s="12" t="s">
        <v>2</v>
      </c>
      <c r="C3" s="1"/>
      <c r="D3" s="1"/>
      <c r="E3" s="1" t="s">
        <v>3</v>
      </c>
      <c r="F3" s="1"/>
      <c r="G3" s="1"/>
      <c r="H3" s="3" t="s">
        <v>19</v>
      </c>
      <c r="I3" s="3" t="s">
        <v>20</v>
      </c>
      <c r="J3" s="3" t="s">
        <v>21</v>
      </c>
      <c r="K3" s="1" t="s">
        <v>39</v>
      </c>
    </row>
    <row r="4" spans="1:11">
      <c r="B4" s="13" t="s">
        <v>14</v>
      </c>
      <c r="C4" t="s">
        <v>23</v>
      </c>
      <c r="D4" t="s">
        <v>15</v>
      </c>
      <c r="E4" t="s">
        <v>14</v>
      </c>
      <c r="F4" t="s">
        <v>23</v>
      </c>
    </row>
    <row r="5" spans="1:11" hidden="1">
      <c r="E5">
        <v>110</v>
      </c>
      <c r="F5">
        <v>96</v>
      </c>
      <c r="K5" t="s">
        <v>40</v>
      </c>
    </row>
    <row r="6" spans="1:11">
      <c r="A6" s="1" t="s">
        <v>17</v>
      </c>
      <c r="G6" s="13" t="s">
        <v>41</v>
      </c>
    </row>
    <row r="7" spans="1:11">
      <c r="A7" t="s">
        <v>4</v>
      </c>
      <c r="B7">
        <v>1</v>
      </c>
      <c r="C7">
        <v>16</v>
      </c>
      <c r="D7">
        <v>4</v>
      </c>
      <c r="G7">
        <v>2</v>
      </c>
      <c r="I7" s="2">
        <f>(B7+C7+D7)*G7</f>
        <v>42</v>
      </c>
      <c r="J7" s="2">
        <f>((B7*$E$5)+(C7*$F$5)+(D7*$G$5)+H7)*G7</f>
        <v>3292</v>
      </c>
      <c r="K7" t="s">
        <v>25</v>
      </c>
    </row>
    <row r="8" spans="1:11">
      <c r="A8" t="s">
        <v>10</v>
      </c>
      <c r="B8">
        <v>2</v>
      </c>
      <c r="C8">
        <v>12</v>
      </c>
      <c r="D8">
        <v>4</v>
      </c>
      <c r="G8">
        <v>3</v>
      </c>
      <c r="I8" s="2">
        <f>(B8+C8+D8)*G8</f>
        <v>54</v>
      </c>
      <c r="J8" s="2">
        <f>((B8*$E$5)+(C8*$F$5)+(D8*$G$5)+H8)*G8</f>
        <v>4116</v>
      </c>
    </row>
    <row r="9" spans="1:11">
      <c r="A9" t="s">
        <v>13</v>
      </c>
      <c r="B9">
        <v>0</v>
      </c>
      <c r="C9">
        <v>0</v>
      </c>
      <c r="D9">
        <v>2</v>
      </c>
      <c r="G9">
        <v>3</v>
      </c>
      <c r="I9" s="3">
        <f>(B9+C9+D9)*G9</f>
        <v>6</v>
      </c>
      <c r="J9" s="3">
        <f>((B9*$E$5)+(C9*$F$5)+(D9*$G$5)+H9)*G9</f>
        <v>0</v>
      </c>
    </row>
    <row r="10" spans="1:11">
      <c r="I10" s="4">
        <f>SUM(I7:I9)</f>
        <v>102</v>
      </c>
      <c r="J10" s="4">
        <f>SUM(J7:J9)</f>
        <v>7408</v>
      </c>
      <c r="K10" t="s">
        <v>26</v>
      </c>
    </row>
    <row r="11" spans="1:11">
      <c r="A11" s="1" t="s">
        <v>16</v>
      </c>
    </row>
    <row r="12" spans="1:11">
      <c r="A12" t="s">
        <v>24</v>
      </c>
      <c r="B12">
        <v>4</v>
      </c>
      <c r="C12">
        <v>4</v>
      </c>
      <c r="D12">
        <v>2</v>
      </c>
      <c r="G12">
        <v>1</v>
      </c>
      <c r="H12" s="2">
        <v>530</v>
      </c>
      <c r="I12" s="2">
        <f>B12+C12+D12</f>
        <v>10</v>
      </c>
      <c r="J12" s="2">
        <f t="shared" ref="J12:J22" si="0">((B12*$E$5)+(C12*$F$5)+(D12*$G$5)+H12)*G12</f>
        <v>1354</v>
      </c>
      <c r="K12" t="s">
        <v>27</v>
      </c>
    </row>
    <row r="13" spans="1:11">
      <c r="A13" t="s">
        <v>4</v>
      </c>
      <c r="B13">
        <v>4</v>
      </c>
      <c r="C13">
        <v>16</v>
      </c>
      <c r="D13">
        <v>0</v>
      </c>
      <c r="G13">
        <v>1</v>
      </c>
      <c r="H13" s="2">
        <v>1060</v>
      </c>
      <c r="I13" s="2">
        <f>(B13+C13+D13)*G13</f>
        <v>20</v>
      </c>
      <c r="J13" s="2">
        <f t="shared" si="0"/>
        <v>3036</v>
      </c>
      <c r="K13" t="s">
        <v>28</v>
      </c>
    </row>
    <row r="14" spans="1:11">
      <c r="A14" t="s">
        <v>43</v>
      </c>
      <c r="B14">
        <v>1</v>
      </c>
      <c r="C14">
        <v>6</v>
      </c>
      <c r="D14">
        <v>0</v>
      </c>
      <c r="G14">
        <v>3</v>
      </c>
      <c r="H14" s="2">
        <v>1060</v>
      </c>
      <c r="I14" s="2">
        <f>(B14+C14+D14)*G14</f>
        <v>21</v>
      </c>
      <c r="J14" s="2">
        <f t="shared" si="0"/>
        <v>5238</v>
      </c>
      <c r="K14" t="s">
        <v>29</v>
      </c>
    </row>
    <row r="15" spans="1:11">
      <c r="A15" t="s">
        <v>5</v>
      </c>
      <c r="B15">
        <v>1</v>
      </c>
      <c r="C15">
        <v>24</v>
      </c>
      <c r="D15">
        <v>10</v>
      </c>
      <c r="G15">
        <v>2</v>
      </c>
      <c r="I15" s="2">
        <f t="shared" ref="I15:I22" si="1">B15+C15+D15</f>
        <v>35</v>
      </c>
      <c r="J15" s="2">
        <f t="shared" si="0"/>
        <v>4828</v>
      </c>
      <c r="K15" t="s">
        <v>44</v>
      </c>
    </row>
    <row r="16" spans="1:11">
      <c r="A16" t="s">
        <v>6</v>
      </c>
      <c r="B16">
        <v>0</v>
      </c>
      <c r="C16">
        <v>4</v>
      </c>
      <c r="D16">
        <v>0</v>
      </c>
      <c r="G16">
        <v>4</v>
      </c>
      <c r="I16" s="2">
        <f t="shared" si="1"/>
        <v>4</v>
      </c>
      <c r="J16" s="2">
        <f t="shared" si="0"/>
        <v>1536</v>
      </c>
    </row>
    <row r="17" spans="1:11">
      <c r="A17" t="s">
        <v>9</v>
      </c>
      <c r="B17">
        <v>0</v>
      </c>
      <c r="C17">
        <v>4</v>
      </c>
      <c r="D17">
        <v>0</v>
      </c>
      <c r="G17">
        <v>4</v>
      </c>
      <c r="I17" s="2">
        <f t="shared" si="1"/>
        <v>4</v>
      </c>
      <c r="J17" s="2">
        <f t="shared" si="0"/>
        <v>1536</v>
      </c>
    </row>
    <row r="18" spans="1:11">
      <c r="A18" t="s">
        <v>7</v>
      </c>
      <c r="B18">
        <v>0</v>
      </c>
      <c r="C18">
        <v>4</v>
      </c>
      <c r="D18">
        <v>0</v>
      </c>
      <c r="G18">
        <v>4</v>
      </c>
      <c r="I18" s="2">
        <f t="shared" si="1"/>
        <v>4</v>
      </c>
      <c r="J18" s="2">
        <f t="shared" si="0"/>
        <v>1536</v>
      </c>
    </row>
    <row r="19" spans="1:11">
      <c r="A19" t="s">
        <v>8</v>
      </c>
      <c r="B19">
        <v>2</v>
      </c>
      <c r="C19">
        <v>75</v>
      </c>
      <c r="D19">
        <v>0</v>
      </c>
      <c r="G19">
        <v>1</v>
      </c>
      <c r="I19" s="2">
        <f t="shared" si="1"/>
        <v>77</v>
      </c>
      <c r="J19" s="2">
        <f t="shared" si="0"/>
        <v>7420</v>
      </c>
      <c r="K19" t="s">
        <v>53</v>
      </c>
    </row>
    <row r="20" spans="1:11">
      <c r="A20" t="s">
        <v>18</v>
      </c>
      <c r="G20">
        <v>2</v>
      </c>
      <c r="H20" s="2">
        <v>1000</v>
      </c>
      <c r="I20" s="2">
        <f t="shared" si="1"/>
        <v>0</v>
      </c>
      <c r="J20" s="2">
        <f t="shared" si="0"/>
        <v>2000</v>
      </c>
      <c r="K20" t="s">
        <v>31</v>
      </c>
    </row>
    <row r="21" spans="1:11">
      <c r="A21" t="s">
        <v>10</v>
      </c>
      <c r="B21">
        <v>2</v>
      </c>
      <c r="C21">
        <v>16</v>
      </c>
      <c r="D21">
        <v>8</v>
      </c>
      <c r="G21">
        <v>2</v>
      </c>
      <c r="I21" s="2">
        <f t="shared" si="1"/>
        <v>26</v>
      </c>
      <c r="J21" s="2">
        <f t="shared" si="0"/>
        <v>3512</v>
      </c>
    </row>
    <row r="22" spans="1:11">
      <c r="A22" t="s">
        <v>13</v>
      </c>
      <c r="B22">
        <v>0</v>
      </c>
      <c r="C22">
        <v>12</v>
      </c>
      <c r="D22">
        <v>25</v>
      </c>
      <c r="G22">
        <v>1</v>
      </c>
      <c r="I22" s="3">
        <f t="shared" si="1"/>
        <v>37</v>
      </c>
      <c r="J22" s="3">
        <f t="shared" si="0"/>
        <v>1152</v>
      </c>
    </row>
    <row r="23" spans="1:11">
      <c r="I23" s="4">
        <f>SUM(I12:I22)</f>
        <v>238</v>
      </c>
      <c r="J23" s="4">
        <f>SUM(J12:J22)</f>
        <v>33148</v>
      </c>
    </row>
    <row r="24" spans="1:11">
      <c r="A24" t="s">
        <v>22</v>
      </c>
      <c r="F24">
        <v>89</v>
      </c>
    </row>
    <row r="25" spans="1:11">
      <c r="A25" t="s">
        <v>42</v>
      </c>
      <c r="C25">
        <v>4</v>
      </c>
      <c r="I25" s="4">
        <f>B25+C25+D25</f>
        <v>4</v>
      </c>
      <c r="J25" s="4">
        <f>C25*F24</f>
        <v>356</v>
      </c>
    </row>
    <row r="26" spans="1:11">
      <c r="I26" s="4"/>
      <c r="J26" s="4"/>
    </row>
    <row r="27" spans="1:11">
      <c r="B27" t="s">
        <v>33</v>
      </c>
      <c r="H27" s="2">
        <v>485</v>
      </c>
      <c r="I27" s="7">
        <f>H27*I10</f>
        <v>49470</v>
      </c>
      <c r="J27" s="5">
        <f>H27*J10</f>
        <v>3592880</v>
      </c>
    </row>
    <row r="28" spans="1:11">
      <c r="B28" t="s">
        <v>34</v>
      </c>
      <c r="H28" s="2">
        <v>600</v>
      </c>
      <c r="I28" s="7">
        <f>H28*I23</f>
        <v>142800</v>
      </c>
      <c r="J28" s="5">
        <f>H28*J23</f>
        <v>19888800</v>
      </c>
    </row>
    <row r="29" spans="1:11">
      <c r="B29" t="s">
        <v>35</v>
      </c>
      <c r="H29" s="2">
        <v>600</v>
      </c>
      <c r="I29" s="7">
        <f>H29*I25</f>
        <v>2400</v>
      </c>
      <c r="J29" s="5">
        <f>H29*J25</f>
        <v>213600</v>
      </c>
      <c r="K29" t="s">
        <v>38</v>
      </c>
    </row>
    <row r="31" spans="1:11">
      <c r="B31" t="s">
        <v>36</v>
      </c>
      <c r="I31" s="8">
        <f>SUM(I27:I29)</f>
        <v>194670</v>
      </c>
      <c r="J31" s="6">
        <f>SUM(J27:J29)</f>
        <v>23695280</v>
      </c>
    </row>
    <row r="33" spans="1:13">
      <c r="B33" t="s">
        <v>37</v>
      </c>
      <c r="I33" s="8">
        <f>I27+I28</f>
        <v>192270</v>
      </c>
      <c r="J33" s="6">
        <f>J27+J28</f>
        <v>23481680</v>
      </c>
      <c r="L33" s="10">
        <f>J33/(1650000000*1.5)</f>
        <v>9.4875474747474747E-3</v>
      </c>
      <c r="M33" t="s">
        <v>45</v>
      </c>
    </row>
    <row r="34" spans="1:13">
      <c r="I34" s="8"/>
      <c r="J34" s="6"/>
      <c r="L34" s="10"/>
    </row>
    <row r="35" spans="1:13">
      <c r="A35" s="15" t="s">
        <v>58</v>
      </c>
      <c r="I35" s="8"/>
      <c r="J35" s="6"/>
      <c r="K35" t="s">
        <v>59</v>
      </c>
      <c r="L35" s="10"/>
    </row>
    <row r="36" spans="1:13">
      <c r="K36" t="s">
        <v>61</v>
      </c>
      <c r="L36" t="s">
        <v>62</v>
      </c>
    </row>
    <row r="37" spans="1:13">
      <c r="A37" t="s">
        <v>54</v>
      </c>
      <c r="I37" s="8">
        <f>I9*485+I22*600</f>
        <v>25110</v>
      </c>
      <c r="J37" s="6">
        <f>J9*485+J22*600</f>
        <v>691200</v>
      </c>
      <c r="K37">
        <f>I37/600</f>
        <v>41.85</v>
      </c>
      <c r="L37" s="14">
        <f>J37/600</f>
        <v>1152</v>
      </c>
    </row>
    <row r="38" spans="1:13">
      <c r="A38" t="s">
        <v>55</v>
      </c>
      <c r="I38" s="8">
        <f>(I27+I28)-I37</f>
        <v>167160</v>
      </c>
      <c r="J38" s="6">
        <f>(J27+J28)-J37</f>
        <v>22790480</v>
      </c>
      <c r="K38">
        <f t="shared" ref="K38:L39" si="2">I38/600</f>
        <v>278.60000000000002</v>
      </c>
      <c r="L38" s="14">
        <f t="shared" si="2"/>
        <v>37984.133333333331</v>
      </c>
    </row>
    <row r="39" spans="1:13">
      <c r="A39" t="s">
        <v>56</v>
      </c>
      <c r="I39" s="8">
        <f>SUM(I37+I38)</f>
        <v>192270</v>
      </c>
      <c r="J39" s="6">
        <f>SUM(J37+J38)</f>
        <v>23481680</v>
      </c>
      <c r="K39">
        <f t="shared" si="2"/>
        <v>320.45</v>
      </c>
      <c r="L39" s="14">
        <f t="shared" si="2"/>
        <v>39136.133333333331</v>
      </c>
    </row>
    <row r="41" spans="1:13">
      <c r="A41" t="s">
        <v>60</v>
      </c>
      <c r="J41" s="6">
        <f>(H12+H13+(H14*G14)+(H20*G20))*600</f>
        <v>4062000</v>
      </c>
      <c r="L41" s="14">
        <f>J41/600</f>
        <v>6770</v>
      </c>
    </row>
    <row r="42" spans="1:13">
      <c r="A42" t="s">
        <v>63</v>
      </c>
      <c r="J42" s="6">
        <v>578337.41610000003</v>
      </c>
      <c r="L42" s="14">
        <f>J42/600</f>
        <v>963.89569350000011</v>
      </c>
    </row>
    <row r="44" spans="1:13">
      <c r="K44" t="s">
        <v>57</v>
      </c>
    </row>
    <row r="45" spans="1:13">
      <c r="L45" t="s">
        <v>57</v>
      </c>
    </row>
  </sheetData>
  <pageMargins left="0.25" right="0.25" top="0.5" bottom="0.25" header="0.3" footer="0.3"/>
  <pageSetup orientation="landscape" horizontalDpi="300" verticalDpi="300" r:id="rId1"/>
  <ignoredErrors>
    <ignoredError sqref="I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L28" sqref="L28"/>
    </sheetView>
  </sheetViews>
  <sheetFormatPr defaultRowHeight="15"/>
  <cols>
    <col min="1" max="1" width="20.28515625" customWidth="1"/>
  </cols>
  <sheetData>
    <row r="1" spans="1:11">
      <c r="A1" t="s">
        <v>0</v>
      </c>
      <c r="G1" t="s">
        <v>46</v>
      </c>
      <c r="H1" s="2"/>
      <c r="I1" s="2"/>
      <c r="J1" s="2"/>
    </row>
    <row r="2" spans="1:11">
      <c r="H2" s="2"/>
      <c r="I2" s="2"/>
      <c r="J2" s="2"/>
    </row>
    <row r="3" spans="1:11">
      <c r="A3" s="1" t="s">
        <v>1</v>
      </c>
      <c r="B3" s="1" t="s">
        <v>2</v>
      </c>
      <c r="C3" s="1"/>
      <c r="D3" s="1"/>
      <c r="E3" s="1" t="s">
        <v>3</v>
      </c>
      <c r="F3" s="1"/>
      <c r="G3" s="1"/>
      <c r="H3" s="3" t="s">
        <v>19</v>
      </c>
      <c r="I3" s="3" t="s">
        <v>20</v>
      </c>
      <c r="J3" s="3" t="s">
        <v>21</v>
      </c>
      <c r="K3" s="1" t="s">
        <v>39</v>
      </c>
    </row>
    <row r="4" spans="1:11">
      <c r="B4" t="s">
        <v>14</v>
      </c>
      <c r="C4" t="s">
        <v>23</v>
      </c>
      <c r="D4" t="s">
        <v>15</v>
      </c>
      <c r="E4" t="s">
        <v>14</v>
      </c>
      <c r="F4" t="s">
        <v>23</v>
      </c>
      <c r="G4" t="s">
        <v>15</v>
      </c>
      <c r="H4" s="2"/>
      <c r="I4" s="2"/>
      <c r="J4" s="2"/>
    </row>
    <row r="5" spans="1:11">
      <c r="E5">
        <v>110</v>
      </c>
      <c r="F5">
        <v>96</v>
      </c>
      <c r="G5">
        <v>37</v>
      </c>
      <c r="H5" s="2"/>
      <c r="I5" s="2"/>
      <c r="J5" s="2"/>
      <c r="K5" t="s">
        <v>40</v>
      </c>
    </row>
    <row r="6" spans="1:11">
      <c r="A6" s="1" t="s">
        <v>17</v>
      </c>
      <c r="G6" t="s">
        <v>41</v>
      </c>
      <c r="H6" s="2"/>
      <c r="I6" s="2"/>
      <c r="J6" s="2"/>
    </row>
    <row r="7" spans="1:11">
      <c r="A7" t="s">
        <v>4</v>
      </c>
      <c r="B7">
        <v>1</v>
      </c>
      <c r="C7">
        <v>12</v>
      </c>
      <c r="D7">
        <v>4</v>
      </c>
      <c r="G7">
        <v>1</v>
      </c>
      <c r="H7" s="2"/>
      <c r="I7" s="2">
        <f>(B7+C7+D7)*G7</f>
        <v>17</v>
      </c>
      <c r="J7" s="2">
        <f>((B7*$E$5)+(C7*$F$5)+(D7*$G$5)+H7)*G7</f>
        <v>1410</v>
      </c>
      <c r="K7" t="s">
        <v>47</v>
      </c>
    </row>
    <row r="8" spans="1:11">
      <c r="A8" t="s">
        <v>10</v>
      </c>
      <c r="B8">
        <v>2</v>
      </c>
      <c r="C8">
        <v>8</v>
      </c>
      <c r="D8">
        <v>4</v>
      </c>
      <c r="G8">
        <v>3</v>
      </c>
      <c r="H8" s="2"/>
      <c r="I8" s="2">
        <f>(B8+C8+D8)*G8</f>
        <v>42</v>
      </c>
      <c r="J8" s="2">
        <f t="shared" ref="J8:J9" si="0">((B8*$E$5)+(C8*$F$5)+(D8*$G$5)+H8)*G8</f>
        <v>3408</v>
      </c>
    </row>
    <row r="9" spans="1:11">
      <c r="A9" t="s">
        <v>13</v>
      </c>
      <c r="B9">
        <v>0</v>
      </c>
      <c r="C9">
        <v>0</v>
      </c>
      <c r="D9">
        <v>2</v>
      </c>
      <c r="G9">
        <v>3</v>
      </c>
      <c r="H9" s="2"/>
      <c r="I9" s="3">
        <f>(B9+C9+D9)*G9</f>
        <v>6</v>
      </c>
      <c r="J9" s="2">
        <f t="shared" si="0"/>
        <v>222</v>
      </c>
    </row>
    <row r="10" spans="1:11">
      <c r="H10" s="2"/>
      <c r="I10" s="4">
        <f>SUM(I7:I9)</f>
        <v>65</v>
      </c>
      <c r="J10" s="4">
        <f>SUM(J7:J9)</f>
        <v>5040</v>
      </c>
    </row>
    <row r="11" spans="1:11">
      <c r="A11" s="1" t="s">
        <v>16</v>
      </c>
      <c r="H11" s="2"/>
      <c r="I11" s="2"/>
      <c r="J11" s="2"/>
      <c r="K11" t="s">
        <v>26</v>
      </c>
    </row>
    <row r="12" spans="1:11">
      <c r="A12" t="s">
        <v>24</v>
      </c>
      <c r="B12">
        <v>4</v>
      </c>
      <c r="C12">
        <v>4</v>
      </c>
      <c r="D12">
        <v>2</v>
      </c>
      <c r="G12">
        <v>1</v>
      </c>
      <c r="H12" s="2">
        <v>530</v>
      </c>
      <c r="I12" s="2">
        <f>B12+C12+D12</f>
        <v>10</v>
      </c>
      <c r="J12" s="2">
        <f t="shared" ref="J12:J25" si="1">((B12*$E$5)+(C12*$F$5)+(D12*$G$5)+H12)*G12</f>
        <v>1428</v>
      </c>
      <c r="K12" t="s">
        <v>27</v>
      </c>
    </row>
    <row r="13" spans="1:11">
      <c r="A13" t="s">
        <v>4</v>
      </c>
      <c r="B13">
        <v>2</v>
      </c>
      <c r="C13">
        <v>12</v>
      </c>
      <c r="D13">
        <v>0</v>
      </c>
      <c r="G13">
        <v>1</v>
      </c>
      <c r="H13" s="2">
        <v>1060</v>
      </c>
      <c r="I13" s="2">
        <f>(B13+C13+D13)*G13</f>
        <v>14</v>
      </c>
      <c r="J13" s="2">
        <f t="shared" si="1"/>
        <v>2432</v>
      </c>
      <c r="K13" t="s">
        <v>48</v>
      </c>
    </row>
    <row r="14" spans="1:11">
      <c r="A14" t="s">
        <v>43</v>
      </c>
      <c r="B14">
        <v>1</v>
      </c>
      <c r="C14">
        <v>6</v>
      </c>
      <c r="D14">
        <v>0</v>
      </c>
      <c r="G14">
        <v>1</v>
      </c>
      <c r="H14" s="2">
        <v>1060</v>
      </c>
      <c r="I14" s="2">
        <f>(B14+C14+D14)*G14</f>
        <v>7</v>
      </c>
      <c r="J14" s="2">
        <f t="shared" si="1"/>
        <v>1746</v>
      </c>
      <c r="K14" t="s">
        <v>29</v>
      </c>
    </row>
    <row r="15" spans="1:11">
      <c r="A15" t="s">
        <v>5</v>
      </c>
      <c r="B15">
        <v>1</v>
      </c>
      <c r="C15">
        <v>16</v>
      </c>
      <c r="D15">
        <v>10</v>
      </c>
      <c r="G15">
        <v>1</v>
      </c>
      <c r="H15" s="2"/>
      <c r="I15" s="2">
        <f t="shared" ref="I15:I25" si="2">B15+C15+D15</f>
        <v>27</v>
      </c>
      <c r="J15" s="2">
        <f t="shared" si="1"/>
        <v>2016</v>
      </c>
      <c r="K15" t="s">
        <v>44</v>
      </c>
    </row>
    <row r="16" spans="1:11">
      <c r="A16" t="s">
        <v>6</v>
      </c>
      <c r="B16">
        <v>0</v>
      </c>
      <c r="C16">
        <v>4</v>
      </c>
      <c r="D16">
        <v>0</v>
      </c>
      <c r="G16">
        <v>4</v>
      </c>
      <c r="H16" s="2"/>
      <c r="I16" s="2">
        <f t="shared" si="2"/>
        <v>4</v>
      </c>
      <c r="J16" s="2">
        <f t="shared" si="1"/>
        <v>1536</v>
      </c>
    </row>
    <row r="17" spans="1:13">
      <c r="A17" t="s">
        <v>9</v>
      </c>
      <c r="B17">
        <v>0</v>
      </c>
      <c r="C17">
        <v>4</v>
      </c>
      <c r="D17">
        <v>0</v>
      </c>
      <c r="G17">
        <v>4</v>
      </c>
      <c r="H17" s="2"/>
      <c r="I17" s="2">
        <f t="shared" si="2"/>
        <v>4</v>
      </c>
      <c r="J17" s="2">
        <f t="shared" si="1"/>
        <v>1536</v>
      </c>
    </row>
    <row r="18" spans="1:13">
      <c r="A18" t="s">
        <v>7</v>
      </c>
      <c r="B18">
        <v>0</v>
      </c>
      <c r="C18">
        <v>4</v>
      </c>
      <c r="D18">
        <v>0</v>
      </c>
      <c r="G18">
        <v>4</v>
      </c>
      <c r="H18" s="2"/>
      <c r="I18" s="2">
        <f t="shared" si="2"/>
        <v>4</v>
      </c>
      <c r="J18" s="2">
        <f t="shared" si="1"/>
        <v>1536</v>
      </c>
    </row>
    <row r="19" spans="1:13">
      <c r="A19" t="s">
        <v>8</v>
      </c>
      <c r="B19">
        <v>2</v>
      </c>
      <c r="C19">
        <v>50</v>
      </c>
      <c r="D19">
        <v>0</v>
      </c>
      <c r="G19">
        <v>1</v>
      </c>
      <c r="H19" s="2"/>
      <c r="I19" s="2">
        <f t="shared" si="2"/>
        <v>52</v>
      </c>
      <c r="J19" s="2">
        <f t="shared" si="1"/>
        <v>5020</v>
      </c>
      <c r="K19" t="s">
        <v>30</v>
      </c>
    </row>
    <row r="20" spans="1:13">
      <c r="A20" t="s">
        <v>18</v>
      </c>
      <c r="G20">
        <v>4</v>
      </c>
      <c r="H20" s="2">
        <v>500</v>
      </c>
      <c r="I20" s="2">
        <f t="shared" si="2"/>
        <v>0</v>
      </c>
      <c r="J20" s="2">
        <f t="shared" si="1"/>
        <v>2000</v>
      </c>
      <c r="K20" t="s">
        <v>31</v>
      </c>
    </row>
    <row r="21" spans="1:13">
      <c r="H21" s="2"/>
      <c r="I21" s="2"/>
      <c r="J21" s="2"/>
    </row>
    <row r="22" spans="1:13">
      <c r="A22" t="s">
        <v>10</v>
      </c>
      <c r="B22">
        <v>0</v>
      </c>
      <c r="C22">
        <v>4</v>
      </c>
      <c r="D22">
        <v>12</v>
      </c>
      <c r="G22">
        <v>2</v>
      </c>
      <c r="H22" s="2"/>
      <c r="I22" s="2">
        <f t="shared" si="2"/>
        <v>16</v>
      </c>
      <c r="J22" s="2">
        <f t="shared" si="1"/>
        <v>1656</v>
      </c>
    </row>
    <row r="23" spans="1:13">
      <c r="A23" t="s">
        <v>11</v>
      </c>
      <c r="B23">
        <v>2</v>
      </c>
      <c r="C23">
        <v>16</v>
      </c>
      <c r="D23">
        <v>4</v>
      </c>
      <c r="G23">
        <v>1</v>
      </c>
      <c r="H23" s="2"/>
      <c r="I23" s="2">
        <f t="shared" si="2"/>
        <v>22</v>
      </c>
      <c r="J23" s="2">
        <f t="shared" si="1"/>
        <v>1904</v>
      </c>
    </row>
    <row r="24" spans="1:13">
      <c r="A24" t="s">
        <v>12</v>
      </c>
      <c r="B24">
        <v>0</v>
      </c>
      <c r="C24">
        <v>25</v>
      </c>
      <c r="D24">
        <v>0</v>
      </c>
      <c r="G24">
        <v>1</v>
      </c>
      <c r="H24" s="2"/>
      <c r="I24" s="2">
        <f t="shared" si="2"/>
        <v>25</v>
      </c>
      <c r="J24" s="2">
        <f t="shared" si="1"/>
        <v>2400</v>
      </c>
      <c r="K24" t="s">
        <v>32</v>
      </c>
    </row>
    <row r="25" spans="1:13">
      <c r="A25" t="s">
        <v>13</v>
      </c>
      <c r="B25">
        <v>0</v>
      </c>
      <c r="C25">
        <v>12</v>
      </c>
      <c r="D25">
        <v>25</v>
      </c>
      <c r="G25">
        <v>1</v>
      </c>
      <c r="H25" s="2"/>
      <c r="I25" s="3">
        <f t="shared" si="2"/>
        <v>37</v>
      </c>
      <c r="J25" s="2">
        <f t="shared" si="1"/>
        <v>2077</v>
      </c>
    </row>
    <row r="26" spans="1:13">
      <c r="H26" s="2"/>
      <c r="I26" s="9">
        <f>SUM(I12:I25)</f>
        <v>222</v>
      </c>
      <c r="J26" s="9">
        <f>SUM(J12:J25)</f>
        <v>27287</v>
      </c>
    </row>
    <row r="27" spans="1:13">
      <c r="H27" s="11" t="s">
        <v>36</v>
      </c>
      <c r="I27" s="4">
        <f>I10+I26</f>
        <v>287</v>
      </c>
      <c r="J27" s="4">
        <f>J10+J26</f>
        <v>32327</v>
      </c>
      <c r="L27" s="10">
        <f>J27/(5000000*1.5)</f>
        <v>4.3102666666666664E-3</v>
      </c>
      <c r="M27" t="s">
        <v>45</v>
      </c>
    </row>
    <row r="28" spans="1:13">
      <c r="H28" s="2"/>
      <c r="I28" s="2"/>
      <c r="J28" s="2"/>
    </row>
    <row r="29" spans="1:13">
      <c r="H29" s="2"/>
      <c r="I29" s="3"/>
      <c r="J29" s="3"/>
    </row>
    <row r="30" spans="1:13">
      <c r="H30" s="2"/>
      <c r="I30" s="4"/>
      <c r="J30" s="4"/>
    </row>
    <row r="31" spans="1:13">
      <c r="H31" s="2"/>
      <c r="I31" s="2"/>
      <c r="J31" s="2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sqref="A1:M28"/>
    </sheetView>
  </sheetViews>
  <sheetFormatPr defaultRowHeight="15"/>
  <cols>
    <col min="1" max="1" width="24" customWidth="1"/>
  </cols>
  <sheetData>
    <row r="1" spans="1:11">
      <c r="A1" t="s">
        <v>0</v>
      </c>
      <c r="G1" t="s">
        <v>49</v>
      </c>
      <c r="H1" s="2"/>
      <c r="I1" s="2"/>
      <c r="J1" s="2"/>
    </row>
    <row r="2" spans="1:11">
      <c r="H2" s="2"/>
      <c r="I2" s="2"/>
      <c r="J2" s="2"/>
    </row>
    <row r="3" spans="1:11">
      <c r="A3" s="1" t="s">
        <v>1</v>
      </c>
      <c r="B3" s="1" t="s">
        <v>2</v>
      </c>
      <c r="C3" s="1"/>
      <c r="D3" s="1"/>
      <c r="E3" s="1" t="s">
        <v>3</v>
      </c>
      <c r="F3" s="1"/>
      <c r="G3" s="1"/>
      <c r="H3" s="3" t="s">
        <v>19</v>
      </c>
      <c r="I3" s="3" t="s">
        <v>20</v>
      </c>
      <c r="J3" s="3" t="s">
        <v>21</v>
      </c>
      <c r="K3" s="1" t="s">
        <v>39</v>
      </c>
    </row>
    <row r="4" spans="1:11">
      <c r="B4" t="s">
        <v>14</v>
      </c>
      <c r="C4" t="s">
        <v>23</v>
      </c>
      <c r="D4" t="s">
        <v>15</v>
      </c>
      <c r="E4" t="s">
        <v>14</v>
      </c>
      <c r="F4" t="s">
        <v>23</v>
      </c>
      <c r="G4" t="s">
        <v>15</v>
      </c>
      <c r="H4" s="2"/>
      <c r="I4" s="2"/>
      <c r="J4" s="2"/>
    </row>
    <row r="5" spans="1:11">
      <c r="E5">
        <v>110</v>
      </c>
      <c r="F5">
        <v>96</v>
      </c>
      <c r="G5">
        <v>37</v>
      </c>
      <c r="H5" s="2"/>
      <c r="I5" s="2"/>
      <c r="J5" s="2"/>
      <c r="K5" t="s">
        <v>40</v>
      </c>
    </row>
    <row r="6" spans="1:11">
      <c r="A6" s="1" t="s">
        <v>17</v>
      </c>
      <c r="G6" t="s">
        <v>41</v>
      </c>
      <c r="H6" s="2"/>
      <c r="I6" s="2"/>
      <c r="J6" s="2"/>
    </row>
    <row r="7" spans="1:11">
      <c r="A7" t="s">
        <v>4</v>
      </c>
      <c r="B7">
        <v>1</v>
      </c>
      <c r="C7">
        <v>16</v>
      </c>
      <c r="D7">
        <v>8</v>
      </c>
      <c r="G7">
        <v>1</v>
      </c>
      <c r="H7" s="2"/>
      <c r="I7" s="2">
        <f>(B7+C7+D7)*G7</f>
        <v>25</v>
      </c>
      <c r="J7" s="2">
        <f>((B7*$E$5)+(C7*$F$5)+(D7*$G$5)+H7)*G7</f>
        <v>1942</v>
      </c>
      <c r="K7" t="s">
        <v>25</v>
      </c>
    </row>
    <row r="8" spans="1:11">
      <c r="A8" t="s">
        <v>10</v>
      </c>
      <c r="B8">
        <v>2</v>
      </c>
      <c r="C8">
        <v>12</v>
      </c>
      <c r="D8">
        <v>4</v>
      </c>
      <c r="G8">
        <v>3</v>
      </c>
      <c r="H8" s="2"/>
      <c r="I8" s="2">
        <f>(B8+C8+D8)*G8</f>
        <v>54</v>
      </c>
      <c r="J8" s="2">
        <f t="shared" ref="J8:J9" si="0">((B8*$E$5)+(C8*$F$5)+(D8*$G$5)+H8)*G8</f>
        <v>4560</v>
      </c>
    </row>
    <row r="9" spans="1:11">
      <c r="A9" t="s">
        <v>13</v>
      </c>
      <c r="B9">
        <v>0</v>
      </c>
      <c r="C9">
        <v>0</v>
      </c>
      <c r="D9">
        <v>4</v>
      </c>
      <c r="G9">
        <v>3</v>
      </c>
      <c r="H9" s="2"/>
      <c r="I9" s="3">
        <f>(B9+C9+D9)*G9</f>
        <v>12</v>
      </c>
      <c r="J9" s="2">
        <f t="shared" si="0"/>
        <v>444</v>
      </c>
    </row>
    <row r="10" spans="1:11">
      <c r="H10" s="2"/>
      <c r="I10" s="4">
        <f>SUM(I7:I9)</f>
        <v>91</v>
      </c>
      <c r="J10" s="4">
        <f>SUM(J7:J9)</f>
        <v>6946</v>
      </c>
    </row>
    <row r="11" spans="1:11">
      <c r="A11" s="1" t="s">
        <v>16</v>
      </c>
      <c r="H11" s="2"/>
      <c r="I11" s="2"/>
      <c r="J11" s="2"/>
      <c r="K11" t="s">
        <v>26</v>
      </c>
    </row>
    <row r="12" spans="1:11">
      <c r="A12" t="s">
        <v>24</v>
      </c>
      <c r="B12">
        <v>4</v>
      </c>
      <c r="C12">
        <v>4</v>
      </c>
      <c r="D12">
        <v>2</v>
      </c>
      <c r="G12">
        <v>1</v>
      </c>
      <c r="H12" s="2">
        <v>530</v>
      </c>
      <c r="I12" s="2">
        <f>B12+C12+D12</f>
        <v>10</v>
      </c>
      <c r="J12" s="2">
        <f t="shared" ref="J12:J25" si="1">((B12*$E$5)+(C12*$F$5)+(D12*$G$5)+H12)*G12</f>
        <v>1428</v>
      </c>
      <c r="K12" t="s">
        <v>27</v>
      </c>
    </row>
    <row r="13" spans="1:11">
      <c r="A13" t="s">
        <v>4</v>
      </c>
      <c r="B13">
        <v>2</v>
      </c>
      <c r="C13">
        <v>16</v>
      </c>
      <c r="D13">
        <v>4</v>
      </c>
      <c r="G13">
        <v>1</v>
      </c>
      <c r="H13" s="2">
        <v>1060</v>
      </c>
      <c r="I13" s="2">
        <f>(B13+C13+D13)*G13</f>
        <v>22</v>
      </c>
      <c r="J13" s="2">
        <f t="shared" si="1"/>
        <v>2964</v>
      </c>
      <c r="K13" t="s">
        <v>28</v>
      </c>
    </row>
    <row r="14" spans="1:11">
      <c r="A14" t="s">
        <v>43</v>
      </c>
      <c r="B14">
        <v>1</v>
      </c>
      <c r="C14">
        <v>6</v>
      </c>
      <c r="D14">
        <v>0</v>
      </c>
      <c r="G14">
        <v>1</v>
      </c>
      <c r="H14" s="2">
        <v>1060</v>
      </c>
      <c r="I14" s="2">
        <f>(B14+C14+D14)*G14</f>
        <v>7</v>
      </c>
      <c r="J14" s="2">
        <f t="shared" si="1"/>
        <v>1746</v>
      </c>
      <c r="K14" t="s">
        <v>29</v>
      </c>
    </row>
    <row r="15" spans="1:11">
      <c r="A15" t="s">
        <v>5</v>
      </c>
      <c r="B15">
        <v>1</v>
      </c>
      <c r="C15">
        <v>20</v>
      </c>
      <c r="D15">
        <v>10</v>
      </c>
      <c r="G15">
        <v>2</v>
      </c>
      <c r="H15" s="2"/>
      <c r="I15" s="2">
        <f t="shared" ref="I15:I25" si="2">B15+C15+D15</f>
        <v>31</v>
      </c>
      <c r="J15" s="2">
        <f t="shared" si="1"/>
        <v>4800</v>
      </c>
      <c r="K15" t="s">
        <v>44</v>
      </c>
    </row>
    <row r="16" spans="1:11">
      <c r="A16" t="s">
        <v>6</v>
      </c>
      <c r="B16">
        <v>0</v>
      </c>
      <c r="C16">
        <v>8</v>
      </c>
      <c r="D16">
        <v>0</v>
      </c>
      <c r="G16">
        <v>4</v>
      </c>
      <c r="H16" s="2"/>
      <c r="I16" s="2">
        <f t="shared" si="2"/>
        <v>8</v>
      </c>
      <c r="J16" s="2">
        <f t="shared" si="1"/>
        <v>3072</v>
      </c>
    </row>
    <row r="17" spans="1:13">
      <c r="A17" t="s">
        <v>9</v>
      </c>
      <c r="B17">
        <v>0</v>
      </c>
      <c r="C17">
        <v>8</v>
      </c>
      <c r="D17">
        <v>0</v>
      </c>
      <c r="G17">
        <v>4</v>
      </c>
      <c r="H17" s="2"/>
      <c r="I17" s="2">
        <f t="shared" si="2"/>
        <v>8</v>
      </c>
      <c r="J17" s="2">
        <f t="shared" si="1"/>
        <v>3072</v>
      </c>
    </row>
    <row r="18" spans="1:13">
      <c r="A18" t="s">
        <v>7</v>
      </c>
      <c r="B18">
        <v>0</v>
      </c>
      <c r="C18">
        <v>4</v>
      </c>
      <c r="D18">
        <v>0</v>
      </c>
      <c r="G18">
        <v>4</v>
      </c>
      <c r="H18" s="2"/>
      <c r="I18" s="2">
        <f t="shared" si="2"/>
        <v>4</v>
      </c>
      <c r="J18" s="2">
        <f t="shared" si="1"/>
        <v>1536</v>
      </c>
    </row>
    <row r="19" spans="1:13">
      <c r="A19" t="s">
        <v>8</v>
      </c>
      <c r="B19">
        <v>2</v>
      </c>
      <c r="C19">
        <v>50</v>
      </c>
      <c r="D19">
        <v>0</v>
      </c>
      <c r="G19">
        <v>1</v>
      </c>
      <c r="H19" s="2"/>
      <c r="I19" s="2">
        <f t="shared" si="2"/>
        <v>52</v>
      </c>
      <c r="J19" s="2">
        <f t="shared" si="1"/>
        <v>5020</v>
      </c>
      <c r="K19" t="s">
        <v>30</v>
      </c>
    </row>
    <row r="20" spans="1:13">
      <c r="A20" t="s">
        <v>18</v>
      </c>
      <c r="G20">
        <v>4</v>
      </c>
      <c r="H20" s="2">
        <v>1000</v>
      </c>
      <c r="I20" s="2">
        <f t="shared" si="2"/>
        <v>0</v>
      </c>
      <c r="J20" s="2">
        <f t="shared" si="1"/>
        <v>4000</v>
      </c>
      <c r="K20" t="s">
        <v>31</v>
      </c>
    </row>
    <row r="21" spans="1:13">
      <c r="H21" s="2"/>
      <c r="I21" s="2"/>
      <c r="J21" s="2"/>
    </row>
    <row r="22" spans="1:13">
      <c r="A22" t="s">
        <v>10</v>
      </c>
      <c r="B22">
        <v>0</v>
      </c>
      <c r="C22">
        <v>4</v>
      </c>
      <c r="D22">
        <v>12</v>
      </c>
      <c r="G22">
        <v>4</v>
      </c>
      <c r="H22" s="2"/>
      <c r="I22" s="2">
        <f t="shared" si="2"/>
        <v>16</v>
      </c>
      <c r="J22" s="2">
        <f t="shared" si="1"/>
        <v>3312</v>
      </c>
    </row>
    <row r="23" spans="1:13">
      <c r="A23" t="s">
        <v>11</v>
      </c>
      <c r="B23">
        <v>3</v>
      </c>
      <c r="C23">
        <v>24</v>
      </c>
      <c r="D23">
        <v>8</v>
      </c>
      <c r="G23">
        <v>1</v>
      </c>
      <c r="H23" s="2"/>
      <c r="I23" s="2">
        <f t="shared" si="2"/>
        <v>35</v>
      </c>
      <c r="J23" s="2">
        <f t="shared" si="1"/>
        <v>2930</v>
      </c>
    </row>
    <row r="24" spans="1:13">
      <c r="A24" t="s">
        <v>12</v>
      </c>
      <c r="B24">
        <v>0</v>
      </c>
      <c r="C24">
        <v>25</v>
      </c>
      <c r="D24">
        <v>0</v>
      </c>
      <c r="G24">
        <v>1</v>
      </c>
      <c r="H24" s="2"/>
      <c r="I24" s="2">
        <f t="shared" si="2"/>
        <v>25</v>
      </c>
      <c r="J24" s="2">
        <f t="shared" si="1"/>
        <v>2400</v>
      </c>
      <c r="K24" t="s">
        <v>32</v>
      </c>
    </row>
    <row r="25" spans="1:13">
      <c r="A25" t="s">
        <v>13</v>
      </c>
      <c r="B25">
        <v>0</v>
      </c>
      <c r="C25">
        <v>24</v>
      </c>
      <c r="D25">
        <v>32</v>
      </c>
      <c r="G25">
        <v>1</v>
      </c>
      <c r="H25" s="2"/>
      <c r="I25" s="3">
        <f t="shared" si="2"/>
        <v>56</v>
      </c>
      <c r="J25" s="2">
        <f t="shared" si="1"/>
        <v>3488</v>
      </c>
    </row>
    <row r="26" spans="1:13">
      <c r="H26" s="2"/>
      <c r="I26" s="9">
        <f>SUM(I12:I25)</f>
        <v>274</v>
      </c>
      <c r="J26" s="9">
        <f>SUM(J12:J25)</f>
        <v>39768</v>
      </c>
    </row>
    <row r="27" spans="1:13">
      <c r="H27" s="11" t="s">
        <v>36</v>
      </c>
      <c r="I27" s="4">
        <f>I10+I26</f>
        <v>365</v>
      </c>
      <c r="J27" s="4">
        <f>J10+J26</f>
        <v>46714</v>
      </c>
      <c r="L27" s="10">
        <f>J27/(20000000*1.5)</f>
        <v>1.5571333333333334E-3</v>
      </c>
      <c r="M27" t="s">
        <v>45</v>
      </c>
    </row>
    <row r="28" spans="1:13">
      <c r="H28" s="2"/>
      <c r="I28" s="2"/>
      <c r="J2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8"/>
  <sheetViews>
    <sheetView workbookViewId="0">
      <selection activeCell="D18" sqref="D18"/>
    </sheetView>
  </sheetViews>
  <sheetFormatPr defaultRowHeight="15"/>
  <cols>
    <col min="1" max="1" width="18.140625" customWidth="1"/>
  </cols>
  <sheetData>
    <row r="1" spans="1:11">
      <c r="A1" t="s">
        <v>0</v>
      </c>
      <c r="G1" t="s">
        <v>50</v>
      </c>
      <c r="H1" s="2"/>
      <c r="I1" s="2"/>
      <c r="J1" s="2"/>
    </row>
    <row r="2" spans="1:11">
      <c r="H2" s="2"/>
      <c r="I2" s="2"/>
      <c r="J2" s="2"/>
    </row>
    <row r="3" spans="1:11">
      <c r="A3" s="1" t="s">
        <v>1</v>
      </c>
      <c r="B3" s="1" t="s">
        <v>2</v>
      </c>
      <c r="C3" s="1"/>
      <c r="D3" s="1"/>
      <c r="E3" s="1" t="s">
        <v>3</v>
      </c>
      <c r="F3" s="1"/>
      <c r="G3" s="1"/>
      <c r="H3" s="3" t="s">
        <v>19</v>
      </c>
      <c r="I3" s="3" t="s">
        <v>20</v>
      </c>
      <c r="J3" s="3" t="s">
        <v>21</v>
      </c>
      <c r="K3" s="1" t="s">
        <v>39</v>
      </c>
    </row>
    <row r="4" spans="1:11">
      <c r="B4" t="s">
        <v>14</v>
      </c>
      <c r="C4" t="s">
        <v>23</v>
      </c>
      <c r="D4" t="s">
        <v>15</v>
      </c>
      <c r="E4" t="s">
        <v>14</v>
      </c>
      <c r="F4" t="s">
        <v>23</v>
      </c>
      <c r="G4" t="s">
        <v>15</v>
      </c>
      <c r="H4" s="2"/>
      <c r="I4" s="2"/>
      <c r="J4" s="2"/>
    </row>
    <row r="5" spans="1:11">
      <c r="E5">
        <v>110</v>
      </c>
      <c r="F5">
        <v>96</v>
      </c>
      <c r="G5">
        <v>37</v>
      </c>
      <c r="H5" s="2"/>
      <c r="I5" s="2"/>
      <c r="J5" s="2"/>
      <c r="K5" t="s">
        <v>40</v>
      </c>
    </row>
    <row r="6" spans="1:11">
      <c r="A6" s="1" t="s">
        <v>17</v>
      </c>
      <c r="G6" t="s">
        <v>41</v>
      </c>
      <c r="H6" s="2"/>
      <c r="I6" s="2"/>
      <c r="J6" s="2"/>
    </row>
    <row r="7" spans="1:11">
      <c r="A7" t="s">
        <v>4</v>
      </c>
      <c r="B7">
        <v>2</v>
      </c>
      <c r="C7">
        <v>24</v>
      </c>
      <c r="D7">
        <v>12</v>
      </c>
      <c r="G7">
        <v>1</v>
      </c>
      <c r="H7" s="2"/>
      <c r="I7" s="2">
        <f>(B7+C7+D7)*G7</f>
        <v>38</v>
      </c>
      <c r="J7" s="2">
        <f>((B7*$E$5)+(C7*$F$5)+(D7*$G$5)+H7)*G7</f>
        <v>2968</v>
      </c>
      <c r="K7" t="s">
        <v>51</v>
      </c>
    </row>
    <row r="8" spans="1:11">
      <c r="A8" t="s">
        <v>10</v>
      </c>
      <c r="B8">
        <v>2</v>
      </c>
      <c r="C8">
        <v>16</v>
      </c>
      <c r="D8">
        <v>8</v>
      </c>
      <c r="G8">
        <v>3</v>
      </c>
      <c r="H8" s="2"/>
      <c r="I8" s="2">
        <f>(B8+C8+D8)*G8</f>
        <v>78</v>
      </c>
      <c r="J8" s="2">
        <f t="shared" ref="J8:J9" si="0">((B8*$E$5)+(C8*$F$5)+(D8*$G$5)+H8)*G8</f>
        <v>6156</v>
      </c>
    </row>
    <row r="9" spans="1:11">
      <c r="A9" t="s">
        <v>13</v>
      </c>
      <c r="B9">
        <v>0</v>
      </c>
      <c r="C9">
        <v>0</v>
      </c>
      <c r="D9">
        <v>8</v>
      </c>
      <c r="G9">
        <v>3</v>
      </c>
      <c r="H9" s="2"/>
      <c r="I9" s="3">
        <f>(B9+C9+D9)*G9</f>
        <v>24</v>
      </c>
      <c r="J9" s="2">
        <f t="shared" si="0"/>
        <v>888</v>
      </c>
    </row>
    <row r="10" spans="1:11">
      <c r="H10" s="2"/>
      <c r="I10" s="4">
        <f>SUM(I7:I9)</f>
        <v>140</v>
      </c>
      <c r="J10" s="4">
        <f>SUM(J7:J9)</f>
        <v>10012</v>
      </c>
    </row>
    <row r="11" spans="1:11">
      <c r="A11" s="1" t="s">
        <v>16</v>
      </c>
      <c r="H11" s="2"/>
      <c r="I11" s="2"/>
      <c r="J11" s="2"/>
      <c r="K11" t="s">
        <v>26</v>
      </c>
    </row>
    <row r="12" spans="1:11">
      <c r="A12" t="s">
        <v>24</v>
      </c>
      <c r="B12">
        <v>6</v>
      </c>
      <c r="C12">
        <v>8</v>
      </c>
      <c r="D12">
        <v>4</v>
      </c>
      <c r="G12">
        <v>1</v>
      </c>
      <c r="H12" s="2">
        <v>530</v>
      </c>
      <c r="I12" s="2">
        <f>B12+C12+D12</f>
        <v>18</v>
      </c>
      <c r="J12" s="2">
        <f t="shared" ref="J12:J25" si="1">((B12*$E$5)+(C12*$F$5)+(D12*$G$5)+H12)*G12</f>
        <v>2106</v>
      </c>
      <c r="K12" t="s">
        <v>27</v>
      </c>
    </row>
    <row r="13" spans="1:11">
      <c r="A13" t="s">
        <v>4</v>
      </c>
      <c r="B13">
        <v>4</v>
      </c>
      <c r="C13">
        <v>24</v>
      </c>
      <c r="D13">
        <v>12</v>
      </c>
      <c r="G13">
        <v>1</v>
      </c>
      <c r="H13" s="2">
        <v>1590</v>
      </c>
      <c r="I13" s="2">
        <f>(B13+C13+D13)*G13</f>
        <v>40</v>
      </c>
      <c r="J13" s="2">
        <f t="shared" si="1"/>
        <v>4778</v>
      </c>
      <c r="K13" t="s">
        <v>52</v>
      </c>
    </row>
    <row r="14" spans="1:11">
      <c r="A14" t="s">
        <v>43</v>
      </c>
      <c r="B14">
        <v>2</v>
      </c>
      <c r="C14">
        <v>8</v>
      </c>
      <c r="D14">
        <v>4</v>
      </c>
      <c r="G14">
        <v>1</v>
      </c>
      <c r="H14" s="2">
        <v>1060</v>
      </c>
      <c r="I14" s="2">
        <f>(B14+C14+D14)*G14</f>
        <v>14</v>
      </c>
      <c r="J14" s="2">
        <f t="shared" si="1"/>
        <v>2196</v>
      </c>
      <c r="K14" t="s">
        <v>29</v>
      </c>
    </row>
    <row r="15" spans="1:11">
      <c r="A15" t="s">
        <v>5</v>
      </c>
      <c r="B15">
        <v>1</v>
      </c>
      <c r="C15">
        <v>40</v>
      </c>
      <c r="D15">
        <v>16</v>
      </c>
      <c r="G15">
        <v>2</v>
      </c>
      <c r="H15" s="2"/>
      <c r="I15" s="2">
        <f t="shared" ref="I15:I25" si="2">B15+C15+D15</f>
        <v>57</v>
      </c>
      <c r="J15" s="2">
        <f t="shared" si="1"/>
        <v>9084</v>
      </c>
      <c r="K15" t="s">
        <v>44</v>
      </c>
    </row>
    <row r="16" spans="1:11">
      <c r="A16" t="s">
        <v>6</v>
      </c>
      <c r="B16">
        <v>0</v>
      </c>
      <c r="C16">
        <v>20</v>
      </c>
      <c r="D16">
        <v>0</v>
      </c>
      <c r="G16">
        <v>4</v>
      </c>
      <c r="H16" s="2"/>
      <c r="I16" s="2">
        <f t="shared" si="2"/>
        <v>20</v>
      </c>
      <c r="J16" s="2">
        <f t="shared" si="1"/>
        <v>7680</v>
      </c>
    </row>
    <row r="17" spans="1:13">
      <c r="A17" t="s">
        <v>9</v>
      </c>
      <c r="B17">
        <v>0</v>
      </c>
      <c r="C17">
        <v>20</v>
      </c>
      <c r="D17">
        <v>0</v>
      </c>
      <c r="G17">
        <v>4</v>
      </c>
      <c r="H17" s="2"/>
      <c r="I17" s="2">
        <f t="shared" si="2"/>
        <v>20</v>
      </c>
      <c r="J17" s="2">
        <f t="shared" si="1"/>
        <v>7680</v>
      </c>
    </row>
    <row r="18" spans="1:13">
      <c r="A18" t="s">
        <v>7</v>
      </c>
      <c r="B18">
        <v>0</v>
      </c>
      <c r="C18">
        <v>12</v>
      </c>
      <c r="D18">
        <v>0</v>
      </c>
      <c r="G18">
        <v>4</v>
      </c>
      <c r="H18" s="2"/>
      <c r="I18" s="2">
        <f t="shared" si="2"/>
        <v>12</v>
      </c>
      <c r="J18" s="2">
        <f t="shared" si="1"/>
        <v>4608</v>
      </c>
    </row>
    <row r="19" spans="1:13">
      <c r="A19" t="s">
        <v>8</v>
      </c>
      <c r="B19">
        <v>2</v>
      </c>
      <c r="C19">
        <v>50</v>
      </c>
      <c r="D19">
        <v>0</v>
      </c>
      <c r="G19">
        <v>1</v>
      </c>
      <c r="H19" s="2"/>
      <c r="I19" s="2">
        <f t="shared" si="2"/>
        <v>52</v>
      </c>
      <c r="J19" s="2">
        <f t="shared" si="1"/>
        <v>5020</v>
      </c>
      <c r="K19" t="s">
        <v>30</v>
      </c>
    </row>
    <row r="20" spans="1:13">
      <c r="A20" t="s">
        <v>18</v>
      </c>
      <c r="G20">
        <v>4</v>
      </c>
      <c r="H20" s="2">
        <v>2000</v>
      </c>
      <c r="I20" s="2">
        <f t="shared" si="2"/>
        <v>0</v>
      </c>
      <c r="J20" s="2">
        <f t="shared" si="1"/>
        <v>8000</v>
      </c>
      <c r="K20" t="s">
        <v>31</v>
      </c>
    </row>
    <row r="21" spans="1:13">
      <c r="H21" s="2"/>
      <c r="I21" s="2"/>
      <c r="J21" s="2"/>
    </row>
    <row r="22" spans="1:13">
      <c r="A22" t="s">
        <v>10</v>
      </c>
      <c r="B22">
        <v>0</v>
      </c>
      <c r="C22">
        <v>8</v>
      </c>
      <c r="D22">
        <v>16</v>
      </c>
      <c r="G22">
        <v>4</v>
      </c>
      <c r="H22" s="2"/>
      <c r="I22" s="2">
        <f t="shared" si="2"/>
        <v>24</v>
      </c>
      <c r="J22" s="2">
        <f t="shared" si="1"/>
        <v>5440</v>
      </c>
    </row>
    <row r="23" spans="1:13">
      <c r="A23" t="s">
        <v>11</v>
      </c>
      <c r="B23">
        <v>3</v>
      </c>
      <c r="C23">
        <v>30</v>
      </c>
      <c r="D23">
        <v>10</v>
      </c>
      <c r="G23">
        <v>1</v>
      </c>
      <c r="H23" s="2"/>
      <c r="I23" s="2">
        <f t="shared" si="2"/>
        <v>43</v>
      </c>
      <c r="J23" s="2">
        <f t="shared" si="1"/>
        <v>3580</v>
      </c>
    </row>
    <row r="24" spans="1:13">
      <c r="A24" t="s">
        <v>12</v>
      </c>
      <c r="B24">
        <v>0</v>
      </c>
      <c r="C24">
        <v>50</v>
      </c>
      <c r="D24">
        <v>0</v>
      </c>
      <c r="G24">
        <v>1</v>
      </c>
      <c r="H24" s="2"/>
      <c r="I24" s="2">
        <f t="shared" si="2"/>
        <v>50</v>
      </c>
      <c r="J24" s="2">
        <f t="shared" si="1"/>
        <v>4800</v>
      </c>
      <c r="K24" t="s">
        <v>32</v>
      </c>
    </row>
    <row r="25" spans="1:13">
      <c r="A25" t="s">
        <v>13</v>
      </c>
      <c r="B25">
        <v>0</v>
      </c>
      <c r="C25">
        <v>36</v>
      </c>
      <c r="D25">
        <v>50</v>
      </c>
      <c r="G25">
        <v>1</v>
      </c>
      <c r="H25" s="2"/>
      <c r="I25" s="3">
        <f t="shared" si="2"/>
        <v>86</v>
      </c>
      <c r="J25" s="2">
        <f t="shared" si="1"/>
        <v>5306</v>
      </c>
    </row>
    <row r="26" spans="1:13">
      <c r="H26" s="2"/>
      <c r="I26" s="9">
        <f>SUM(I12:I25)</f>
        <v>436</v>
      </c>
      <c r="J26" s="9">
        <f>SUM(J12:J25)</f>
        <v>70278</v>
      </c>
    </row>
    <row r="27" spans="1:13">
      <c r="H27" s="11" t="s">
        <v>36</v>
      </c>
      <c r="I27" s="4">
        <f>I10+I26</f>
        <v>576</v>
      </c>
      <c r="J27" s="4">
        <f>J10+J26</f>
        <v>80290</v>
      </c>
      <c r="L27" s="10">
        <f>J27/(100000000*1.5)</f>
        <v>5.352666666666667E-4</v>
      </c>
      <c r="M27" t="s">
        <v>45</v>
      </c>
    </row>
    <row r="28" spans="1:13">
      <c r="H28" s="2"/>
      <c r="I28" s="2"/>
      <c r="J2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Overall</vt:lpstr>
      <vt:lpstr>5 Mil</vt:lpstr>
      <vt:lpstr>20 Mil </vt:lpstr>
      <vt:lpstr>100 M</vt:lpstr>
    </vt:vector>
  </TitlesOfParts>
  <Company>US-EPA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Reed</dc:creator>
  <cp:lastModifiedBy>Courtney Kerwin</cp:lastModifiedBy>
  <cp:lastPrinted>2012-10-01T15:27:30Z</cp:lastPrinted>
  <dcterms:created xsi:type="dcterms:W3CDTF">2012-09-12T13:10:48Z</dcterms:created>
  <dcterms:modified xsi:type="dcterms:W3CDTF">2013-02-21T19:30:44Z</dcterms:modified>
</cp:coreProperties>
</file>